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defaultThemeVersion="124226"/>
  <xr:revisionPtr revIDLastSave="0" documentId="13_ncr:1_{C2D496BE-7BDF-4F6D-A77C-3F4E1F24D874}" xr6:coauthVersionLast="47" xr6:coauthVersionMax="47" xr10:uidLastSave="{00000000-0000-0000-0000-000000000000}"/>
  <bookViews>
    <workbookView xWindow="28680" yWindow="-120" windowWidth="29040" windowHeight="15840" firstSheet="1" activeTab="1" xr2:uid="{00000000-000D-0000-FFFF-FFFF00000000}"/>
  </bookViews>
  <sheets>
    <sheet name="saīsinājumi_LV_ENG" sheetId="9" state="hidden" r:id="rId1"/>
    <sheet name="Fin_progress" sheetId="1" r:id="rId2"/>
    <sheet name="PV" sheetId="6" r:id="rId3"/>
    <sheet name="AI" sheetId="5" r:id="rId4"/>
    <sheet name="EK_maksājumi" sheetId="10" r:id="rId5"/>
    <sheet name="Grafiks" sheetId="7" r:id="rId6"/>
    <sheet name="Grafiks_pa_investīciju_jomām" sheetId="57" r:id="rId7"/>
    <sheet name="Pasākumu_līmenis" sheetId="2" state="hidden" r:id="rId8"/>
    <sheet name="AtskaiteStatusuTabula" sheetId="8" state="hidden" r:id="rId9"/>
    <sheet name="Grafiks_brīvais_fin_pa_AI" sheetId="16" state="hidden" r:id="rId10"/>
    <sheet name="2. Intervences kategorijas - Pa" sheetId="11" state="hidden" r:id="rId11"/>
  </sheets>
  <definedNames>
    <definedName name="_xlnm._FilterDatabase" localSheetId="8" hidden="1">AtskaiteStatusuTabula!$B$21:$AJ$228</definedName>
    <definedName name="_xlnm._FilterDatabase" localSheetId="1" hidden="1">Fin_progress!$A$15:$AL$362</definedName>
    <definedName name="_xlnm._FilterDatabase" localSheetId="9" hidden="1">Grafiks_brīvais_fin_pa_AI!$C$3:$N$3</definedName>
    <definedName name="_xlnm._FilterDatabase" localSheetId="7" hidden="1">Pasākumu_līmenis!$A$14:$AL$180</definedName>
    <definedName name="_xlnm._FilterDatabase" localSheetId="0" hidden="1">saīsinājumi_LV_ENG!$A$6:$D$223</definedName>
    <definedName name="_Hlk63345331" localSheetId="7">Pasākumu_līmenis!#REF!</definedName>
    <definedName name="_xlnm.Print_Area" localSheetId="1">Fin_progress!$A$1:$AL$247</definedName>
    <definedName name="_xlnm.Print_Area" localSheetId="9">Grafiks_brīvais_fin_pa_AI!$B$1:$N$18</definedName>
    <definedName name="_xlnm.Print_Titles" localSheetId="1">Fin_progress!$3:$5</definedName>
    <definedName name="_xlnm.Print_Titles" localSheetId="7">Pasākumu_līmenis!$3:$5</definedName>
    <definedName name="_xlnm.Print_Titles" localSheetId="2">PV!$3:$5</definedName>
    <definedName name="_xlnm.Print_Titles" localSheetId="0">saīsinājumi_LV_ENG!$3:$5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9" i="2" l="1"/>
  <c r="Q49" i="2"/>
  <c r="J49" i="2"/>
  <c r="G64" i="5" l="1"/>
  <c r="G77" i="5" s="1"/>
  <c r="F64" i="5"/>
  <c r="G76" i="5"/>
  <c r="G65" i="5"/>
  <c r="F65" i="5"/>
  <c r="G47" i="6"/>
  <c r="E47" i="6"/>
  <c r="N52" i="2"/>
  <c r="U52" i="2"/>
  <c r="Q52" i="2"/>
  <c r="J52" i="2"/>
  <c r="AE172" i="2"/>
  <c r="X172" i="2"/>
  <c r="Q172" i="2"/>
  <c r="J172" i="2"/>
  <c r="H64" i="5" l="1"/>
  <c r="F154" i="2"/>
  <c r="G178" i="2"/>
  <c r="F178" i="2"/>
  <c r="AB8" i="2" l="1"/>
  <c r="U8" i="2"/>
  <c r="N8" i="2"/>
  <c r="G12" i="2"/>
  <c r="G11" i="2"/>
  <c r="G10" i="2"/>
  <c r="G8" i="2"/>
  <c r="G7" i="2"/>
  <c r="F12" i="2"/>
  <c r="F8" i="2"/>
  <c r="E51" i="6"/>
  <c r="H56" i="6"/>
  <c r="F234" i="1"/>
  <c r="E234" i="1"/>
  <c r="G234" i="1"/>
  <c r="G233" i="1" s="1"/>
  <c r="H234" i="1"/>
  <c r="H233" i="1" s="1"/>
  <c r="C29" i="6" s="1"/>
  <c r="B56" i="6" s="1"/>
  <c r="I234" i="1"/>
  <c r="I233" i="1" s="1"/>
  <c r="D29" i="6" s="1"/>
  <c r="C56" i="6" s="1"/>
  <c r="L234" i="1"/>
  <c r="P234" i="1"/>
  <c r="P233" i="1" s="1"/>
  <c r="K29" i="6" s="1"/>
  <c r="S234" i="1"/>
  <c r="W234" i="1"/>
  <c r="W233" i="1" s="1"/>
  <c r="P29" i="6" s="1"/>
  <c r="Z234" i="1"/>
  <c r="AG234" i="1"/>
  <c r="B29" i="6"/>
  <c r="B234" i="1"/>
  <c r="A234" i="1"/>
  <c r="F67" i="5"/>
  <c r="C9" i="5"/>
  <c r="G171" i="2"/>
  <c r="I171" i="2"/>
  <c r="J171" i="2"/>
  <c r="N171" i="2"/>
  <c r="Q171" i="2"/>
  <c r="U171" i="2"/>
  <c r="X171" i="2"/>
  <c r="AE171" i="2"/>
  <c r="F171" i="2"/>
  <c r="F166" i="2"/>
  <c r="H172" i="2"/>
  <c r="J234" i="1" s="1"/>
  <c r="J233" i="1" s="1"/>
  <c r="E29" i="6" s="1"/>
  <c r="AF172" i="2"/>
  <c r="AG172" i="2" s="1"/>
  <c r="AH172" i="2"/>
  <c r="Y172" i="2"/>
  <c r="Z172" i="2" s="1"/>
  <c r="AA172" i="2"/>
  <c r="AB172" i="2"/>
  <c r="AB171" i="2" s="1"/>
  <c r="R172" i="2"/>
  <c r="S172" i="2" s="1"/>
  <c r="S171" i="2" s="1"/>
  <c r="T172" i="2"/>
  <c r="T171" i="2" s="1"/>
  <c r="K172" i="2"/>
  <c r="L172" i="2" s="1"/>
  <c r="L171" i="2" s="1"/>
  <c r="M172" i="2"/>
  <c r="F175" i="2"/>
  <c r="F189" i="2"/>
  <c r="S233" i="1" l="1"/>
  <c r="V234" i="1"/>
  <c r="T234" i="1"/>
  <c r="AF171" i="2"/>
  <c r="L233" i="1"/>
  <c r="M234" i="1"/>
  <c r="N234" i="1" s="1"/>
  <c r="O234" i="1"/>
  <c r="AG233" i="1"/>
  <c r="AH234" i="1"/>
  <c r="AI234" i="1" s="1"/>
  <c r="AJ234" i="1"/>
  <c r="Z233" i="1"/>
  <c r="AA234" i="1"/>
  <c r="AC234" i="1"/>
  <c r="AA171" i="2"/>
  <c r="AG171" i="2"/>
  <c r="M171" i="2"/>
  <c r="AD234" i="1"/>
  <c r="AD233" i="1" s="1"/>
  <c r="U29" i="6" s="1"/>
  <c r="K171" i="2"/>
  <c r="AH171" i="2"/>
  <c r="Z171" i="2"/>
  <c r="R171" i="2"/>
  <c r="Y171" i="2"/>
  <c r="H171" i="2"/>
  <c r="K234" i="1"/>
  <c r="K233" i="1" s="1"/>
  <c r="D56" i="6"/>
  <c r="I56" i="6"/>
  <c r="AL171" i="2"/>
  <c r="AB234" i="1" l="1"/>
  <c r="G29" i="6"/>
  <c r="O233" i="1"/>
  <c r="J29" i="6" s="1"/>
  <c r="M233" i="1"/>
  <c r="U234" i="1"/>
  <c r="Q29" i="6"/>
  <c r="AC233" i="1"/>
  <c r="T29" i="6" s="1"/>
  <c r="AA233" i="1"/>
  <c r="V29" i="6"/>
  <c r="AH233" i="1"/>
  <c r="AJ233" i="1"/>
  <c r="Y29" i="6" s="1"/>
  <c r="L29" i="6"/>
  <c r="V233" i="1"/>
  <c r="O29" i="6" s="1"/>
  <c r="T233" i="1"/>
  <c r="B170" i="2"/>
  <c r="AB233" i="1" l="1"/>
  <c r="S29" i="6" s="1"/>
  <c r="R29" i="6"/>
  <c r="U233" i="1"/>
  <c r="N29" i="6" s="1"/>
  <c r="M29" i="6"/>
  <c r="N233" i="1"/>
  <c r="I29" i="6" s="1"/>
  <c r="H29" i="6"/>
  <c r="AI233" i="1"/>
  <c r="X29" i="6" s="1"/>
  <c r="W29" i="6"/>
  <c r="J195" i="2"/>
  <c r="J196" i="2"/>
  <c r="Q57" i="2" l="1"/>
  <c r="I27" i="1" l="1"/>
  <c r="E52" i="6" l="1"/>
  <c r="F69" i="5"/>
  <c r="B128" i="2" l="1"/>
  <c r="AB163" i="2"/>
  <c r="AB165" i="2"/>
  <c r="F41" i="2" l="1"/>
  <c r="F35" i="2"/>
  <c r="F156" i="2"/>
  <c r="F165" i="2"/>
  <c r="F71" i="2"/>
  <c r="F68" i="2"/>
  <c r="F106" i="2" l="1"/>
  <c r="F7" i="2" l="1"/>
  <c r="AB70" i="2"/>
  <c r="J162" i="2"/>
  <c r="N162" i="2" l="1"/>
  <c r="U162" i="2"/>
  <c r="U70" i="2" s="1"/>
  <c r="J159" i="2" l="1"/>
  <c r="AB15" i="2" l="1"/>
  <c r="AB104" i="2"/>
  <c r="AB144" i="2"/>
  <c r="N167" i="2"/>
  <c r="U167" i="2"/>
  <c r="N164" i="2"/>
  <c r="N144" i="2" s="1"/>
  <c r="U164" i="2"/>
  <c r="U144" i="2" s="1"/>
  <c r="N161" i="2"/>
  <c r="U161" i="2"/>
  <c r="N158" i="2"/>
  <c r="N15" i="2" s="1"/>
  <c r="U158" i="2"/>
  <c r="U15" i="2" s="1"/>
  <c r="AB51" i="2"/>
  <c r="U104" i="2" l="1"/>
  <c r="N104" i="2"/>
  <c r="AE155" i="2"/>
  <c r="AB60" i="2"/>
  <c r="U60" i="2"/>
  <c r="N60" i="2"/>
  <c r="X60" i="2" l="1"/>
  <c r="Q60" i="2"/>
  <c r="J60" i="2"/>
  <c r="Q99" i="2" l="1"/>
  <c r="G85" i="5"/>
  <c r="G81" i="5"/>
  <c r="G80" i="5"/>
  <c r="H62" i="6"/>
  <c r="Z1" i="57"/>
  <c r="X41" i="2" l="1"/>
  <c r="Q41" i="2"/>
  <c r="AE36" i="2" l="1"/>
  <c r="X36" i="2"/>
  <c r="Q36" i="2"/>
  <c r="J36" i="2"/>
  <c r="AE41" i="2"/>
  <c r="J41" i="2"/>
  <c r="AE157" i="2"/>
  <c r="X157" i="2"/>
  <c r="Q157" i="2"/>
  <c r="J157" i="2"/>
  <c r="AE156" i="2"/>
  <c r="X156" i="2"/>
  <c r="Q156" i="2"/>
  <c r="J156" i="2"/>
  <c r="AE167" i="2" l="1"/>
  <c r="X167" i="2"/>
  <c r="Q167" i="2"/>
  <c r="J167" i="2"/>
  <c r="AE104" i="2"/>
  <c r="X104" i="2"/>
  <c r="Q104" i="2"/>
  <c r="J104" i="2"/>
  <c r="AE165" i="2"/>
  <c r="X165" i="2"/>
  <c r="Q165" i="2"/>
  <c r="J165" i="2"/>
  <c r="AE25" i="2"/>
  <c r="X25" i="2"/>
  <c r="Q25" i="2"/>
  <c r="J25" i="2"/>
  <c r="K60" i="2" l="1"/>
  <c r="D48" i="1"/>
  <c r="AE154" i="2"/>
  <c r="J193" i="2" l="1"/>
  <c r="C36" i="5" l="1"/>
  <c r="B36" i="5"/>
  <c r="AE60" i="2" l="1"/>
  <c r="C49" i="5"/>
  <c r="B49" i="5"/>
  <c r="F72" i="5"/>
  <c r="E48" i="6"/>
  <c r="G189" i="2"/>
  <c r="J190" i="2"/>
  <c r="J191" i="2"/>
  <c r="C14" i="5"/>
  <c r="B14" i="5"/>
  <c r="F63" i="2" l="1"/>
  <c r="AE23" i="2" l="1"/>
  <c r="Q23" i="2"/>
  <c r="X23" i="2"/>
  <c r="J23" i="2"/>
  <c r="C46" i="5"/>
  <c r="C80" i="5" s="1"/>
  <c r="H218" i="1"/>
  <c r="I218" i="1"/>
  <c r="K218" i="1"/>
  <c r="H219" i="1"/>
  <c r="I219" i="1"/>
  <c r="J219" i="1"/>
  <c r="K219" i="1"/>
  <c r="F218" i="1"/>
  <c r="F219" i="1"/>
  <c r="E218" i="1"/>
  <c r="E219" i="1"/>
  <c r="F36" i="2" l="1"/>
  <c r="H156" i="2"/>
  <c r="N156" i="2"/>
  <c r="P218" i="1" s="1"/>
  <c r="U156" i="2"/>
  <c r="W218" i="1" s="1"/>
  <c r="AB156" i="2"/>
  <c r="AD218" i="1" s="1"/>
  <c r="N157" i="2"/>
  <c r="P219" i="1" s="1"/>
  <c r="U157" i="2"/>
  <c r="W219" i="1" s="1"/>
  <c r="AB157" i="2"/>
  <c r="AD219" i="1" s="1"/>
  <c r="J218" i="1" l="1"/>
  <c r="R156" i="2"/>
  <c r="S156" i="2" s="1"/>
  <c r="S218" i="1"/>
  <c r="AH156" i="2"/>
  <c r="AG218" i="1"/>
  <c r="K156" i="2"/>
  <c r="L156" i="2" s="1"/>
  <c r="L218" i="1"/>
  <c r="M157" i="2"/>
  <c r="L219" i="1"/>
  <c r="AA157" i="2"/>
  <c r="Z219" i="1"/>
  <c r="AF157" i="2"/>
  <c r="AG157" i="2" s="1"/>
  <c r="AG219" i="1"/>
  <c r="Y156" i="2"/>
  <c r="Z156" i="2" s="1"/>
  <c r="Z218" i="1"/>
  <c r="R157" i="2"/>
  <c r="S157" i="2" s="1"/>
  <c r="S219" i="1"/>
  <c r="T156" i="2"/>
  <c r="AF156" i="2"/>
  <c r="AG156" i="2" s="1"/>
  <c r="M156" i="2"/>
  <c r="AA156" i="2"/>
  <c r="K157" i="2"/>
  <c r="L157" i="2" s="1"/>
  <c r="T157" i="2"/>
  <c r="Y157" i="2"/>
  <c r="Z157" i="2" s="1"/>
  <c r="AH157" i="2"/>
  <c r="AJ219" i="1" l="1"/>
  <c r="AH219" i="1"/>
  <c r="AI219" i="1" s="1"/>
  <c r="M218" i="1"/>
  <c r="N218" i="1" s="1"/>
  <c r="O218" i="1"/>
  <c r="T219" i="1"/>
  <c r="U219" i="1" s="1"/>
  <c r="V219" i="1"/>
  <c r="AC219" i="1"/>
  <c r="AA219" i="1"/>
  <c r="AB219" i="1" s="1"/>
  <c r="AH218" i="1"/>
  <c r="AI218" i="1" s="1"/>
  <c r="AJ218" i="1"/>
  <c r="V218" i="1"/>
  <c r="T218" i="1"/>
  <c r="U218" i="1" s="1"/>
  <c r="AC218" i="1"/>
  <c r="AA218" i="1"/>
  <c r="AB218" i="1" s="1"/>
  <c r="O219" i="1"/>
  <c r="M219" i="1"/>
  <c r="N219" i="1" s="1"/>
  <c r="AE168" i="2" l="1"/>
  <c r="X168" i="2"/>
  <c r="Q168" i="2"/>
  <c r="J168" i="2"/>
  <c r="AE110" i="2"/>
  <c r="X110" i="2"/>
  <c r="Q110" i="2"/>
  <c r="J110" i="2"/>
  <c r="AE160" i="2"/>
  <c r="X160" i="2"/>
  <c r="Q160" i="2"/>
  <c r="J160" i="2"/>
  <c r="Q159" i="2"/>
  <c r="X159" i="2"/>
  <c r="AE159" i="2"/>
  <c r="AE99" i="2"/>
  <c r="X99" i="2"/>
  <c r="J99" i="2"/>
  <c r="F39" i="2"/>
  <c r="F38" i="2"/>
  <c r="F11" i="2"/>
  <c r="F204" i="2"/>
  <c r="F203" i="2"/>
  <c r="F202" i="2"/>
  <c r="F201" i="2"/>
  <c r="F200" i="2"/>
  <c r="F179" i="2" l="1"/>
  <c r="F81" i="5"/>
  <c r="F80" i="5"/>
  <c r="O14" i="16" s="1"/>
  <c r="F85" i="5"/>
  <c r="F84" i="5"/>
  <c r="B46" i="5"/>
  <c r="F60" i="6"/>
  <c r="C47" i="5" l="1"/>
  <c r="B47" i="5"/>
  <c r="H220" i="1"/>
  <c r="I220" i="1"/>
  <c r="K220" i="1"/>
  <c r="F220" i="1"/>
  <c r="E220" i="1"/>
  <c r="B220" i="1"/>
  <c r="AE15" i="2"/>
  <c r="X15" i="2"/>
  <c r="Q15" i="2"/>
  <c r="W220" i="1"/>
  <c r="P220" i="1"/>
  <c r="AD220" i="1"/>
  <c r="AE158" i="2"/>
  <c r="AF158" i="2" s="1"/>
  <c r="AG158" i="2" s="1"/>
  <c r="X158" i="2"/>
  <c r="Q158" i="2"/>
  <c r="R158" i="2" s="1"/>
  <c r="S158" i="2" s="1"/>
  <c r="J158" i="2"/>
  <c r="J15" i="2"/>
  <c r="K158" i="2" l="1"/>
  <c r="L158" i="2" s="1"/>
  <c r="AA158" i="2"/>
  <c r="AG220" i="1"/>
  <c r="AH220" i="1" s="1"/>
  <c r="AI220" i="1" s="1"/>
  <c r="S220" i="1"/>
  <c r="V220" i="1" s="1"/>
  <c r="Z220" i="1"/>
  <c r="AC220" i="1" s="1"/>
  <c r="L220" i="1"/>
  <c r="O220" i="1" s="1"/>
  <c r="Y158" i="2"/>
  <c r="Z158" i="2" s="1"/>
  <c r="T158" i="2"/>
  <c r="AH158" i="2"/>
  <c r="M158" i="2"/>
  <c r="AJ220" i="1" l="1"/>
  <c r="M220" i="1"/>
  <c r="N220" i="1" s="1"/>
  <c r="T220" i="1"/>
  <c r="U220" i="1" s="1"/>
  <c r="AA220" i="1"/>
  <c r="AB220" i="1" s="1"/>
  <c r="G15" i="2"/>
  <c r="F15" i="2"/>
  <c r="G9" i="2" l="1"/>
  <c r="C11" i="5"/>
  <c r="H15" i="2"/>
  <c r="H158" i="2"/>
  <c r="J220" i="1" s="1"/>
  <c r="AE170" i="2" l="1"/>
  <c r="AE140" i="2" s="1"/>
  <c r="X170" i="2"/>
  <c r="Q170" i="2"/>
  <c r="Q140" i="2" s="1"/>
  <c r="J170" i="2"/>
  <c r="AE169" i="2"/>
  <c r="X169" i="2"/>
  <c r="Q169" i="2"/>
  <c r="J169" i="2"/>
  <c r="F48" i="2"/>
  <c r="Q87" i="2" l="1"/>
  <c r="Q12" i="2"/>
  <c r="J12" i="2"/>
  <c r="AE87" i="2"/>
  <c r="AE12" i="2"/>
  <c r="X12" i="2"/>
  <c r="F153" i="2"/>
  <c r="X87" i="2"/>
  <c r="X140" i="2"/>
  <c r="J87" i="2"/>
  <c r="J140" i="2"/>
  <c r="AE164" i="2" l="1"/>
  <c r="Q164" i="2"/>
  <c r="J164" i="2"/>
  <c r="G6" i="16" l="1"/>
  <c r="G7" i="16"/>
  <c r="G8" i="16"/>
  <c r="G15" i="16"/>
  <c r="G5" i="16"/>
  <c r="F47" i="5" l="1"/>
  <c r="J200" i="2"/>
  <c r="J201" i="2"/>
  <c r="J202" i="2"/>
  <c r="J203" i="2"/>
  <c r="J204" i="2"/>
  <c r="G9" i="16"/>
  <c r="B204" i="2"/>
  <c r="G10" i="16" l="1"/>
  <c r="C59" i="5"/>
  <c r="G11" i="16"/>
  <c r="B203" i="2"/>
  <c r="B202" i="2"/>
  <c r="B200" i="2"/>
  <c r="F219" i="2"/>
  <c r="B219" i="2"/>
  <c r="F208" i="2"/>
  <c r="B208" i="2"/>
  <c r="B223" i="2"/>
  <c r="B222" i="2"/>
  <c r="B221" i="2"/>
  <c r="B220" i="2"/>
  <c r="B217" i="2"/>
  <c r="B216" i="2"/>
  <c r="B215" i="2"/>
  <c r="B214" i="2"/>
  <c r="B213" i="2"/>
  <c r="B212" i="2"/>
  <c r="B210" i="2"/>
  <c r="B209" i="2"/>
  <c r="I237" i="1" l="1"/>
  <c r="G13" i="16"/>
  <c r="G14" i="16"/>
  <c r="G61" i="6"/>
  <c r="G60" i="6" s="1"/>
  <c r="G179" i="2"/>
  <c r="G6" i="2" s="1"/>
  <c r="G12" i="16"/>
  <c r="F199" i="2"/>
  <c r="E61" i="6"/>
  <c r="E60" i="6" s="1"/>
  <c r="C58" i="5" l="1"/>
  <c r="I236" i="1"/>
  <c r="B80" i="5" l="1"/>
  <c r="B227" i="1"/>
  <c r="E227" i="1"/>
  <c r="F227" i="1"/>
  <c r="H227" i="1"/>
  <c r="I227" i="1"/>
  <c r="K227" i="1"/>
  <c r="G153" i="2"/>
  <c r="AH165" i="2"/>
  <c r="AD227" i="1"/>
  <c r="AA165" i="2"/>
  <c r="U165" i="2"/>
  <c r="T165" i="2"/>
  <c r="N165" i="2"/>
  <c r="P227" i="1" s="1"/>
  <c r="I80" i="5" l="1"/>
  <c r="L227" i="1"/>
  <c r="O227" i="1" s="1"/>
  <c r="K165" i="2"/>
  <c r="L165" i="2" s="1"/>
  <c r="M165" i="2"/>
  <c r="Z227" i="1"/>
  <c r="AC227" i="1" s="1"/>
  <c r="R165" i="2"/>
  <c r="S165" i="2" s="1"/>
  <c r="W227" i="1"/>
  <c r="Y165" i="2"/>
  <c r="Z165" i="2" s="1"/>
  <c r="S227" i="1"/>
  <c r="AG227" i="1"/>
  <c r="AF165" i="2"/>
  <c r="AG165" i="2" s="1"/>
  <c r="H165" i="2"/>
  <c r="J227" i="1" s="1"/>
  <c r="B153" i="2"/>
  <c r="B154" i="2"/>
  <c r="B155" i="2"/>
  <c r="B159" i="2"/>
  <c r="B160" i="2"/>
  <c r="B161" i="2"/>
  <c r="B162" i="2"/>
  <c r="B163" i="2"/>
  <c r="B164" i="2"/>
  <c r="B166" i="2"/>
  <c r="B167" i="2"/>
  <c r="B168" i="2"/>
  <c r="B169" i="2"/>
  <c r="B215" i="1"/>
  <c r="B27" i="6" s="1"/>
  <c r="B216" i="1"/>
  <c r="B217" i="1"/>
  <c r="B221" i="1"/>
  <c r="B222" i="1"/>
  <c r="B223" i="1"/>
  <c r="B224" i="1"/>
  <c r="B225" i="1"/>
  <c r="B226" i="1"/>
  <c r="B228" i="1"/>
  <c r="B28" i="6" s="1"/>
  <c r="B229" i="1"/>
  <c r="B230" i="1"/>
  <c r="B231" i="1"/>
  <c r="B232" i="1"/>
  <c r="M227" i="1" l="1"/>
  <c r="N227" i="1" s="1"/>
  <c r="V227" i="1"/>
  <c r="T227" i="1"/>
  <c r="U227" i="1" s="1"/>
  <c r="AA227" i="1"/>
  <c r="AB227" i="1" s="1"/>
  <c r="AH227" i="1"/>
  <c r="AI227" i="1" s="1"/>
  <c r="AJ227" i="1"/>
  <c r="AE144" i="2"/>
  <c r="X164" i="2"/>
  <c r="Q144" i="2"/>
  <c r="J144" i="2"/>
  <c r="X144" i="2" l="1"/>
  <c r="E231" i="1" l="1"/>
  <c r="F231" i="1"/>
  <c r="H231" i="1"/>
  <c r="I231" i="1"/>
  <c r="K231" i="1"/>
  <c r="E205" i="1"/>
  <c r="F205" i="1"/>
  <c r="G205" i="1"/>
  <c r="H205" i="1"/>
  <c r="I205" i="1"/>
  <c r="K205" i="1"/>
  <c r="L231" i="1" l="1"/>
  <c r="O231" i="1" s="1"/>
  <c r="M231" i="1" l="1"/>
  <c r="N231" i="1" s="1"/>
  <c r="B54" i="5"/>
  <c r="C54" i="5"/>
  <c r="F53" i="5"/>
  <c r="C53" i="5"/>
  <c r="B53" i="5"/>
  <c r="B83" i="5" s="1"/>
  <c r="I83" i="5" s="1"/>
  <c r="B52" i="5"/>
  <c r="C52" i="5"/>
  <c r="E51" i="5"/>
  <c r="C35" i="5"/>
  <c r="B35" i="5"/>
  <c r="C13" i="5"/>
  <c r="B13" i="5"/>
  <c r="H83" i="5"/>
  <c r="H169" i="2"/>
  <c r="J231" i="1" s="1"/>
  <c r="K169" i="2"/>
  <c r="L169" i="2" s="1"/>
  <c r="N169" i="2"/>
  <c r="P231" i="1" s="1"/>
  <c r="T169" i="2"/>
  <c r="U169" i="2"/>
  <c r="W231" i="1" s="1"/>
  <c r="AB169" i="2"/>
  <c r="AD231" i="1" s="1"/>
  <c r="L53" i="5"/>
  <c r="AE54" i="2"/>
  <c r="AB54" i="2"/>
  <c r="X54" i="2"/>
  <c r="U54" i="2"/>
  <c r="N54" i="2"/>
  <c r="Q54" i="2"/>
  <c r="J54" i="2"/>
  <c r="F119" i="2"/>
  <c r="J143" i="2"/>
  <c r="N143" i="2"/>
  <c r="P205" i="1" s="1"/>
  <c r="Q143" i="2"/>
  <c r="U143" i="2"/>
  <c r="W205" i="1" s="1"/>
  <c r="X143" i="2"/>
  <c r="AB143" i="2"/>
  <c r="AD205" i="1" s="1"/>
  <c r="AE143" i="2"/>
  <c r="AG205" i="1" s="1"/>
  <c r="H143" i="2"/>
  <c r="J205" i="1" s="1"/>
  <c r="B69" i="5" l="1"/>
  <c r="M53" i="5"/>
  <c r="J53" i="5"/>
  <c r="K53" i="5" s="1"/>
  <c r="D53" i="5"/>
  <c r="AF143" i="2"/>
  <c r="AG143" i="2" s="1"/>
  <c r="Y143" i="2"/>
  <c r="Z143" i="2" s="1"/>
  <c r="Z205" i="1"/>
  <c r="R169" i="2"/>
  <c r="S169" i="2" s="1"/>
  <c r="S231" i="1"/>
  <c r="AJ205" i="1"/>
  <c r="AH205" i="1"/>
  <c r="AI205" i="1" s="1"/>
  <c r="T143" i="2"/>
  <c r="S205" i="1"/>
  <c r="G53" i="5"/>
  <c r="C51" i="5"/>
  <c r="Y169" i="2"/>
  <c r="Z169" i="2" s="1"/>
  <c r="Z231" i="1"/>
  <c r="AH143" i="2"/>
  <c r="K143" i="2"/>
  <c r="L143" i="2" s="1"/>
  <c r="L205" i="1"/>
  <c r="AF169" i="2"/>
  <c r="AG169" i="2" s="1"/>
  <c r="AG231" i="1"/>
  <c r="H53" i="5"/>
  <c r="I53" i="5" s="1"/>
  <c r="D54" i="5"/>
  <c r="B51" i="5"/>
  <c r="AA169" i="2"/>
  <c r="M169" i="2"/>
  <c r="AH169" i="2"/>
  <c r="AA143" i="2"/>
  <c r="R143" i="2"/>
  <c r="S143" i="2" s="1"/>
  <c r="M143" i="2"/>
  <c r="V205" i="1" l="1"/>
  <c r="T205" i="1"/>
  <c r="U205" i="1" s="1"/>
  <c r="O205" i="1"/>
  <c r="M205" i="1"/>
  <c r="N205" i="1" s="1"/>
  <c r="AA231" i="1"/>
  <c r="AB231" i="1" s="1"/>
  <c r="AC231" i="1"/>
  <c r="T231" i="1"/>
  <c r="U231" i="1" s="1"/>
  <c r="V231" i="1"/>
  <c r="AC205" i="1"/>
  <c r="AA205" i="1"/>
  <c r="AB205" i="1" s="1"/>
  <c r="AH231" i="1"/>
  <c r="AI231" i="1" s="1"/>
  <c r="AJ231" i="1"/>
  <c r="N70" i="2" l="1"/>
  <c r="U51" i="2"/>
  <c r="N51" i="2"/>
  <c r="AE162" i="2"/>
  <c r="AE70" i="2" s="1"/>
  <c r="X162" i="2"/>
  <c r="Q162" i="2"/>
  <c r="Q70" i="2" s="1"/>
  <c r="AE161" i="2"/>
  <c r="X161" i="2"/>
  <c r="Q161" i="2"/>
  <c r="J161" i="2"/>
  <c r="AE93" i="2"/>
  <c r="X93" i="2"/>
  <c r="Q93" i="2"/>
  <c r="J93" i="2"/>
  <c r="AE91" i="2"/>
  <c r="X91" i="2"/>
  <c r="Q91" i="2"/>
  <c r="J91" i="2"/>
  <c r="F43" i="6"/>
  <c r="B81" i="5"/>
  <c r="C43" i="5"/>
  <c r="B43" i="5"/>
  <c r="C48" i="5"/>
  <c r="B48" i="5"/>
  <c r="B82" i="5" s="1"/>
  <c r="C12" i="5"/>
  <c r="B12" i="5"/>
  <c r="E225" i="1"/>
  <c r="F225" i="1"/>
  <c r="H225" i="1"/>
  <c r="I225" i="1"/>
  <c r="K225" i="1"/>
  <c r="B119" i="1"/>
  <c r="E119" i="1"/>
  <c r="F119" i="1"/>
  <c r="H119" i="1"/>
  <c r="I119" i="1"/>
  <c r="F72" i="2"/>
  <c r="L54" i="5"/>
  <c r="M54" i="5" s="1"/>
  <c r="AE163" i="2"/>
  <c r="L47" i="5"/>
  <c r="AE152" i="2"/>
  <c r="AE150" i="2"/>
  <c r="AE147" i="2"/>
  <c r="AE148" i="2"/>
  <c r="AE146" i="2"/>
  <c r="AE137" i="2"/>
  <c r="AE138" i="2"/>
  <c r="AE139" i="2"/>
  <c r="AE141" i="2"/>
  <c r="AE142" i="2"/>
  <c r="AE121" i="2"/>
  <c r="AE122" i="2"/>
  <c r="AE123" i="2"/>
  <c r="AE124" i="2"/>
  <c r="AE125" i="2"/>
  <c r="AE126" i="2"/>
  <c r="AE127" i="2"/>
  <c r="AE128" i="2"/>
  <c r="AE129" i="2"/>
  <c r="AE130" i="2"/>
  <c r="AE131" i="2"/>
  <c r="AE132" i="2"/>
  <c r="AE133" i="2"/>
  <c r="AE134" i="2"/>
  <c r="AE135" i="2"/>
  <c r="AE136" i="2"/>
  <c r="AE120" i="2"/>
  <c r="AE100" i="2"/>
  <c r="AE101" i="2"/>
  <c r="AE102" i="2"/>
  <c r="AE103" i="2"/>
  <c r="AE105" i="2"/>
  <c r="AE106" i="2"/>
  <c r="AE107" i="2"/>
  <c r="AE108" i="2"/>
  <c r="AE109" i="2"/>
  <c r="AE111" i="2"/>
  <c r="AE112" i="2"/>
  <c r="AE113" i="2"/>
  <c r="AE114" i="2"/>
  <c r="AE115" i="2"/>
  <c r="AE116" i="2"/>
  <c r="AE117" i="2"/>
  <c r="AE118" i="2"/>
  <c r="AE98" i="2"/>
  <c r="AE95" i="2"/>
  <c r="AE96" i="2"/>
  <c r="AE94" i="2"/>
  <c r="AE92" i="2"/>
  <c r="AE88" i="2"/>
  <c r="AE89" i="2"/>
  <c r="AE90" i="2"/>
  <c r="AE74" i="2"/>
  <c r="AE75" i="2"/>
  <c r="AE76" i="2"/>
  <c r="AE77" i="2"/>
  <c r="AE78" i="2"/>
  <c r="AE79" i="2"/>
  <c r="AE80" i="2"/>
  <c r="AE81" i="2"/>
  <c r="AE82" i="2"/>
  <c r="AF82" i="2" s="1"/>
  <c r="AG82" i="2" s="1"/>
  <c r="AE83" i="2"/>
  <c r="AE84" i="2"/>
  <c r="AE85" i="2"/>
  <c r="AE73" i="2"/>
  <c r="AE62" i="2"/>
  <c r="AE63" i="2"/>
  <c r="AE64" i="2"/>
  <c r="AE65" i="2"/>
  <c r="AE66" i="2"/>
  <c r="AE67" i="2"/>
  <c r="AE68" i="2"/>
  <c r="AE69" i="2"/>
  <c r="AE71" i="2"/>
  <c r="AE61" i="2"/>
  <c r="AE58" i="2"/>
  <c r="AE59" i="2"/>
  <c r="AE57" i="2"/>
  <c r="AE50" i="2"/>
  <c r="AE52" i="2"/>
  <c r="AE53" i="2"/>
  <c r="AE55" i="2"/>
  <c r="AE48" i="2"/>
  <c r="AE42" i="2"/>
  <c r="AE43" i="2"/>
  <c r="AE44" i="2"/>
  <c r="AE45" i="2"/>
  <c r="AE46" i="2"/>
  <c r="AE40" i="2"/>
  <c r="AE35" i="2"/>
  <c r="AE33" i="2"/>
  <c r="AE28" i="2"/>
  <c r="AE29" i="2"/>
  <c r="AE27" i="2"/>
  <c r="AE16" i="2"/>
  <c r="AE17" i="2"/>
  <c r="AE18" i="2"/>
  <c r="AE19" i="2"/>
  <c r="AE20" i="2"/>
  <c r="AE21" i="2"/>
  <c r="AE22" i="2"/>
  <c r="AE24" i="2"/>
  <c r="AB168" i="2"/>
  <c r="AB170" i="2"/>
  <c r="AD225" i="1"/>
  <c r="AB159" i="2"/>
  <c r="AB160" i="2"/>
  <c r="AB154" i="2"/>
  <c r="AB152" i="2"/>
  <c r="AB150" i="2"/>
  <c r="AB147" i="2"/>
  <c r="AB148" i="2"/>
  <c r="AB146" i="2"/>
  <c r="AB139" i="2"/>
  <c r="AB140" i="2"/>
  <c r="AB141" i="2"/>
  <c r="AB142" i="2"/>
  <c r="AB121" i="2"/>
  <c r="AB122" i="2"/>
  <c r="AB123" i="2"/>
  <c r="AB124" i="2"/>
  <c r="AB125" i="2"/>
  <c r="AB126" i="2"/>
  <c r="AB127" i="2"/>
  <c r="AB128" i="2"/>
  <c r="AB129" i="2"/>
  <c r="AB130" i="2"/>
  <c r="AB131" i="2"/>
  <c r="AB132" i="2"/>
  <c r="AB133" i="2"/>
  <c r="AB134" i="2"/>
  <c r="AB135" i="2"/>
  <c r="AB136" i="2"/>
  <c r="AB137" i="2"/>
  <c r="AB138" i="2"/>
  <c r="AB120" i="2"/>
  <c r="AB99" i="2"/>
  <c r="AB100" i="2"/>
  <c r="AB101" i="2"/>
  <c r="AB102" i="2"/>
  <c r="AB103" i="2"/>
  <c r="AB105" i="2"/>
  <c r="AB106" i="2"/>
  <c r="AB107" i="2"/>
  <c r="AB108" i="2"/>
  <c r="AB109" i="2"/>
  <c r="AB110" i="2"/>
  <c r="AB111" i="2"/>
  <c r="AB112" i="2"/>
  <c r="AB113" i="2"/>
  <c r="AB114" i="2"/>
  <c r="AB115" i="2"/>
  <c r="AB116" i="2"/>
  <c r="AB117" i="2"/>
  <c r="AB118" i="2"/>
  <c r="AB98" i="2"/>
  <c r="AB95" i="2"/>
  <c r="AB96" i="2"/>
  <c r="AB94" i="2"/>
  <c r="AB88" i="2"/>
  <c r="AB89" i="2"/>
  <c r="AB87" i="2"/>
  <c r="AB74" i="2"/>
  <c r="AB75" i="2"/>
  <c r="AB76" i="2"/>
  <c r="AB77" i="2"/>
  <c r="AB78" i="2"/>
  <c r="AB79" i="2"/>
  <c r="AB80" i="2"/>
  <c r="AB81" i="2"/>
  <c r="AB82" i="2"/>
  <c r="AD119" i="1" s="1"/>
  <c r="AB83" i="2"/>
  <c r="AB84" i="2"/>
  <c r="AB85" i="2"/>
  <c r="AB73" i="2"/>
  <c r="AB62" i="2"/>
  <c r="AB63" i="2"/>
  <c r="AB64" i="2"/>
  <c r="AB65" i="2"/>
  <c r="AB66" i="2"/>
  <c r="AB67" i="2"/>
  <c r="AB68" i="2"/>
  <c r="AB69" i="2"/>
  <c r="AB71" i="2"/>
  <c r="AB61" i="2"/>
  <c r="AB58" i="2"/>
  <c r="AB59" i="2"/>
  <c r="AB57" i="2"/>
  <c r="AB50" i="2"/>
  <c r="AB52" i="2"/>
  <c r="AB53" i="2"/>
  <c r="AB55" i="2"/>
  <c r="AB48" i="2"/>
  <c r="AB41" i="2"/>
  <c r="AB42" i="2"/>
  <c r="AB43" i="2"/>
  <c r="AB44" i="2"/>
  <c r="AB45" i="2"/>
  <c r="AB46" i="2"/>
  <c r="AB40" i="2"/>
  <c r="AB36" i="2"/>
  <c r="AB35" i="2"/>
  <c r="AB33" i="2"/>
  <c r="AB28" i="2"/>
  <c r="AB29" i="2"/>
  <c r="AB27" i="2"/>
  <c r="AB16" i="2"/>
  <c r="AB17" i="2"/>
  <c r="AB18" i="2"/>
  <c r="AB19" i="2"/>
  <c r="AB20" i="2"/>
  <c r="AB21" i="2"/>
  <c r="AB22" i="2"/>
  <c r="AB23" i="2"/>
  <c r="AB24" i="2"/>
  <c r="AB25" i="2"/>
  <c r="X163" i="2"/>
  <c r="J47" i="5"/>
  <c r="X152" i="2"/>
  <c r="X150" i="2"/>
  <c r="X147" i="2"/>
  <c r="X148" i="2"/>
  <c r="X146" i="2"/>
  <c r="X139" i="2"/>
  <c r="X141" i="2"/>
  <c r="X142" i="2"/>
  <c r="X121" i="2"/>
  <c r="X122" i="2"/>
  <c r="X123" i="2"/>
  <c r="X124" i="2"/>
  <c r="X125" i="2"/>
  <c r="X126" i="2"/>
  <c r="X127" i="2"/>
  <c r="X128" i="2"/>
  <c r="X129" i="2"/>
  <c r="X130" i="2"/>
  <c r="X131" i="2"/>
  <c r="X132" i="2"/>
  <c r="X133" i="2"/>
  <c r="X134" i="2"/>
  <c r="X135" i="2"/>
  <c r="X136" i="2"/>
  <c r="X137" i="2"/>
  <c r="X138" i="2"/>
  <c r="X120" i="2"/>
  <c r="X100" i="2"/>
  <c r="X101" i="2"/>
  <c r="X102" i="2"/>
  <c r="X103" i="2"/>
  <c r="X105" i="2"/>
  <c r="X106" i="2"/>
  <c r="X107" i="2"/>
  <c r="X108" i="2"/>
  <c r="X109" i="2"/>
  <c r="X111" i="2"/>
  <c r="X112" i="2"/>
  <c r="X113" i="2"/>
  <c r="X114" i="2"/>
  <c r="X115" i="2"/>
  <c r="X116" i="2"/>
  <c r="X117" i="2"/>
  <c r="X118" i="2"/>
  <c r="X98" i="2"/>
  <c r="X95" i="2"/>
  <c r="X96" i="2"/>
  <c r="X94" i="2"/>
  <c r="X92" i="2"/>
  <c r="X88" i="2"/>
  <c r="X89" i="2"/>
  <c r="X90" i="2"/>
  <c r="X74" i="2"/>
  <c r="X75" i="2"/>
  <c r="X76" i="2"/>
  <c r="X77" i="2"/>
  <c r="X78" i="2"/>
  <c r="X79" i="2"/>
  <c r="X80" i="2"/>
  <c r="X81" i="2"/>
  <c r="X82" i="2"/>
  <c r="X83" i="2"/>
  <c r="X84" i="2"/>
  <c r="X85" i="2"/>
  <c r="X73" i="2"/>
  <c r="X62" i="2"/>
  <c r="X63" i="2"/>
  <c r="X64" i="2"/>
  <c r="X65" i="2"/>
  <c r="X66" i="2"/>
  <c r="X67" i="2"/>
  <c r="X68" i="2"/>
  <c r="X69" i="2"/>
  <c r="X71" i="2"/>
  <c r="X61" i="2"/>
  <c r="X58" i="2"/>
  <c r="X59" i="2"/>
  <c r="X57" i="2"/>
  <c r="X50" i="2"/>
  <c r="X52" i="2"/>
  <c r="X53" i="2"/>
  <c r="X55" i="2"/>
  <c r="X48" i="2"/>
  <c r="X42" i="2"/>
  <c r="X43" i="2"/>
  <c r="X44" i="2"/>
  <c r="X45" i="2"/>
  <c r="X46" i="2"/>
  <c r="X40" i="2"/>
  <c r="X35" i="2"/>
  <c r="X33" i="2"/>
  <c r="X28" i="2"/>
  <c r="X29" i="2"/>
  <c r="X27" i="2"/>
  <c r="X16" i="2"/>
  <c r="X17" i="2"/>
  <c r="X18" i="2"/>
  <c r="X19" i="2"/>
  <c r="X20" i="2"/>
  <c r="X21" i="2"/>
  <c r="X22" i="2"/>
  <c r="X24" i="2"/>
  <c r="U168" i="2"/>
  <c r="U170" i="2"/>
  <c r="U163" i="2"/>
  <c r="W225" i="1" s="1"/>
  <c r="U159" i="2"/>
  <c r="U160" i="2"/>
  <c r="U154" i="2"/>
  <c r="U152" i="2"/>
  <c r="U150" i="2"/>
  <c r="U147" i="2"/>
  <c r="U148" i="2"/>
  <c r="U146" i="2"/>
  <c r="U137" i="2"/>
  <c r="U138" i="2"/>
  <c r="U139" i="2"/>
  <c r="U140" i="2"/>
  <c r="U141" i="2"/>
  <c r="U142" i="2"/>
  <c r="U121" i="2"/>
  <c r="U122" i="2"/>
  <c r="U123" i="2"/>
  <c r="U124" i="2"/>
  <c r="U125" i="2"/>
  <c r="U126" i="2"/>
  <c r="U127" i="2"/>
  <c r="U128" i="2"/>
  <c r="U129" i="2"/>
  <c r="U130" i="2"/>
  <c r="U131" i="2"/>
  <c r="U132" i="2"/>
  <c r="U133" i="2"/>
  <c r="U134" i="2"/>
  <c r="U135" i="2"/>
  <c r="U136" i="2"/>
  <c r="U120" i="2"/>
  <c r="U99" i="2"/>
  <c r="U100" i="2"/>
  <c r="U101" i="2"/>
  <c r="U102" i="2"/>
  <c r="U103" i="2"/>
  <c r="U105" i="2"/>
  <c r="U106" i="2"/>
  <c r="U107" i="2"/>
  <c r="U108" i="2"/>
  <c r="U109" i="2"/>
  <c r="U110" i="2"/>
  <c r="U111" i="2"/>
  <c r="U112" i="2"/>
  <c r="U113" i="2"/>
  <c r="U114" i="2"/>
  <c r="U115" i="2"/>
  <c r="U116" i="2"/>
  <c r="U117" i="2"/>
  <c r="U118" i="2"/>
  <c r="U98" i="2"/>
  <c r="U95" i="2"/>
  <c r="U96" i="2"/>
  <c r="U94" i="2"/>
  <c r="U88" i="2"/>
  <c r="U89" i="2"/>
  <c r="U87" i="2"/>
  <c r="U74" i="2"/>
  <c r="U75" i="2"/>
  <c r="U76" i="2"/>
  <c r="U77" i="2"/>
  <c r="U78" i="2"/>
  <c r="U79" i="2"/>
  <c r="U80" i="2"/>
  <c r="U81" i="2"/>
  <c r="U82" i="2"/>
  <c r="W119" i="1" s="1"/>
  <c r="U83" i="2"/>
  <c r="U84" i="2"/>
  <c r="U85" i="2"/>
  <c r="U73" i="2"/>
  <c r="U62" i="2"/>
  <c r="U63" i="2"/>
  <c r="U64" i="2"/>
  <c r="U65" i="2"/>
  <c r="U66" i="2"/>
  <c r="U67" i="2"/>
  <c r="U68" i="2"/>
  <c r="U69" i="2"/>
  <c r="U71" i="2"/>
  <c r="U61" i="2"/>
  <c r="U58" i="2"/>
  <c r="U59" i="2"/>
  <c r="U57" i="2"/>
  <c r="U50" i="2"/>
  <c r="U53" i="2"/>
  <c r="U55" i="2"/>
  <c r="U48" i="2"/>
  <c r="U41" i="2"/>
  <c r="U42" i="2"/>
  <c r="U43" i="2"/>
  <c r="U44" i="2"/>
  <c r="U45" i="2"/>
  <c r="U46" i="2"/>
  <c r="U40" i="2"/>
  <c r="U36" i="2"/>
  <c r="U35" i="2"/>
  <c r="U33" i="2"/>
  <c r="U28" i="2"/>
  <c r="U29" i="2"/>
  <c r="U27" i="2"/>
  <c r="U16" i="2"/>
  <c r="U17" i="2"/>
  <c r="U18" i="2"/>
  <c r="U19" i="2"/>
  <c r="U20" i="2"/>
  <c r="U21" i="2"/>
  <c r="U22" i="2"/>
  <c r="U23" i="2"/>
  <c r="U24" i="2"/>
  <c r="U25" i="2"/>
  <c r="H54" i="5"/>
  <c r="I54" i="5" s="1"/>
  <c r="Q163" i="2"/>
  <c r="H47" i="5"/>
  <c r="Q152" i="2"/>
  <c r="Q150" i="2"/>
  <c r="Q147" i="2"/>
  <c r="Q148" i="2"/>
  <c r="Q146" i="2"/>
  <c r="Q141" i="2"/>
  <c r="Q142" i="2"/>
  <c r="Q121" i="2"/>
  <c r="Q122" i="2"/>
  <c r="Q123" i="2"/>
  <c r="Q124" i="2"/>
  <c r="Q125" i="2"/>
  <c r="Q126" i="2"/>
  <c r="Q127" i="2"/>
  <c r="Q128" i="2"/>
  <c r="Q129" i="2"/>
  <c r="Q130" i="2"/>
  <c r="Q131" i="2"/>
  <c r="Q132" i="2"/>
  <c r="Q133" i="2"/>
  <c r="Q134" i="2"/>
  <c r="Q135" i="2"/>
  <c r="Q136" i="2"/>
  <c r="Q137" i="2"/>
  <c r="Q138" i="2"/>
  <c r="Q139" i="2"/>
  <c r="Q120" i="2"/>
  <c r="Q100" i="2"/>
  <c r="Q101" i="2"/>
  <c r="Q102" i="2"/>
  <c r="Q103" i="2"/>
  <c r="Q105" i="2"/>
  <c r="Q106" i="2"/>
  <c r="Q107" i="2"/>
  <c r="Q108" i="2"/>
  <c r="Q109" i="2"/>
  <c r="Q111" i="2"/>
  <c r="Q112" i="2"/>
  <c r="Q113" i="2"/>
  <c r="Q114" i="2"/>
  <c r="Q115" i="2"/>
  <c r="Q116" i="2"/>
  <c r="Q117" i="2"/>
  <c r="Q118" i="2"/>
  <c r="Q98" i="2"/>
  <c r="Q95" i="2"/>
  <c r="Q96" i="2"/>
  <c r="Q94" i="2"/>
  <c r="Q92" i="2"/>
  <c r="Q88" i="2"/>
  <c r="Q89" i="2"/>
  <c r="Q90" i="2"/>
  <c r="Q74" i="2"/>
  <c r="Q75" i="2"/>
  <c r="Q76" i="2"/>
  <c r="Q77" i="2"/>
  <c r="Q78" i="2"/>
  <c r="Q79" i="2"/>
  <c r="Q80" i="2"/>
  <c r="Q81" i="2"/>
  <c r="Q82" i="2"/>
  <c r="R82" i="2" s="1"/>
  <c r="S82" i="2" s="1"/>
  <c r="Q83" i="2"/>
  <c r="Q84" i="2"/>
  <c r="Q85" i="2"/>
  <c r="Q73" i="2"/>
  <c r="Q62" i="2"/>
  <c r="Q63" i="2"/>
  <c r="Q64" i="2"/>
  <c r="Q65" i="2"/>
  <c r="Q66" i="2"/>
  <c r="Q67" i="2"/>
  <c r="Q68" i="2"/>
  <c r="Q69" i="2"/>
  <c r="Q71" i="2"/>
  <c r="Q61" i="2"/>
  <c r="Q58" i="2"/>
  <c r="R58" i="2" s="1"/>
  <c r="Q59" i="2"/>
  <c r="R57" i="2"/>
  <c r="Q50" i="2"/>
  <c r="Q53" i="2"/>
  <c r="Q55" i="2"/>
  <c r="Q48" i="2"/>
  <c r="Q42" i="2"/>
  <c r="Q43" i="2"/>
  <c r="Q44" i="2"/>
  <c r="Q45" i="2"/>
  <c r="Q46" i="2"/>
  <c r="Q40" i="2"/>
  <c r="Q35" i="2"/>
  <c r="Q33" i="2"/>
  <c r="Q28" i="2"/>
  <c r="Q29" i="2"/>
  <c r="Q27" i="2"/>
  <c r="Q16" i="2"/>
  <c r="Q17" i="2"/>
  <c r="Q18" i="2"/>
  <c r="Q19" i="2"/>
  <c r="Q20" i="2"/>
  <c r="Q21" i="2"/>
  <c r="Q22" i="2"/>
  <c r="Q24" i="2"/>
  <c r="N168" i="2"/>
  <c r="N170" i="2"/>
  <c r="N163" i="2"/>
  <c r="P225" i="1" s="1"/>
  <c r="N159" i="2"/>
  <c r="N160" i="2"/>
  <c r="N154" i="2"/>
  <c r="N152" i="2"/>
  <c r="N150" i="2"/>
  <c r="N147" i="2"/>
  <c r="N148" i="2"/>
  <c r="N146" i="2"/>
  <c r="N137" i="2"/>
  <c r="N138" i="2"/>
  <c r="N139" i="2"/>
  <c r="N140" i="2"/>
  <c r="N141" i="2"/>
  <c r="N142" i="2"/>
  <c r="N121" i="2"/>
  <c r="N122" i="2"/>
  <c r="N123" i="2"/>
  <c r="N124" i="2"/>
  <c r="N125" i="2"/>
  <c r="N126" i="2"/>
  <c r="N127" i="2"/>
  <c r="N128" i="2"/>
  <c r="N129" i="2"/>
  <c r="N130" i="2"/>
  <c r="N131" i="2"/>
  <c r="N132" i="2"/>
  <c r="N133" i="2"/>
  <c r="N134" i="2"/>
  <c r="N135" i="2"/>
  <c r="N136" i="2"/>
  <c r="N120" i="2"/>
  <c r="N99" i="2"/>
  <c r="N100" i="2"/>
  <c r="N101" i="2"/>
  <c r="N102" i="2"/>
  <c r="N103" i="2"/>
  <c r="N105" i="2"/>
  <c r="N106" i="2"/>
  <c r="N107" i="2"/>
  <c r="N108" i="2"/>
  <c r="N109" i="2"/>
  <c r="N110" i="2"/>
  <c r="N111" i="2"/>
  <c r="N112" i="2"/>
  <c r="N113" i="2"/>
  <c r="N114" i="2"/>
  <c r="N115" i="2"/>
  <c r="N116" i="2"/>
  <c r="N117" i="2"/>
  <c r="N118" i="2"/>
  <c r="N98" i="2"/>
  <c r="N95" i="2"/>
  <c r="N96" i="2"/>
  <c r="N94" i="2"/>
  <c r="N88" i="2"/>
  <c r="N89" i="2"/>
  <c r="N87" i="2"/>
  <c r="N74" i="2"/>
  <c r="N75" i="2"/>
  <c r="N76" i="2"/>
  <c r="N77" i="2"/>
  <c r="N78" i="2"/>
  <c r="N79" i="2"/>
  <c r="N80" i="2"/>
  <c r="N81" i="2"/>
  <c r="N82" i="2"/>
  <c r="P119" i="1" s="1"/>
  <c r="N83" i="2"/>
  <c r="N84" i="2"/>
  <c r="N85" i="2"/>
  <c r="N73" i="2"/>
  <c r="N62" i="2"/>
  <c r="N63" i="2"/>
  <c r="N64" i="2"/>
  <c r="N65" i="2"/>
  <c r="N66" i="2"/>
  <c r="N67" i="2"/>
  <c r="N68" i="2"/>
  <c r="N69" i="2"/>
  <c r="N71" i="2"/>
  <c r="N61" i="2"/>
  <c r="N58" i="2"/>
  <c r="N59" i="2"/>
  <c r="N57" i="2"/>
  <c r="N50" i="2"/>
  <c r="N53" i="2"/>
  <c r="N55" i="2"/>
  <c r="N48" i="2"/>
  <c r="N41" i="2"/>
  <c r="N42" i="2"/>
  <c r="N43" i="2"/>
  <c r="N44" i="2"/>
  <c r="N45" i="2"/>
  <c r="N46" i="2"/>
  <c r="N40" i="2"/>
  <c r="N36" i="2"/>
  <c r="N35" i="2"/>
  <c r="N33" i="2"/>
  <c r="N28" i="2"/>
  <c r="N29" i="2"/>
  <c r="N27" i="2"/>
  <c r="N16" i="2"/>
  <c r="N17" i="2"/>
  <c r="N18" i="2"/>
  <c r="N19" i="2"/>
  <c r="N20" i="2"/>
  <c r="N21" i="2"/>
  <c r="N22" i="2"/>
  <c r="N23" i="2"/>
  <c r="N24" i="2"/>
  <c r="N25" i="2"/>
  <c r="J163" i="2"/>
  <c r="H163" i="2"/>
  <c r="J225" i="1" s="1"/>
  <c r="J82" i="2"/>
  <c r="H82" i="2"/>
  <c r="J119" i="1" s="1"/>
  <c r="X7" i="2" l="1"/>
  <c r="X8" i="2"/>
  <c r="N11" i="2"/>
  <c r="J11" i="2"/>
  <c r="J8" i="2"/>
  <c r="Q8" i="2"/>
  <c r="AE8" i="2"/>
  <c r="U11" i="2"/>
  <c r="AF163" i="2"/>
  <c r="AG163" i="2" s="1"/>
  <c r="AE11" i="2"/>
  <c r="AE10" i="2"/>
  <c r="Q7" i="2"/>
  <c r="U12" i="2"/>
  <c r="X11" i="2"/>
  <c r="N7" i="2"/>
  <c r="Q10" i="2"/>
  <c r="U7" i="2"/>
  <c r="AB12" i="2"/>
  <c r="N10" i="2"/>
  <c r="X10" i="2"/>
  <c r="U9" i="2"/>
  <c r="AB10" i="2"/>
  <c r="AB9" i="2"/>
  <c r="T163" i="2"/>
  <c r="Q11" i="2"/>
  <c r="AB7" i="2"/>
  <c r="AE7" i="2"/>
  <c r="N9" i="2"/>
  <c r="N12" i="2"/>
  <c r="U10" i="2"/>
  <c r="AB11" i="2"/>
  <c r="Y58" i="2"/>
  <c r="Z58" i="2" s="1"/>
  <c r="Y57" i="2"/>
  <c r="Z57" i="2" s="1"/>
  <c r="F49" i="5"/>
  <c r="B68" i="5"/>
  <c r="H36" i="5"/>
  <c r="L36" i="5"/>
  <c r="J36" i="5"/>
  <c r="L14" i="5"/>
  <c r="Q51" i="2"/>
  <c r="H49" i="5"/>
  <c r="J49" i="5"/>
  <c r="AE51" i="2"/>
  <c r="L49" i="5"/>
  <c r="J14" i="5"/>
  <c r="H14" i="5"/>
  <c r="J46" i="5"/>
  <c r="L46" i="5"/>
  <c r="H46" i="5"/>
  <c r="Q153" i="2"/>
  <c r="R153" i="2" s="1"/>
  <c r="S153" i="2" s="1"/>
  <c r="H11" i="5"/>
  <c r="J11" i="5"/>
  <c r="L11" i="5"/>
  <c r="AE153" i="2"/>
  <c r="AE49" i="2"/>
  <c r="X153" i="2"/>
  <c r="J70" i="2"/>
  <c r="X70" i="2"/>
  <c r="J51" i="2"/>
  <c r="X51" i="2"/>
  <c r="J54" i="5"/>
  <c r="K54" i="5" s="1"/>
  <c r="K163" i="2"/>
  <c r="L163" i="2" s="1"/>
  <c r="Y82" i="2"/>
  <c r="Z82" i="2" s="1"/>
  <c r="AA163" i="2"/>
  <c r="M82" i="2"/>
  <c r="L52" i="5"/>
  <c r="L51" i="5" s="1"/>
  <c r="H52" i="5"/>
  <c r="H51" i="5" s="1"/>
  <c r="J52" i="5"/>
  <c r="L13" i="5"/>
  <c r="H35" i="5"/>
  <c r="H13" i="5"/>
  <c r="J35" i="5"/>
  <c r="J13" i="5"/>
  <c r="L35" i="5"/>
  <c r="D48" i="5"/>
  <c r="D43" i="5"/>
  <c r="D12" i="5"/>
  <c r="L12" i="5"/>
  <c r="H12" i="5"/>
  <c r="J12" i="5"/>
  <c r="L43" i="5"/>
  <c r="H43" i="5"/>
  <c r="J43" i="5"/>
  <c r="Z119" i="1"/>
  <c r="AA119" i="1" s="1"/>
  <c r="AB119" i="1" s="1"/>
  <c r="J48" i="5"/>
  <c r="K48" i="5" s="1"/>
  <c r="L48" i="5"/>
  <c r="M48" i="5" s="1"/>
  <c r="Z225" i="1"/>
  <c r="L225" i="1"/>
  <c r="S119" i="1"/>
  <c r="V119" i="1" s="1"/>
  <c r="L119" i="1"/>
  <c r="O119" i="1" s="1"/>
  <c r="AG119" i="1"/>
  <c r="AJ119" i="1" s="1"/>
  <c r="S225" i="1"/>
  <c r="F48" i="5"/>
  <c r="G48" i="5" s="1"/>
  <c r="AG225" i="1"/>
  <c r="H48" i="5"/>
  <c r="I48" i="5" s="1"/>
  <c r="M163" i="2"/>
  <c r="R163" i="2"/>
  <c r="S163" i="2" s="1"/>
  <c r="AL163" i="2"/>
  <c r="AH163" i="2"/>
  <c r="Y163" i="2"/>
  <c r="Z163" i="2" s="1"/>
  <c r="K82" i="2"/>
  <c r="L82" i="2" s="1"/>
  <c r="T82" i="2"/>
  <c r="AH82" i="2"/>
  <c r="AA82" i="2"/>
  <c r="N6" i="2" l="1"/>
  <c r="U6" i="2"/>
  <c r="AB6" i="2"/>
  <c r="J51" i="5"/>
  <c r="T119" i="1"/>
  <c r="U119" i="1" s="1"/>
  <c r="AH119" i="1"/>
  <c r="AI119" i="1" s="1"/>
  <c r="AC119" i="1"/>
  <c r="M225" i="1"/>
  <c r="N225" i="1" s="1"/>
  <c r="O225" i="1"/>
  <c r="AC225" i="1"/>
  <c r="AA225" i="1"/>
  <c r="AB225" i="1" s="1"/>
  <c r="AH225" i="1"/>
  <c r="AI225" i="1" s="1"/>
  <c r="AJ225" i="1"/>
  <c r="T225" i="1"/>
  <c r="U225" i="1" s="1"/>
  <c r="V225" i="1"/>
  <c r="M119" i="1"/>
  <c r="N119" i="1" s="1"/>
  <c r="E229" i="1" l="1"/>
  <c r="F229" i="1"/>
  <c r="H229" i="1"/>
  <c r="I229" i="1"/>
  <c r="J229" i="1"/>
  <c r="K229" i="1"/>
  <c r="E230" i="1"/>
  <c r="F230" i="1"/>
  <c r="H230" i="1"/>
  <c r="I230" i="1"/>
  <c r="K230" i="1"/>
  <c r="P230" i="1"/>
  <c r="R168" i="2"/>
  <c r="S168" i="2" s="1"/>
  <c r="W230" i="1"/>
  <c r="AD230" i="1"/>
  <c r="AH168" i="2"/>
  <c r="P229" i="1"/>
  <c r="S229" i="1"/>
  <c r="W229" i="1"/>
  <c r="AD229" i="1"/>
  <c r="AG229" i="1"/>
  <c r="G166" i="2"/>
  <c r="I166" i="2"/>
  <c r="F52" i="5" l="1"/>
  <c r="K168" i="2"/>
  <c r="L168" i="2" s="1"/>
  <c r="K167" i="2"/>
  <c r="L167" i="2" s="1"/>
  <c r="AL168" i="2"/>
  <c r="AL167" i="2"/>
  <c r="Y167" i="2"/>
  <c r="Z167" i="2" s="1"/>
  <c r="Y168" i="2"/>
  <c r="Z168" i="2" s="1"/>
  <c r="T167" i="2"/>
  <c r="L229" i="1"/>
  <c r="M229" i="1" s="1"/>
  <c r="N229" i="1" s="1"/>
  <c r="AH229" i="1"/>
  <c r="AI229" i="1" s="1"/>
  <c r="AJ229" i="1"/>
  <c r="V229" i="1"/>
  <c r="T229" i="1"/>
  <c r="U229" i="1" s="1"/>
  <c r="Z229" i="1"/>
  <c r="AG230" i="1"/>
  <c r="AH167" i="2"/>
  <c r="AF167" i="2"/>
  <c r="AG167" i="2" s="1"/>
  <c r="L230" i="1"/>
  <c r="S230" i="1"/>
  <c r="Z230" i="1"/>
  <c r="AA230" i="1" s="1"/>
  <c r="AB230" i="1" s="1"/>
  <c r="AF168" i="2"/>
  <c r="AG168" i="2" s="1"/>
  <c r="T168" i="2"/>
  <c r="AA168" i="2"/>
  <c r="M168" i="2"/>
  <c r="R167" i="2"/>
  <c r="S167" i="2" s="1"/>
  <c r="AA167" i="2"/>
  <c r="M167" i="2"/>
  <c r="O229" i="1" l="1"/>
  <c r="AH230" i="1"/>
  <c r="AI230" i="1" s="1"/>
  <c r="AJ230" i="1"/>
  <c r="V230" i="1"/>
  <c r="T230" i="1"/>
  <c r="U230" i="1" s="1"/>
  <c r="AC230" i="1"/>
  <c r="AC229" i="1"/>
  <c r="AA229" i="1"/>
  <c r="AB229" i="1" s="1"/>
  <c r="O230" i="1"/>
  <c r="M230" i="1"/>
  <c r="N230" i="1" s="1"/>
  <c r="C32" i="6"/>
  <c r="E32" i="6" s="1"/>
  <c r="H168" i="2"/>
  <c r="H12" i="2" s="1"/>
  <c r="H170" i="2"/>
  <c r="N166" i="2"/>
  <c r="U166" i="2"/>
  <c r="AB166" i="2"/>
  <c r="AB153" i="2"/>
  <c r="U153" i="2"/>
  <c r="N153" i="2"/>
  <c r="H166" i="2" l="1"/>
  <c r="F54" i="5"/>
  <c r="AL60" i="2"/>
  <c r="AL170" i="2"/>
  <c r="J230" i="1"/>
  <c r="R170" i="2"/>
  <c r="S170" i="2" s="1"/>
  <c r="Q166" i="2"/>
  <c r="K170" i="2"/>
  <c r="L170" i="2" s="1"/>
  <c r="J166" i="2"/>
  <c r="AF170" i="2"/>
  <c r="AG170" i="2" s="1"/>
  <c r="AE166" i="2"/>
  <c r="Y170" i="2"/>
  <c r="Z170" i="2" s="1"/>
  <c r="X166" i="2"/>
  <c r="T170" i="2"/>
  <c r="AH170" i="2"/>
  <c r="AA170" i="2"/>
  <c r="M170" i="2"/>
  <c r="G54" i="5" l="1"/>
  <c r="F51" i="5"/>
  <c r="G51" i="5" s="1"/>
  <c r="M166" i="2"/>
  <c r="T166" i="2"/>
  <c r="E47" i="5"/>
  <c r="C33" i="5"/>
  <c r="I221" i="1"/>
  <c r="K221" i="1"/>
  <c r="I222" i="1"/>
  <c r="K222" i="1"/>
  <c r="H221" i="1"/>
  <c r="H222" i="1"/>
  <c r="E216" i="1"/>
  <c r="F216" i="1"/>
  <c r="H216" i="1"/>
  <c r="I216" i="1"/>
  <c r="K216" i="1"/>
  <c r="E48" i="1"/>
  <c r="F48" i="1"/>
  <c r="G48" i="1"/>
  <c r="H48" i="1"/>
  <c r="I48" i="1"/>
  <c r="K48" i="1"/>
  <c r="P48" i="1"/>
  <c r="W48" i="1"/>
  <c r="AD48" i="1"/>
  <c r="R154" i="2"/>
  <c r="S154" i="2" s="1"/>
  <c r="W216" i="1"/>
  <c r="AG216" i="1"/>
  <c r="H154" i="2"/>
  <c r="AF160" i="2"/>
  <c r="AG160" i="2" s="1"/>
  <c r="AL160" i="2"/>
  <c r="AD222" i="1"/>
  <c r="R160" i="2"/>
  <c r="S160" i="2" s="1"/>
  <c r="W222" i="1"/>
  <c r="P222" i="1"/>
  <c r="H160" i="2"/>
  <c r="J222" i="1" s="1"/>
  <c r="H37" i="2"/>
  <c r="F46" i="5" l="1"/>
  <c r="AJ216" i="1"/>
  <c r="K160" i="2"/>
  <c r="L160" i="2" s="1"/>
  <c r="AL154" i="2"/>
  <c r="K154" i="2"/>
  <c r="L154" i="2" s="1"/>
  <c r="Y154" i="2"/>
  <c r="Z154" i="2" s="1"/>
  <c r="Y160" i="2"/>
  <c r="Z160" i="2" s="1"/>
  <c r="AH154" i="2"/>
  <c r="AF154" i="2"/>
  <c r="AG154" i="2" s="1"/>
  <c r="T154" i="2"/>
  <c r="S216" i="1"/>
  <c r="P216" i="1"/>
  <c r="S222" i="1"/>
  <c r="D47" i="5"/>
  <c r="L216" i="1"/>
  <c r="M216" i="1" s="1"/>
  <c r="N216" i="1" s="1"/>
  <c r="AG222" i="1"/>
  <c r="AH222" i="1" s="1"/>
  <c r="AI222" i="1" s="1"/>
  <c r="L222" i="1"/>
  <c r="M222" i="1" s="1"/>
  <c r="N222" i="1" s="1"/>
  <c r="J48" i="1"/>
  <c r="AD216" i="1"/>
  <c r="J216" i="1"/>
  <c r="Z216" i="1"/>
  <c r="Z222" i="1"/>
  <c r="AA222" i="1" s="1"/>
  <c r="AB222" i="1" s="1"/>
  <c r="AH216" i="1"/>
  <c r="AI216" i="1" s="1"/>
  <c r="M154" i="2"/>
  <c r="AA154" i="2"/>
  <c r="AH160" i="2"/>
  <c r="AA160" i="2"/>
  <c r="T160" i="2"/>
  <c r="M160" i="2"/>
  <c r="F100" i="2"/>
  <c r="AD221" i="1"/>
  <c r="W221" i="1"/>
  <c r="P221" i="1"/>
  <c r="H159" i="2"/>
  <c r="B11" i="5" l="1"/>
  <c r="B67" i="5" s="1"/>
  <c r="AA216" i="1"/>
  <c r="AB216" i="1" s="1"/>
  <c r="J153" i="2"/>
  <c r="J221" i="1"/>
  <c r="AL159" i="2"/>
  <c r="AJ222" i="1"/>
  <c r="O222" i="1"/>
  <c r="O216" i="1"/>
  <c r="AC216" i="1"/>
  <c r="AA159" i="2"/>
  <c r="K47" i="5"/>
  <c r="Z221" i="1"/>
  <c r="AF159" i="2"/>
  <c r="AG159" i="2" s="1"/>
  <c r="M47" i="5"/>
  <c r="AG221" i="1"/>
  <c r="V222" i="1"/>
  <c r="T222" i="1"/>
  <c r="U222" i="1" s="1"/>
  <c r="AC222" i="1"/>
  <c r="K159" i="2"/>
  <c r="L159" i="2" s="1"/>
  <c r="L221" i="1"/>
  <c r="G47" i="5"/>
  <c r="R159" i="2"/>
  <c r="S159" i="2" s="1"/>
  <c r="S221" i="1"/>
  <c r="I47" i="5"/>
  <c r="V216" i="1"/>
  <c r="T216" i="1"/>
  <c r="U216" i="1" s="1"/>
  <c r="M159" i="2"/>
  <c r="T159" i="2"/>
  <c r="AH159" i="2"/>
  <c r="Y159" i="2"/>
  <c r="Z159" i="2" s="1"/>
  <c r="B58" i="5" l="1"/>
  <c r="D58" i="5" s="1"/>
  <c r="T221" i="1"/>
  <c r="U221" i="1" s="1"/>
  <c r="V221" i="1"/>
  <c r="AJ221" i="1"/>
  <c r="AH221" i="1"/>
  <c r="AI221" i="1" s="1"/>
  <c r="M221" i="1"/>
  <c r="N221" i="1" s="1"/>
  <c r="O221" i="1"/>
  <c r="AA221" i="1"/>
  <c r="AB221" i="1" s="1"/>
  <c r="AC221" i="1"/>
  <c r="AL15" i="2" l="1"/>
  <c r="J198" i="2" l="1"/>
  <c r="K232" i="1" l="1"/>
  <c r="K228" i="1" s="1"/>
  <c r="I232" i="1"/>
  <c r="I228" i="1" s="1"/>
  <c r="H232" i="1"/>
  <c r="H228" i="1" s="1"/>
  <c r="F232" i="1"/>
  <c r="E232" i="1"/>
  <c r="E226" i="1"/>
  <c r="F226" i="1"/>
  <c r="H226" i="1"/>
  <c r="I226" i="1"/>
  <c r="K226" i="1"/>
  <c r="E217" i="1"/>
  <c r="F217" i="1"/>
  <c r="H217" i="1"/>
  <c r="I217" i="1"/>
  <c r="K217" i="1"/>
  <c r="B211" i="1"/>
  <c r="C85" i="5"/>
  <c r="C84" i="5" s="1"/>
  <c r="C18" i="5"/>
  <c r="B18" i="5"/>
  <c r="C50" i="5"/>
  <c r="B50" i="5"/>
  <c r="B85" i="5" s="1"/>
  <c r="H179" i="2"/>
  <c r="B74" i="5" l="1"/>
  <c r="C83" i="5"/>
  <c r="D83" i="5" s="1"/>
  <c r="C28" i="6"/>
  <c r="B62" i="6" s="1"/>
  <c r="D85" i="5"/>
  <c r="F79" i="5"/>
  <c r="D28" i="6"/>
  <c r="C62" i="6" s="1"/>
  <c r="S232" i="1"/>
  <c r="D46" i="5"/>
  <c r="D50" i="5"/>
  <c r="S228" i="1" l="1"/>
  <c r="V228" i="1" s="1"/>
  <c r="T232" i="1"/>
  <c r="C82" i="5"/>
  <c r="D62" i="6"/>
  <c r="V232" i="1"/>
  <c r="I51" i="5"/>
  <c r="D52" i="5"/>
  <c r="D51" i="5" s="1"/>
  <c r="I52" i="5"/>
  <c r="T228" i="1" l="1"/>
  <c r="U228" i="1" s="1"/>
  <c r="C81" i="5"/>
  <c r="D82" i="5"/>
  <c r="D68" i="5" s="1"/>
  <c r="O28" i="6"/>
  <c r="L28" i="6"/>
  <c r="U232" i="1"/>
  <c r="H155" i="2"/>
  <c r="AG232" i="1"/>
  <c r="P226" i="1"/>
  <c r="S226" i="1"/>
  <c r="W226" i="1"/>
  <c r="AD226" i="1"/>
  <c r="AG226" i="1"/>
  <c r="R162" i="2"/>
  <c r="S162" i="2" s="1"/>
  <c r="H164" i="2"/>
  <c r="J226" i="1" s="1"/>
  <c r="B15" i="2"/>
  <c r="B16" i="2"/>
  <c r="B17" i="2"/>
  <c r="B18" i="2"/>
  <c r="B19" i="2"/>
  <c r="B20" i="2"/>
  <c r="B21" i="2"/>
  <c r="B22" i="2"/>
  <c r="B23" i="2"/>
  <c r="B24" i="2"/>
  <c r="B25" i="2"/>
  <c r="B26" i="2"/>
  <c r="B27" i="2"/>
  <c r="B28" i="2"/>
  <c r="B29" i="2"/>
  <c r="B30" i="2"/>
  <c r="B31" i="2"/>
  <c r="B32" i="2"/>
  <c r="B33" i="2"/>
  <c r="B34" i="2"/>
  <c r="B35" i="2"/>
  <c r="B36"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3" i="2"/>
  <c r="B84" i="2"/>
  <c r="B85" i="2"/>
  <c r="B86" i="2"/>
  <c r="B87" i="2"/>
  <c r="B88" i="2"/>
  <c r="B89" i="2"/>
  <c r="B90" i="2"/>
  <c r="B91" i="2"/>
  <c r="B92" i="2"/>
  <c r="B93"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9" i="2"/>
  <c r="B130" i="2"/>
  <c r="B131" i="2"/>
  <c r="B132" i="2"/>
  <c r="B133" i="2"/>
  <c r="B134" i="2"/>
  <c r="B135" i="2"/>
  <c r="B136" i="2"/>
  <c r="B137" i="2"/>
  <c r="B138" i="2"/>
  <c r="B139" i="2"/>
  <c r="B140" i="2"/>
  <c r="B141" i="2"/>
  <c r="B142" i="2"/>
  <c r="B144" i="2"/>
  <c r="B145" i="2"/>
  <c r="B146" i="2"/>
  <c r="B147" i="2"/>
  <c r="B149" i="2"/>
  <c r="B150" i="2"/>
  <c r="B151" i="2"/>
  <c r="B152" i="2"/>
  <c r="B14" i="2"/>
  <c r="B214" i="1"/>
  <c r="B200" i="1"/>
  <c r="B193" i="1"/>
  <c r="B118" i="1"/>
  <c r="B117" i="1"/>
  <c r="B99" i="1"/>
  <c r="B98" i="1"/>
  <c r="B96" i="1"/>
  <c r="N28" i="6" l="1"/>
  <c r="M28" i="6"/>
  <c r="AG228" i="1"/>
  <c r="AJ228" i="1" s="1"/>
  <c r="AH232" i="1"/>
  <c r="D80" i="5"/>
  <c r="D81" i="5"/>
  <c r="AL164" i="2"/>
  <c r="AL155" i="2"/>
  <c r="J217" i="1"/>
  <c r="G46" i="5"/>
  <c r="P217" i="1"/>
  <c r="S217" i="1"/>
  <c r="W217" i="1"/>
  <c r="AD217" i="1"/>
  <c r="AG217" i="1"/>
  <c r="Z232" i="1"/>
  <c r="Z226" i="1"/>
  <c r="AC226" i="1" s="1"/>
  <c r="L217" i="1"/>
  <c r="L232" i="1"/>
  <c r="M232" i="1" s="1"/>
  <c r="Z217" i="1"/>
  <c r="W232" i="1"/>
  <c r="W228" i="1" s="1"/>
  <c r="AH226" i="1"/>
  <c r="AI226" i="1" s="1"/>
  <c r="AJ226" i="1"/>
  <c r="AD232" i="1"/>
  <c r="AD228" i="1" s="1"/>
  <c r="T226" i="1"/>
  <c r="U226" i="1" s="1"/>
  <c r="V226" i="1"/>
  <c r="P232" i="1"/>
  <c r="P228" i="1" s="1"/>
  <c r="K164" i="2"/>
  <c r="L164" i="2" s="1"/>
  <c r="L226" i="1"/>
  <c r="J232" i="1"/>
  <c r="AJ232" i="1"/>
  <c r="AA155" i="2"/>
  <c r="AH164" i="2"/>
  <c r="L50" i="5"/>
  <c r="M50" i="5" s="1"/>
  <c r="AH155" i="2"/>
  <c r="Y164" i="2"/>
  <c r="Z164" i="2" s="1"/>
  <c r="J50" i="5"/>
  <c r="K50" i="5" s="1"/>
  <c r="M155" i="2"/>
  <c r="R164" i="2"/>
  <c r="S164" i="2" s="1"/>
  <c r="H50" i="5"/>
  <c r="I50" i="5" s="1"/>
  <c r="F50" i="5"/>
  <c r="R155" i="2"/>
  <c r="S155" i="2" s="1"/>
  <c r="Y155" i="2"/>
  <c r="Z155" i="2" s="1"/>
  <c r="T155" i="2"/>
  <c r="K155" i="2"/>
  <c r="L155" i="2" s="1"/>
  <c r="AF155" i="2"/>
  <c r="AG155" i="2" s="1"/>
  <c r="AF164" i="2"/>
  <c r="AG164" i="2" s="1"/>
  <c r="T164" i="2"/>
  <c r="AA164" i="2"/>
  <c r="M164" i="2"/>
  <c r="T162" i="2"/>
  <c r="AH228" i="1" l="1"/>
  <c r="AI228" i="1" s="1"/>
  <c r="Z228" i="1"/>
  <c r="AC228" i="1" s="1"/>
  <c r="AA232" i="1"/>
  <c r="AB232" i="1" s="1"/>
  <c r="AJ217" i="1"/>
  <c r="V217" i="1"/>
  <c r="Y28" i="6"/>
  <c r="J228" i="1"/>
  <c r="E28" i="6" s="1"/>
  <c r="N232" i="1"/>
  <c r="L228" i="1"/>
  <c r="T217" i="1"/>
  <c r="U217" i="1" s="1"/>
  <c r="AH217" i="1"/>
  <c r="AI217" i="1" s="1"/>
  <c r="AC217" i="1"/>
  <c r="M217" i="1"/>
  <c r="N217" i="1" s="1"/>
  <c r="AA226" i="1"/>
  <c r="AB226" i="1" s="1"/>
  <c r="O217" i="1"/>
  <c r="AC232" i="1"/>
  <c r="AA217" i="1"/>
  <c r="AB217" i="1" s="1"/>
  <c r="O232" i="1"/>
  <c r="K28" i="6"/>
  <c r="V28" i="6"/>
  <c r="O226" i="1"/>
  <c r="M226" i="1"/>
  <c r="N226" i="1" s="1"/>
  <c r="P28" i="6"/>
  <c r="U28" i="6"/>
  <c r="AI232" i="1"/>
  <c r="X28" i="6" s="1"/>
  <c r="G52" i="5"/>
  <c r="AA166" i="2"/>
  <c r="K46" i="5"/>
  <c r="K51" i="5"/>
  <c r="K52" i="5"/>
  <c r="I46" i="5"/>
  <c r="M46" i="5"/>
  <c r="M52" i="5"/>
  <c r="M51" i="5"/>
  <c r="G50" i="5"/>
  <c r="AH166" i="2"/>
  <c r="E6" i="16"/>
  <c r="E7" i="16"/>
  <c r="E8" i="16"/>
  <c r="E5" i="16"/>
  <c r="O12" i="16"/>
  <c r="E12" i="16" s="1"/>
  <c r="O13" i="16"/>
  <c r="E13" i="16" s="1"/>
  <c r="O11" i="16"/>
  <c r="O10" i="16"/>
  <c r="E10" i="16" s="1"/>
  <c r="O9" i="16"/>
  <c r="E9" i="16" s="1"/>
  <c r="C44" i="5"/>
  <c r="C45" i="5"/>
  <c r="E45" i="5"/>
  <c r="W28" i="6" l="1"/>
  <c r="Q28" i="6"/>
  <c r="AA228" i="1"/>
  <c r="AB228" i="1" s="1"/>
  <c r="S28" i="6" s="1"/>
  <c r="B84" i="5"/>
  <c r="B45" i="5"/>
  <c r="T28" i="6"/>
  <c r="O228" i="1"/>
  <c r="J28" i="6" s="1"/>
  <c r="M228" i="1"/>
  <c r="G28" i="6"/>
  <c r="O16" i="16"/>
  <c r="D49" i="5"/>
  <c r="D45" i="5" s="1"/>
  <c r="H144" i="2"/>
  <c r="H141" i="2"/>
  <c r="H142" i="2"/>
  <c r="R28" i="6" l="1"/>
  <c r="B79" i="5"/>
  <c r="I79" i="5" s="1"/>
  <c r="D84" i="5"/>
  <c r="D79" i="5" s="1"/>
  <c r="N228" i="1"/>
  <c r="I28" i="6" s="1"/>
  <c r="H28" i="6"/>
  <c r="C13" i="10"/>
  <c r="C16" i="5" l="1"/>
  <c r="H99" i="1"/>
  <c r="I99" i="1"/>
  <c r="K99" i="1"/>
  <c r="E99" i="1"/>
  <c r="F99" i="1"/>
  <c r="F98" i="1"/>
  <c r="E98" i="1"/>
  <c r="H67" i="2"/>
  <c r="J99" i="1" s="1"/>
  <c r="J67" i="2"/>
  <c r="P99" i="1"/>
  <c r="R67" i="2"/>
  <c r="S67" i="2" s="1"/>
  <c r="W99" i="1"/>
  <c r="AD99" i="1"/>
  <c r="AH67" i="2"/>
  <c r="AL67" i="2" l="1"/>
  <c r="AL54" i="2"/>
  <c r="Y67" i="2"/>
  <c r="Z67" i="2" s="1"/>
  <c r="K67" i="2"/>
  <c r="L67" i="2" s="1"/>
  <c r="AG99" i="1"/>
  <c r="AJ99" i="1" s="1"/>
  <c r="Z99" i="1"/>
  <c r="AC99" i="1" s="1"/>
  <c r="T67" i="2"/>
  <c r="S99" i="1"/>
  <c r="T99" i="1" s="1"/>
  <c r="U99" i="1" s="1"/>
  <c r="L99" i="1"/>
  <c r="O99" i="1" s="1"/>
  <c r="AA67" i="2"/>
  <c r="M67" i="2"/>
  <c r="AF67" i="2"/>
  <c r="AG67" i="2" s="1"/>
  <c r="V99" i="1" l="1"/>
  <c r="AH99" i="1"/>
  <c r="AI99" i="1" s="1"/>
  <c r="M99" i="1"/>
  <c r="N99" i="1" s="1"/>
  <c r="AA99" i="1"/>
  <c r="AB99" i="1" s="1"/>
  <c r="E11" i="16" l="1"/>
  <c r="G79" i="5" l="1"/>
  <c r="C79" i="5"/>
  <c r="E79" i="5"/>
  <c r="I81" i="5"/>
  <c r="I82" i="5"/>
  <c r="I84" i="5"/>
  <c r="I85" i="5"/>
  <c r="B70" i="5"/>
  <c r="B59" i="5"/>
  <c r="D59" i="5" s="1"/>
  <c r="E15" i="16"/>
  <c r="I62" i="6"/>
  <c r="F224" i="1"/>
  <c r="F223" i="1"/>
  <c r="H224" i="1"/>
  <c r="I224" i="1"/>
  <c r="K224" i="1"/>
  <c r="H223" i="1"/>
  <c r="I223" i="1"/>
  <c r="K223" i="1"/>
  <c r="E224" i="1"/>
  <c r="E223" i="1"/>
  <c r="I118" i="1"/>
  <c r="E118" i="1"/>
  <c r="F118" i="1"/>
  <c r="H118" i="1"/>
  <c r="AH12" i="2"/>
  <c r="AA12" i="2"/>
  <c r="T12" i="2"/>
  <c r="M12" i="2"/>
  <c r="I153" i="2"/>
  <c r="F151" i="2"/>
  <c r="F149" i="2"/>
  <c r="F86" i="2"/>
  <c r="F47" i="2"/>
  <c r="F26" i="2"/>
  <c r="AH162" i="2"/>
  <c r="AD224" i="1"/>
  <c r="W224" i="1"/>
  <c r="P224" i="1"/>
  <c r="H162" i="2"/>
  <c r="J224" i="1" s="1"/>
  <c r="H161" i="2"/>
  <c r="H11" i="2" s="1"/>
  <c r="H215" i="1" l="1"/>
  <c r="C27" i="6" s="1"/>
  <c r="B61" i="6" s="1"/>
  <c r="I215" i="1"/>
  <c r="H153" i="2"/>
  <c r="AL162" i="2"/>
  <c r="AL161" i="2"/>
  <c r="AL153" i="2"/>
  <c r="Y162" i="2"/>
  <c r="Z162" i="2" s="1"/>
  <c r="P223" i="1"/>
  <c r="P215" i="1" s="1"/>
  <c r="W223" i="1"/>
  <c r="AD223" i="1"/>
  <c r="J223" i="1"/>
  <c r="J215" i="1" s="1"/>
  <c r="K162" i="2"/>
  <c r="L162" i="2" s="1"/>
  <c r="M162" i="2"/>
  <c r="T161" i="2"/>
  <c r="H45" i="5"/>
  <c r="AA161" i="2"/>
  <c r="J45" i="5"/>
  <c r="K161" i="2"/>
  <c r="L161" i="2" s="1"/>
  <c r="AH161" i="2"/>
  <c r="L45" i="5"/>
  <c r="S223" i="1"/>
  <c r="K215" i="1"/>
  <c r="F28" i="6" s="1"/>
  <c r="L223" i="1"/>
  <c r="Z224" i="1"/>
  <c r="L224" i="1"/>
  <c r="M224" i="1" s="1"/>
  <c r="N224" i="1" s="1"/>
  <c r="C31" i="6"/>
  <c r="E31" i="6" s="1"/>
  <c r="AG223" i="1"/>
  <c r="AG224" i="1"/>
  <c r="S224" i="1"/>
  <c r="Z223" i="1"/>
  <c r="AA162" i="2"/>
  <c r="M161" i="2"/>
  <c r="AF162" i="2"/>
  <c r="AG162" i="2" s="1"/>
  <c r="R161" i="2"/>
  <c r="S161" i="2" s="1"/>
  <c r="AF161" i="2"/>
  <c r="AG161" i="2" s="1"/>
  <c r="Y161" i="2"/>
  <c r="Z161" i="2" s="1"/>
  <c r="Z215" i="1" l="1"/>
  <c r="L215" i="1"/>
  <c r="AG215" i="1"/>
  <c r="S215" i="1"/>
  <c r="AD215" i="1"/>
  <c r="W215" i="1"/>
  <c r="M153" i="2"/>
  <c r="D27" i="6"/>
  <c r="C61" i="6" s="1"/>
  <c r="C60" i="6" s="1"/>
  <c r="Y11" i="2"/>
  <c r="Z11" i="2" s="1"/>
  <c r="I61" i="6"/>
  <c r="I60" i="6" s="1"/>
  <c r="E27" i="6"/>
  <c r="F45" i="5"/>
  <c r="G45" i="5" s="1"/>
  <c r="G49" i="5"/>
  <c r="M45" i="5"/>
  <c r="M49" i="5"/>
  <c r="K45" i="5"/>
  <c r="K49" i="5"/>
  <c r="I45" i="5"/>
  <c r="I49" i="5"/>
  <c r="O224" i="1"/>
  <c r="V223" i="1"/>
  <c r="T223" i="1"/>
  <c r="U223" i="1" s="1"/>
  <c r="K27" i="6"/>
  <c r="AC224" i="1"/>
  <c r="AA224" i="1"/>
  <c r="AB224" i="1" s="1"/>
  <c r="O223" i="1"/>
  <c r="M223" i="1"/>
  <c r="N223" i="1" s="1"/>
  <c r="R11" i="2"/>
  <c r="S11" i="2" s="1"/>
  <c r="T11" i="2"/>
  <c r="V224" i="1"/>
  <c r="T224" i="1"/>
  <c r="U224" i="1" s="1"/>
  <c r="AH223" i="1"/>
  <c r="AI223" i="1" s="1"/>
  <c r="AJ223" i="1"/>
  <c r="AC223" i="1"/>
  <c r="K153" i="2"/>
  <c r="L153" i="2" s="1"/>
  <c r="AH224" i="1"/>
  <c r="AI224" i="1" s="1"/>
  <c r="AJ224" i="1"/>
  <c r="AH11" i="2"/>
  <c r="AF11" i="2"/>
  <c r="AG11" i="2" s="1"/>
  <c r="AA223" i="1"/>
  <c r="AB223" i="1" s="1"/>
  <c r="T153" i="2"/>
  <c r="AA153" i="2"/>
  <c r="Y153" i="2"/>
  <c r="Z153" i="2" s="1"/>
  <c r="AF153" i="2"/>
  <c r="AG153" i="2" s="1"/>
  <c r="AH153" i="2"/>
  <c r="H61" i="6"/>
  <c r="H80" i="5"/>
  <c r="H81" i="5"/>
  <c r="H82" i="5"/>
  <c r="H84" i="5"/>
  <c r="H85" i="5"/>
  <c r="H79" i="5"/>
  <c r="H60" i="6" l="1"/>
  <c r="P27" i="6"/>
  <c r="U27" i="6"/>
  <c r="AA11" i="2"/>
  <c r="D61" i="6"/>
  <c r="D60" i="6" s="1"/>
  <c r="B60" i="6"/>
  <c r="L27" i="6"/>
  <c r="V215" i="1"/>
  <c r="O27" i="6" s="1"/>
  <c r="T215" i="1"/>
  <c r="M27" i="6" s="1"/>
  <c r="O215" i="1"/>
  <c r="J27" i="6" s="1"/>
  <c r="M215" i="1"/>
  <c r="G27" i="6"/>
  <c r="M11" i="2"/>
  <c r="K11" i="2"/>
  <c r="L11" i="2" s="1"/>
  <c r="V27" i="6"/>
  <c r="AH215" i="1"/>
  <c r="AJ215" i="1"/>
  <c r="Y27" i="6" s="1"/>
  <c r="Q27" i="6"/>
  <c r="AA215" i="1"/>
  <c r="AC215" i="1"/>
  <c r="T27" i="6" s="1"/>
  <c r="U215" i="1" l="1"/>
  <c r="N27" i="6" s="1"/>
  <c r="N215" i="1"/>
  <c r="I27" i="6" s="1"/>
  <c r="H27" i="6"/>
  <c r="R27" i="6"/>
  <c r="AB215" i="1"/>
  <c r="S27" i="6" s="1"/>
  <c r="W27" i="6"/>
  <c r="AI215" i="1"/>
  <c r="X27" i="6" s="1"/>
  <c r="K6" i="7"/>
  <c r="K5" i="7"/>
  <c r="H78" i="1" l="1"/>
  <c r="G47" i="2"/>
  <c r="AD118" i="1" l="1"/>
  <c r="AL93" i="2"/>
  <c r="AL91" i="2"/>
  <c r="W118" i="1"/>
  <c r="J81" i="2"/>
  <c r="P118" i="1"/>
  <c r="H81" i="2"/>
  <c r="J118" i="1" s="1"/>
  <c r="J152" i="2"/>
  <c r="J150" i="2"/>
  <c r="J148" i="2"/>
  <c r="J147" i="2"/>
  <c r="J146" i="2"/>
  <c r="J142" i="2"/>
  <c r="J141" i="2"/>
  <c r="J139" i="2"/>
  <c r="J138" i="2"/>
  <c r="J137" i="2"/>
  <c r="J136" i="2"/>
  <c r="J135" i="2"/>
  <c r="J134" i="2"/>
  <c r="J133" i="2"/>
  <c r="J132" i="2"/>
  <c r="J131" i="2"/>
  <c r="J130" i="2"/>
  <c r="J129" i="2"/>
  <c r="J128" i="2"/>
  <c r="J127" i="2"/>
  <c r="J126" i="2"/>
  <c r="J125" i="2"/>
  <c r="J124" i="2"/>
  <c r="J123" i="2"/>
  <c r="J122" i="2"/>
  <c r="J121" i="2"/>
  <c r="J120" i="2"/>
  <c r="J118" i="2"/>
  <c r="J117" i="2"/>
  <c r="J116" i="2"/>
  <c r="J115" i="2"/>
  <c r="J114" i="2"/>
  <c r="J113" i="2"/>
  <c r="J112" i="2"/>
  <c r="J111" i="2"/>
  <c r="J109" i="2"/>
  <c r="J108" i="2"/>
  <c r="J107" i="2"/>
  <c r="J106" i="2"/>
  <c r="J105" i="2"/>
  <c r="J103" i="2"/>
  <c r="J102" i="2"/>
  <c r="J101" i="2"/>
  <c r="J100" i="2"/>
  <c r="J98" i="2"/>
  <c r="J96" i="2"/>
  <c r="J95" i="2"/>
  <c r="J94" i="2"/>
  <c r="J92" i="2"/>
  <c r="J90" i="2"/>
  <c r="J89" i="2"/>
  <c r="J88" i="2"/>
  <c r="J85" i="2"/>
  <c r="J84" i="2"/>
  <c r="J83" i="2"/>
  <c r="J80" i="2"/>
  <c r="J79" i="2"/>
  <c r="J78" i="2"/>
  <c r="J77" i="2"/>
  <c r="J76" i="2"/>
  <c r="J75" i="2"/>
  <c r="J74" i="2"/>
  <c r="J73" i="2"/>
  <c r="J71" i="2"/>
  <c r="J69" i="2"/>
  <c r="J68" i="2"/>
  <c r="J66" i="2"/>
  <c r="J65" i="2"/>
  <c r="J64" i="2"/>
  <c r="J63" i="2"/>
  <c r="J62" i="2"/>
  <c r="J61" i="2"/>
  <c r="J59" i="2"/>
  <c r="J58" i="2"/>
  <c r="J57" i="2"/>
  <c r="J55" i="2"/>
  <c r="J53" i="2"/>
  <c r="J50" i="2"/>
  <c r="J48" i="2"/>
  <c r="J46" i="2"/>
  <c r="J45" i="2"/>
  <c r="J44" i="2"/>
  <c r="J43" i="2"/>
  <c r="J42" i="2"/>
  <c r="J40" i="2"/>
  <c r="J35" i="2"/>
  <c r="J33" i="2"/>
  <c r="J29" i="2"/>
  <c r="J28" i="2"/>
  <c r="J27" i="2"/>
  <c r="J24" i="2"/>
  <c r="J22" i="2"/>
  <c r="J21" i="2"/>
  <c r="J20" i="2"/>
  <c r="J19" i="2"/>
  <c r="J18" i="2"/>
  <c r="J17" i="2"/>
  <c r="J16" i="2"/>
  <c r="J7" i="2" l="1"/>
  <c r="J10" i="2"/>
  <c r="J56" i="2"/>
  <c r="K57" i="2"/>
  <c r="K58" i="2"/>
  <c r="F36" i="5"/>
  <c r="F14" i="5"/>
  <c r="F11" i="5"/>
  <c r="F13" i="5"/>
  <c r="F35" i="5"/>
  <c r="F43" i="5"/>
  <c r="F12" i="5"/>
  <c r="AL29" i="2"/>
  <c r="AL45" i="2"/>
  <c r="AL51" i="2"/>
  <c r="AL78" i="2"/>
  <c r="AL88" i="2"/>
  <c r="AL108" i="2"/>
  <c r="AL100" i="2"/>
  <c r="AL111" i="2"/>
  <c r="AL132" i="2"/>
  <c r="AL124" i="2"/>
  <c r="AL138" i="2"/>
  <c r="AL152" i="2"/>
  <c r="AL21" i="2"/>
  <c r="AL50" i="2"/>
  <c r="AL62" i="2"/>
  <c r="AL73" i="2"/>
  <c r="AL77" i="2"/>
  <c r="AL107" i="2"/>
  <c r="AL99" i="2"/>
  <c r="AL110" i="2"/>
  <c r="AL131" i="2"/>
  <c r="AL123" i="2"/>
  <c r="AL137" i="2"/>
  <c r="AL20" i="2"/>
  <c r="AL49" i="2"/>
  <c r="AL61" i="2"/>
  <c r="AL85" i="2"/>
  <c r="AL76" i="2"/>
  <c r="AL106" i="2"/>
  <c r="AL117" i="2"/>
  <c r="AL109" i="2"/>
  <c r="AL130" i="2"/>
  <c r="AL122" i="2"/>
  <c r="AL136" i="2"/>
  <c r="AL33" i="2"/>
  <c r="AL42" i="2"/>
  <c r="AL55" i="2"/>
  <c r="AL84" i="2"/>
  <c r="AL75" i="2"/>
  <c r="AL92" i="2"/>
  <c r="AL105" i="2"/>
  <c r="AL116" i="2"/>
  <c r="AL118" i="2"/>
  <c r="AL129" i="2"/>
  <c r="AL121" i="2"/>
  <c r="AL144" i="2"/>
  <c r="AL25" i="2"/>
  <c r="AL18" i="2"/>
  <c r="AL35" i="2"/>
  <c r="AL41" i="2"/>
  <c r="AL57" i="2"/>
  <c r="AL83" i="2"/>
  <c r="AL74" i="2"/>
  <c r="AL94" i="2"/>
  <c r="AL104" i="2"/>
  <c r="AL115" i="2"/>
  <c r="AL120" i="2"/>
  <c r="AL128" i="2"/>
  <c r="AL142" i="2"/>
  <c r="AL24" i="2"/>
  <c r="AL17" i="2"/>
  <c r="AL36" i="2"/>
  <c r="AL48" i="2"/>
  <c r="AL66" i="2"/>
  <c r="AL71" i="2"/>
  <c r="AL81" i="2"/>
  <c r="AL96" i="2"/>
  <c r="AL103" i="2"/>
  <c r="AL114" i="2"/>
  <c r="AL127" i="2"/>
  <c r="AL141" i="2"/>
  <c r="AL23" i="2"/>
  <c r="AL16" i="2"/>
  <c r="AL53" i="2"/>
  <c r="AL65" i="2"/>
  <c r="AL70" i="2"/>
  <c r="AL80" i="2"/>
  <c r="AL90" i="2"/>
  <c r="AL95" i="2"/>
  <c r="AL102" i="2"/>
  <c r="AL113" i="2"/>
  <c r="AL134" i="2"/>
  <c r="AL126" i="2"/>
  <c r="AL140" i="2"/>
  <c r="AL22" i="2"/>
  <c r="AL27" i="2"/>
  <c r="AL46" i="2"/>
  <c r="AL52" i="2"/>
  <c r="AL64" i="2"/>
  <c r="AL69" i="2"/>
  <c r="AL79" i="2"/>
  <c r="AL89" i="2"/>
  <c r="AL98" i="2"/>
  <c r="AL101" i="2"/>
  <c r="AL112" i="2"/>
  <c r="AL133" i="2"/>
  <c r="AL125" i="2"/>
  <c r="AL139" i="2"/>
  <c r="AL150" i="2"/>
  <c r="AL58" i="2"/>
  <c r="AL146" i="2"/>
  <c r="AL28" i="2"/>
  <c r="AL135" i="2"/>
  <c r="AL68" i="2"/>
  <c r="AL44" i="2"/>
  <c r="AL87" i="2"/>
  <c r="AL43" i="2"/>
  <c r="F33" i="5"/>
  <c r="L33" i="5"/>
  <c r="H33" i="5"/>
  <c r="J33" i="5"/>
  <c r="J18" i="5"/>
  <c r="H18" i="5"/>
  <c r="F18" i="5"/>
  <c r="L18" i="5"/>
  <c r="J44" i="5"/>
  <c r="H44" i="5"/>
  <c r="L44" i="5"/>
  <c r="F44" i="5"/>
  <c r="F16" i="5"/>
  <c r="J16" i="5"/>
  <c r="L16" i="5"/>
  <c r="H16" i="5"/>
  <c r="K81" i="2"/>
  <c r="L81" i="2" s="1"/>
  <c r="L118" i="1"/>
  <c r="Y81" i="2"/>
  <c r="Z81" i="2" s="1"/>
  <c r="Z118" i="1"/>
  <c r="AH81" i="2"/>
  <c r="AG118" i="1"/>
  <c r="R81" i="2"/>
  <c r="S81" i="2" s="1"/>
  <c r="S118" i="1"/>
  <c r="J47" i="2"/>
  <c r="AB47" i="2"/>
  <c r="Q47" i="2"/>
  <c r="X47" i="2"/>
  <c r="AL47" i="2" s="1"/>
  <c r="N47" i="2"/>
  <c r="U47" i="2"/>
  <c r="AE47" i="2"/>
  <c r="T81" i="2"/>
  <c r="AA81" i="2"/>
  <c r="AF81" i="2"/>
  <c r="AG81" i="2" s="1"/>
  <c r="M81" i="2"/>
  <c r="AJ118" i="1" l="1"/>
  <c r="AH118" i="1"/>
  <c r="AI118" i="1" s="1"/>
  <c r="V118" i="1"/>
  <c r="T118" i="1"/>
  <c r="U118" i="1" s="1"/>
  <c r="AC118" i="1"/>
  <c r="AA118" i="1"/>
  <c r="AB118" i="1" s="1"/>
  <c r="O118" i="1"/>
  <c r="M118" i="1"/>
  <c r="N118" i="1" s="1"/>
  <c r="H51" i="6" l="1"/>
  <c r="R15" i="2" l="1"/>
  <c r="K10" i="7"/>
  <c r="H237" i="1"/>
  <c r="H236" i="1"/>
  <c r="J237" i="1" l="1"/>
  <c r="J236" i="1"/>
  <c r="B1" i="16" l="1"/>
  <c r="F97" i="2" l="1"/>
  <c r="E43" i="6" l="1"/>
  <c r="E14" i="16" l="1"/>
  <c r="H59" i="1"/>
  <c r="H61" i="1"/>
  <c r="H179" i="1"/>
  <c r="I117" i="1" l="1"/>
  <c r="H117" i="1"/>
  <c r="E117" i="1"/>
  <c r="F117" i="1"/>
  <c r="B116" i="1"/>
  <c r="E16" i="16" l="1"/>
  <c r="H44" i="6"/>
  <c r="AL147" i="2" l="1"/>
  <c r="AL148" i="2"/>
  <c r="E3" i="16"/>
  <c r="F145" i="2"/>
  <c r="G43" i="6"/>
  <c r="H43" i="6" s="1"/>
  <c r="G16" i="16" l="1"/>
  <c r="U15" i="16" l="1"/>
  <c r="U11" i="16"/>
  <c r="U6" i="16"/>
  <c r="U8" i="16"/>
  <c r="U5" i="16"/>
  <c r="U9" i="16"/>
  <c r="U10" i="16"/>
  <c r="U7" i="16"/>
  <c r="G14" i="2" l="1"/>
  <c r="AL19" i="2" l="1"/>
  <c r="U13" i="16" s="1"/>
  <c r="B33" i="5"/>
  <c r="F14" i="2"/>
  <c r="F40" i="2"/>
  <c r="B9" i="5" l="1"/>
  <c r="F9" i="2"/>
  <c r="AL40" i="2"/>
  <c r="F30" i="2"/>
  <c r="B31" i="5"/>
  <c r="H45" i="6"/>
  <c r="H46" i="6"/>
  <c r="H47" i="6"/>
  <c r="H48" i="6"/>
  <c r="H49" i="6"/>
  <c r="H50" i="6"/>
  <c r="H52" i="6"/>
  <c r="H53" i="6"/>
  <c r="H54" i="6"/>
  <c r="H55" i="6"/>
  <c r="H75" i="5"/>
  <c r="H73" i="5"/>
  <c r="H72" i="5"/>
  <c r="H71" i="5"/>
  <c r="H69" i="5"/>
  <c r="H68" i="5"/>
  <c r="H66" i="5"/>
  <c r="B65" i="5" l="1"/>
  <c r="H74" i="5"/>
  <c r="H65" i="5"/>
  <c r="H67" i="5"/>
  <c r="H70" i="5"/>
  <c r="H104" i="2"/>
  <c r="H80" i="2" l="1"/>
  <c r="J117" i="1" s="1"/>
  <c r="P117" i="1"/>
  <c r="W117" i="1"/>
  <c r="AD117" i="1"/>
  <c r="Y80" i="2" l="1"/>
  <c r="Z80" i="2" s="1"/>
  <c r="Z117" i="1"/>
  <c r="M80" i="2"/>
  <c r="L117" i="1"/>
  <c r="R80" i="2"/>
  <c r="S80" i="2" s="1"/>
  <c r="S117" i="1"/>
  <c r="AF80" i="2"/>
  <c r="AG80" i="2" s="1"/>
  <c r="AG117" i="1"/>
  <c r="AA80" i="2"/>
  <c r="K80" i="2"/>
  <c r="L80" i="2" s="1"/>
  <c r="AH80" i="2"/>
  <c r="T80" i="2"/>
  <c r="G72" i="2"/>
  <c r="T117" i="1" l="1"/>
  <c r="U117" i="1" s="1"/>
  <c r="V117" i="1"/>
  <c r="AJ117" i="1"/>
  <c r="AH117" i="1"/>
  <c r="AI117" i="1" s="1"/>
  <c r="O117" i="1"/>
  <c r="M117" i="1"/>
  <c r="N117" i="1" s="1"/>
  <c r="AC117" i="1"/>
  <c r="AA117" i="1"/>
  <c r="AB117" i="1" s="1"/>
  <c r="AL63" i="2" l="1"/>
  <c r="B37" i="5"/>
  <c r="C27" i="5" l="1"/>
  <c r="B27" i="5"/>
  <c r="I200" i="1"/>
  <c r="K200" i="1"/>
  <c r="E200" i="1"/>
  <c r="F200" i="1"/>
  <c r="G200" i="1"/>
  <c r="H200" i="1"/>
  <c r="I74" i="5" l="1"/>
  <c r="C70" i="5" l="1"/>
  <c r="D15" i="16" s="1"/>
  <c r="F15" i="16" l="1"/>
  <c r="Q15" i="16" s="1"/>
  <c r="I70" i="5"/>
  <c r="N15" i="16" l="1"/>
  <c r="AD200" i="1" l="1"/>
  <c r="W200" i="1"/>
  <c r="H140" i="2"/>
  <c r="J200" i="1" s="1"/>
  <c r="L200" i="1"/>
  <c r="P200" i="1"/>
  <c r="K21" i="2"/>
  <c r="R140" i="2" l="1"/>
  <c r="S140" i="2" s="1"/>
  <c r="S200" i="1"/>
  <c r="O200" i="1"/>
  <c r="M200" i="1"/>
  <c r="N200" i="1" s="1"/>
  <c r="AA140" i="2"/>
  <c r="Z200" i="1"/>
  <c r="AF140" i="2"/>
  <c r="AG140" i="2" s="1"/>
  <c r="AG200" i="1"/>
  <c r="K140" i="2"/>
  <c r="L140" i="2" s="1"/>
  <c r="Y140" i="2"/>
  <c r="Z140" i="2" s="1"/>
  <c r="AH140" i="2"/>
  <c r="T140" i="2"/>
  <c r="M140" i="2"/>
  <c r="AJ200" i="1" l="1"/>
  <c r="AH200" i="1"/>
  <c r="AI200" i="1" s="1"/>
  <c r="AC200" i="1"/>
  <c r="AA200" i="1"/>
  <c r="AB200" i="1" s="1"/>
  <c r="V200" i="1"/>
  <c r="T200" i="1"/>
  <c r="U200" i="1" s="1"/>
  <c r="H51" i="2" l="1"/>
  <c r="K51" i="2"/>
  <c r="L51" i="2" s="1"/>
  <c r="H52" i="2"/>
  <c r="K52" i="2"/>
  <c r="L52" i="2" s="1"/>
  <c r="H53" i="2"/>
  <c r="K53" i="2"/>
  <c r="L53" i="2" s="1"/>
  <c r="H54" i="2"/>
  <c r="J78" i="1" s="1"/>
  <c r="M54" i="2"/>
  <c r="H55" i="2"/>
  <c r="G56" i="2"/>
  <c r="I56" i="2"/>
  <c r="K55" i="2" l="1"/>
  <c r="L55" i="2" s="1"/>
  <c r="K54" i="2"/>
  <c r="L54" i="2" s="1"/>
  <c r="M53" i="2"/>
  <c r="M55" i="2"/>
  <c r="M52" i="2"/>
  <c r="M51" i="2"/>
  <c r="H130" i="2" l="1"/>
  <c r="E5" i="5" l="1"/>
  <c r="F4" i="6"/>
  <c r="K4" i="1"/>
  <c r="F59" i="2" l="1"/>
  <c r="F10" i="2" s="1"/>
  <c r="F6" i="2" s="1"/>
  <c r="AL59" i="2" l="1"/>
  <c r="U12" i="16" s="1"/>
  <c r="B44" i="5"/>
  <c r="B16" i="5"/>
  <c r="B72" i="5" s="1"/>
  <c r="F56" i="2"/>
  <c r="K56" i="2" l="1"/>
  <c r="I178" i="2"/>
  <c r="H177" i="2" l="1"/>
  <c r="H175" i="2"/>
  <c r="H122" i="2"/>
  <c r="AF33" i="2" l="1"/>
  <c r="AG33" i="2" s="1"/>
  <c r="Y33" i="2"/>
  <c r="Z33" i="2" s="1"/>
  <c r="R33" i="2"/>
  <c r="S33" i="2" s="1"/>
  <c r="K33" i="2"/>
  <c r="L33" i="2" s="1"/>
  <c r="M33" i="2" l="1"/>
  <c r="AA33" i="2"/>
  <c r="T33" i="2"/>
  <c r="AH33" i="2"/>
  <c r="H66" i="2"/>
  <c r="H98" i="2" l="1"/>
  <c r="H126" i="2" l="1"/>
  <c r="H176" i="2" l="1"/>
  <c r="H178" i="2"/>
  <c r="I235" i="1"/>
  <c r="D30" i="6" s="1"/>
  <c r="G57" i="6" s="1"/>
  <c r="G58" i="6" s="1"/>
  <c r="C56" i="5" l="1"/>
  <c r="H235" i="1" l="1"/>
  <c r="B56" i="5" s="1"/>
  <c r="F76" i="5" l="1"/>
  <c r="C30" i="6"/>
  <c r="J235" i="1"/>
  <c r="D56" i="5" s="1"/>
  <c r="G69" i="1"/>
  <c r="G34" i="1"/>
  <c r="G19" i="1"/>
  <c r="G20" i="1"/>
  <c r="G21" i="1"/>
  <c r="G22" i="1"/>
  <c r="G25" i="1"/>
  <c r="G26" i="1"/>
  <c r="G27" i="1"/>
  <c r="G29" i="1"/>
  <c r="G30" i="1"/>
  <c r="G31" i="1"/>
  <c r="G37" i="1"/>
  <c r="G38" i="1"/>
  <c r="G42" i="1"/>
  <c r="G43" i="1"/>
  <c r="G44" i="1"/>
  <c r="G45" i="1"/>
  <c r="G46" i="1"/>
  <c r="G47" i="1"/>
  <c r="G50" i="1"/>
  <c r="G51" i="1"/>
  <c r="G54" i="1"/>
  <c r="G55" i="1"/>
  <c r="G57" i="1"/>
  <c r="G59" i="1"/>
  <c r="G61" i="1"/>
  <c r="G62" i="1"/>
  <c r="G63" i="1"/>
  <c r="G66" i="1"/>
  <c r="G70" i="1"/>
  <c r="G71" i="1"/>
  <c r="G73" i="1"/>
  <c r="G75" i="1"/>
  <c r="G78" i="1"/>
  <c r="G79" i="1"/>
  <c r="G82" i="1"/>
  <c r="G83" i="1"/>
  <c r="G86" i="1"/>
  <c r="G87" i="1"/>
  <c r="G88" i="1"/>
  <c r="G90" i="1"/>
  <c r="G93" i="1"/>
  <c r="G95" i="1"/>
  <c r="G96" i="1"/>
  <c r="G97" i="1"/>
  <c r="G101" i="1"/>
  <c r="G103" i="1"/>
  <c r="G104" i="1"/>
  <c r="G105" i="1"/>
  <c r="G108" i="1"/>
  <c r="G109" i="1"/>
  <c r="G111" i="1"/>
  <c r="G112" i="1"/>
  <c r="G114" i="1"/>
  <c r="G115" i="1"/>
  <c r="G116" i="1"/>
  <c r="G122" i="1"/>
  <c r="G123" i="1"/>
  <c r="G125" i="1"/>
  <c r="G128" i="1"/>
  <c r="G130" i="1"/>
  <c r="G131" i="1"/>
  <c r="G134" i="1"/>
  <c r="G135" i="1"/>
  <c r="G136" i="1"/>
  <c r="G137" i="1"/>
  <c r="G138" i="1"/>
  <c r="G140" i="1"/>
  <c r="G141" i="1"/>
  <c r="G144" i="1"/>
  <c r="G145" i="1"/>
  <c r="G146" i="1"/>
  <c r="G147" i="1"/>
  <c r="G149" i="1"/>
  <c r="G150" i="1"/>
  <c r="G151" i="1"/>
  <c r="G152" i="1"/>
  <c r="G155" i="1"/>
  <c r="G156" i="1"/>
  <c r="G158" i="1"/>
  <c r="G159" i="1"/>
  <c r="G160" i="1"/>
  <c r="G161" i="1"/>
  <c r="G162" i="1"/>
  <c r="G164" i="1"/>
  <c r="G165" i="1"/>
  <c r="G167" i="1"/>
  <c r="G169" i="1"/>
  <c r="G170" i="1"/>
  <c r="G171" i="1"/>
  <c r="G175" i="1"/>
  <c r="G176" i="1"/>
  <c r="G177" i="1"/>
  <c r="G178" i="1"/>
  <c r="G179" i="1"/>
  <c r="G181" i="1"/>
  <c r="G182" i="1"/>
  <c r="G183" i="1"/>
  <c r="G184" i="1"/>
  <c r="G187" i="1"/>
  <c r="G188" i="1"/>
  <c r="G189" i="1"/>
  <c r="G191" i="1"/>
  <c r="G192" i="1"/>
  <c r="G194" i="1"/>
  <c r="G196" i="1"/>
  <c r="G197" i="1"/>
  <c r="G198" i="1"/>
  <c r="G199" i="1"/>
  <c r="G203" i="1"/>
  <c r="G204" i="1"/>
  <c r="G206" i="1"/>
  <c r="G208" i="1"/>
  <c r="G209" i="1"/>
  <c r="G210" i="1"/>
  <c r="G212" i="1"/>
  <c r="G214" i="1"/>
  <c r="G18" i="1"/>
  <c r="E57" i="6" l="1"/>
  <c r="E58" i="6" s="1"/>
  <c r="F77" i="5"/>
  <c r="I77" i="5" s="1"/>
  <c r="H76" i="5"/>
  <c r="H77" i="5" s="1"/>
  <c r="I76" i="5"/>
  <c r="E30" i="6"/>
  <c r="H57" i="6" l="1"/>
  <c r="H58" i="6" s="1"/>
  <c r="I57" i="6"/>
  <c r="B137" i="1"/>
  <c r="H91" i="2" l="1"/>
  <c r="H21" i="2" l="1"/>
  <c r="R16" i="2" l="1"/>
  <c r="R17" i="2"/>
  <c r="R18" i="2"/>
  <c r="R19" i="2"/>
  <c r="R20" i="2"/>
  <c r="R21" i="2"/>
  <c r="R22" i="2"/>
  <c r="R23" i="2"/>
  <c r="R24" i="2"/>
  <c r="R25" i="2"/>
  <c r="R28" i="2"/>
  <c r="R29" i="2"/>
  <c r="R35" i="2"/>
  <c r="R36" i="2"/>
  <c r="R40" i="2"/>
  <c r="R41" i="2"/>
  <c r="R42" i="2"/>
  <c r="R44" i="2"/>
  <c r="R45" i="2"/>
  <c r="R46" i="2"/>
  <c r="R48" i="2"/>
  <c r="R49" i="2"/>
  <c r="R50" i="2"/>
  <c r="R51" i="2"/>
  <c r="R52" i="2"/>
  <c r="R53" i="2"/>
  <c r="R54" i="2"/>
  <c r="R60" i="2"/>
  <c r="R61" i="2"/>
  <c r="R62" i="2"/>
  <c r="R63" i="2"/>
  <c r="R64" i="2"/>
  <c r="R65" i="2"/>
  <c r="R66" i="2"/>
  <c r="R68" i="2"/>
  <c r="R69" i="2"/>
  <c r="R70" i="2"/>
  <c r="R71" i="2"/>
  <c r="R73" i="2"/>
  <c r="R75" i="2"/>
  <c r="R76" i="2"/>
  <c r="R77" i="2"/>
  <c r="R78" i="2"/>
  <c r="R79" i="2"/>
  <c r="R83" i="2"/>
  <c r="R84" i="2"/>
  <c r="R85" i="2"/>
  <c r="R87" i="2"/>
  <c r="R88" i="2"/>
  <c r="R89" i="2"/>
  <c r="R90" i="2"/>
  <c r="R92" i="2"/>
  <c r="R93" i="2"/>
  <c r="R94" i="2"/>
  <c r="S94" i="2" s="1"/>
  <c r="R95" i="2"/>
  <c r="R96" i="2"/>
  <c r="R98" i="2"/>
  <c r="R100" i="2"/>
  <c r="R101" i="2"/>
  <c r="R102" i="2"/>
  <c r="R103" i="2"/>
  <c r="R104" i="2"/>
  <c r="R105" i="2"/>
  <c r="R106" i="2"/>
  <c r="R108" i="2"/>
  <c r="R110" i="2"/>
  <c r="R111" i="2"/>
  <c r="R112" i="2"/>
  <c r="R113" i="2"/>
  <c r="R114" i="2"/>
  <c r="R115" i="2"/>
  <c r="R116" i="2"/>
  <c r="R117" i="2"/>
  <c r="R118" i="2"/>
  <c r="R120" i="2"/>
  <c r="R122" i="2"/>
  <c r="R123" i="2"/>
  <c r="R124" i="2"/>
  <c r="R125" i="2"/>
  <c r="R126" i="2"/>
  <c r="R127" i="2"/>
  <c r="R128" i="2"/>
  <c r="R129" i="2"/>
  <c r="R130" i="2"/>
  <c r="R131" i="2"/>
  <c r="R132" i="2"/>
  <c r="R133" i="2"/>
  <c r="R134" i="2"/>
  <c r="R136" i="2"/>
  <c r="R137" i="2"/>
  <c r="R138" i="2"/>
  <c r="R139" i="2"/>
  <c r="R141" i="2"/>
  <c r="R142" i="2"/>
  <c r="R144" i="2"/>
  <c r="R146" i="2"/>
  <c r="R148" i="2"/>
  <c r="Q149" i="2"/>
  <c r="Q151" i="2"/>
  <c r="T151" i="2" s="1"/>
  <c r="R59" i="2" l="1"/>
  <c r="R55" i="2"/>
  <c r="R135" i="2"/>
  <c r="H27" i="5"/>
  <c r="R43" i="2"/>
  <c r="R27" i="2"/>
  <c r="R150" i="2"/>
  <c r="Q119" i="2"/>
  <c r="Q97" i="2"/>
  <c r="R152" i="2"/>
  <c r="Q145" i="2"/>
  <c r="Q26" i="2"/>
  <c r="Q14" i="2"/>
  <c r="Q72" i="2"/>
  <c r="Q86" i="2"/>
  <c r="Q56" i="2"/>
  <c r="R147" i="2"/>
  <c r="R121" i="2"/>
  <c r="R99" i="2"/>
  <c r="R91" i="2"/>
  <c r="R74" i="2"/>
  <c r="A1" i="7"/>
  <c r="A1" i="10"/>
  <c r="B1" i="5"/>
  <c r="A1" i="5"/>
  <c r="A1" i="6"/>
  <c r="C1" i="6"/>
  <c r="A1" i="1"/>
  <c r="D1" i="1"/>
  <c r="H128" i="2" l="1"/>
  <c r="E22" i="5" l="1"/>
  <c r="C22" i="5"/>
  <c r="B22" i="5"/>
  <c r="E10" i="5"/>
  <c r="C10" i="5"/>
  <c r="B10" i="5"/>
  <c r="C66" i="5" l="1"/>
  <c r="F8" i="16" s="1"/>
  <c r="Q8" i="16" s="1"/>
  <c r="B66" i="5"/>
  <c r="D8" i="16" s="1"/>
  <c r="D10" i="5"/>
  <c r="D66" i="5" s="1"/>
  <c r="K9" i="7"/>
  <c r="K8" i="7"/>
  <c r="K7" i="7"/>
  <c r="K3" i="7"/>
  <c r="I66" i="5" l="1"/>
  <c r="B108" i="1"/>
  <c r="N8" i="16" l="1"/>
  <c r="B150" i="1"/>
  <c r="I28" i="2" l="1"/>
  <c r="K51" i="1" l="1"/>
  <c r="K43" i="1"/>
  <c r="R145" i="2" l="1"/>
  <c r="I7" i="2"/>
  <c r="H147" i="2" l="1"/>
  <c r="H148" i="2"/>
  <c r="H146" i="2"/>
  <c r="H145" i="2" l="1"/>
  <c r="G145" i="2"/>
  <c r="I145" i="2"/>
  <c r="J210" i="1"/>
  <c r="M148" i="2"/>
  <c r="P210" i="1"/>
  <c r="S148" i="2"/>
  <c r="W210" i="1"/>
  <c r="Y148" i="2"/>
  <c r="Z148" i="2" s="1"/>
  <c r="AD210" i="1"/>
  <c r="AF148" i="2"/>
  <c r="AG148" i="2" s="1"/>
  <c r="I210" i="1"/>
  <c r="K210" i="1"/>
  <c r="H210" i="1"/>
  <c r="F210" i="1"/>
  <c r="E210" i="1"/>
  <c r="S210" i="1" l="1"/>
  <c r="V210" i="1" s="1"/>
  <c r="T148" i="2"/>
  <c r="AG210" i="1"/>
  <c r="AH210" i="1" s="1"/>
  <c r="AI210" i="1" s="1"/>
  <c r="L210" i="1"/>
  <c r="M210" i="1" s="1"/>
  <c r="N210" i="1" s="1"/>
  <c r="AH148" i="2"/>
  <c r="Z210" i="1"/>
  <c r="AA148" i="2"/>
  <c r="K148" i="2"/>
  <c r="L148" i="2" s="1"/>
  <c r="T210" i="1" l="1"/>
  <c r="U210" i="1" s="1"/>
  <c r="O210" i="1"/>
  <c r="AJ210" i="1"/>
  <c r="AA210" i="1"/>
  <c r="AB210" i="1" s="1"/>
  <c r="AC210" i="1"/>
  <c r="D50" i="1"/>
  <c r="B24" i="5" l="1"/>
  <c r="E193" i="1"/>
  <c r="I69" i="5" l="1"/>
  <c r="K193" i="1" l="1"/>
  <c r="I193" i="1"/>
  <c r="H193" i="1"/>
  <c r="F193" i="1"/>
  <c r="H132" i="2" l="1"/>
  <c r="W193" i="1"/>
  <c r="AA134" i="2"/>
  <c r="AD193" i="1"/>
  <c r="AG193" i="1"/>
  <c r="P193" i="1"/>
  <c r="H134" i="2"/>
  <c r="J193" i="1" s="1"/>
  <c r="H133" i="2"/>
  <c r="K134" i="2" l="1"/>
  <c r="L134" i="2" s="1"/>
  <c r="L193" i="1"/>
  <c r="AJ193" i="1"/>
  <c r="AH193" i="1"/>
  <c r="AI193" i="1" s="1"/>
  <c r="AH134" i="2"/>
  <c r="S134" i="2"/>
  <c r="S193" i="1"/>
  <c r="V193" i="1" s="1"/>
  <c r="AF134" i="2"/>
  <c r="AG134" i="2" s="1"/>
  <c r="Y134" i="2"/>
  <c r="Z134" i="2" s="1"/>
  <c r="Z193" i="1"/>
  <c r="M134" i="2"/>
  <c r="T134" i="2"/>
  <c r="T193" i="1" l="1"/>
  <c r="U193" i="1" s="1"/>
  <c r="AC193" i="1"/>
  <c r="AA193" i="1"/>
  <c r="AB193" i="1" s="1"/>
  <c r="M193" i="1"/>
  <c r="N193" i="1" s="1"/>
  <c r="O193" i="1"/>
  <c r="B63" i="1" l="1"/>
  <c r="E34" i="1" l="1"/>
  <c r="E37" i="1"/>
  <c r="E38" i="1"/>
  <c r="E31" i="1"/>
  <c r="R56" i="2" l="1"/>
  <c r="Y76" i="2" l="1"/>
  <c r="Y77" i="2"/>
  <c r="Y83" i="2"/>
  <c r="Y94" i="2"/>
  <c r="Z94" i="2" s="1"/>
  <c r="X149" i="2"/>
  <c r="X151" i="2"/>
  <c r="AA151" i="2" l="1"/>
  <c r="Y151" i="2"/>
  <c r="Z151" i="2" s="1"/>
  <c r="J15" i="16"/>
  <c r="X145" i="2"/>
  <c r="AL145" i="2" s="1"/>
  <c r="J27" i="5"/>
  <c r="J10" i="16"/>
  <c r="J10" i="5"/>
  <c r="J8" i="16" s="1"/>
  <c r="J22" i="5"/>
  <c r="J24" i="5"/>
  <c r="J11" i="16"/>
  <c r="X26" i="2"/>
  <c r="X72" i="2"/>
  <c r="AL72" i="2" s="1"/>
  <c r="X86" i="2"/>
  <c r="X56" i="2"/>
  <c r="AL56" i="2" s="1"/>
  <c r="X119" i="2"/>
  <c r="X97" i="2"/>
  <c r="X14" i="2"/>
  <c r="K8" i="16" l="1"/>
  <c r="L8" i="16" s="1"/>
  <c r="K15" i="16"/>
  <c r="L15" i="16" s="1"/>
  <c r="M8" i="16"/>
  <c r="M15" i="16"/>
  <c r="B122" i="1"/>
  <c r="P15" i="16" l="1"/>
  <c r="P8" i="16"/>
  <c r="H44" i="2"/>
  <c r="E26" i="5" l="1"/>
  <c r="B26" i="5"/>
  <c r="E17" i="5"/>
  <c r="B17" i="5"/>
  <c r="B73" i="5" s="1"/>
  <c r="I63" i="1"/>
  <c r="H63" i="1"/>
  <c r="J61" i="1"/>
  <c r="H62" i="1"/>
  <c r="R8" i="2"/>
  <c r="I73" i="5" l="1"/>
  <c r="R26" i="2"/>
  <c r="I30" i="2"/>
  <c r="G30" i="2"/>
  <c r="H60" i="1"/>
  <c r="J63" i="1"/>
  <c r="K63" i="1"/>
  <c r="K46" i="2"/>
  <c r="P63" i="1"/>
  <c r="S46" i="2"/>
  <c r="W63" i="1"/>
  <c r="Z63" i="1"/>
  <c r="AD63" i="1"/>
  <c r="AF46" i="2"/>
  <c r="AG46" i="2" s="1"/>
  <c r="L63" i="1" l="1"/>
  <c r="M63" i="1" s="1"/>
  <c r="N63" i="1" s="1"/>
  <c r="M46" i="2"/>
  <c r="L46" i="2" s="1"/>
  <c r="AA63" i="1"/>
  <c r="AB63" i="1" s="1"/>
  <c r="AC63" i="1"/>
  <c r="S63" i="1"/>
  <c r="AA46" i="2"/>
  <c r="T46" i="2"/>
  <c r="Y46" i="2"/>
  <c r="Z46" i="2" s="1"/>
  <c r="AG63" i="1"/>
  <c r="AJ63" i="1" s="1"/>
  <c r="AH46" i="2"/>
  <c r="I47" i="2"/>
  <c r="T63" i="1" l="1"/>
  <c r="U63" i="1" s="1"/>
  <c r="V63" i="1"/>
  <c r="O63" i="1"/>
  <c r="AH63" i="1"/>
  <c r="AI63" i="1" s="1"/>
  <c r="K11" i="7" l="1"/>
  <c r="K138" i="1"/>
  <c r="B17" i="1" l="1"/>
  <c r="B18" i="1"/>
  <c r="B19" i="1"/>
  <c r="B20" i="1"/>
  <c r="B21" i="1"/>
  <c r="B22" i="1"/>
  <c r="B23" i="1"/>
  <c r="B24" i="1"/>
  <c r="B25" i="1"/>
  <c r="B26" i="1"/>
  <c r="B27" i="1"/>
  <c r="B28" i="1"/>
  <c r="B29" i="1"/>
  <c r="B30" i="1"/>
  <c r="B31" i="1"/>
  <c r="B32" i="1"/>
  <c r="B33" i="1"/>
  <c r="B34" i="1"/>
  <c r="B36" i="1"/>
  <c r="B37" i="1"/>
  <c r="B38" i="1"/>
  <c r="B39" i="1"/>
  <c r="B40" i="1"/>
  <c r="B41" i="1"/>
  <c r="B42" i="1"/>
  <c r="B43" i="1"/>
  <c r="B44" i="1"/>
  <c r="B45" i="1"/>
  <c r="B46" i="1"/>
  <c r="B47" i="1"/>
  <c r="B49" i="1"/>
  <c r="B50" i="1"/>
  <c r="B51" i="1"/>
  <c r="B52" i="1"/>
  <c r="B53" i="1"/>
  <c r="B54" i="1"/>
  <c r="B55" i="1"/>
  <c r="B56" i="1"/>
  <c r="B57" i="1"/>
  <c r="B58" i="1"/>
  <c r="B59" i="1"/>
  <c r="B60" i="1"/>
  <c r="B61" i="1"/>
  <c r="B62"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7" i="1"/>
  <c r="B100" i="1"/>
  <c r="B101" i="1"/>
  <c r="B102" i="1"/>
  <c r="B103" i="1"/>
  <c r="B104" i="1"/>
  <c r="B105" i="1"/>
  <c r="B106" i="1"/>
  <c r="B107" i="1"/>
  <c r="B109" i="1"/>
  <c r="B110" i="1"/>
  <c r="B111" i="1"/>
  <c r="B112" i="1"/>
  <c r="B113" i="1"/>
  <c r="B114" i="1"/>
  <c r="B115" i="1"/>
  <c r="B120" i="1"/>
  <c r="B121" i="1"/>
  <c r="B123" i="1"/>
  <c r="B124" i="1"/>
  <c r="B125" i="1"/>
  <c r="B126" i="1"/>
  <c r="B127" i="1"/>
  <c r="B128" i="1"/>
  <c r="B129" i="1"/>
  <c r="B130" i="1"/>
  <c r="B131" i="1"/>
  <c r="B132" i="1"/>
  <c r="B133" i="1"/>
  <c r="B134" i="1"/>
  <c r="B135" i="1"/>
  <c r="B136" i="1"/>
  <c r="B139" i="1"/>
  <c r="B140" i="1"/>
  <c r="B141" i="1"/>
  <c r="B142" i="1"/>
  <c r="B143" i="1"/>
  <c r="B144" i="1"/>
  <c r="B145" i="1"/>
  <c r="B146" i="1"/>
  <c r="B147" i="1"/>
  <c r="B148" i="1"/>
  <c r="B149"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4" i="1"/>
  <c r="B195" i="1"/>
  <c r="B196" i="1"/>
  <c r="B197" i="1"/>
  <c r="B198" i="1"/>
  <c r="B199" i="1"/>
  <c r="B201" i="1"/>
  <c r="B202" i="1"/>
  <c r="B203" i="1"/>
  <c r="B204" i="1"/>
  <c r="B206" i="1"/>
  <c r="B207" i="1"/>
  <c r="B208" i="1"/>
  <c r="B209" i="1"/>
  <c r="B212" i="1"/>
  <c r="B213" i="1"/>
  <c r="B15" i="1"/>
  <c r="B16" i="1"/>
  <c r="AE151" i="2" l="1"/>
  <c r="AE149" i="2"/>
  <c r="AD98" i="1"/>
  <c r="AD97" i="1" s="1"/>
  <c r="J17" i="5"/>
  <c r="J5" i="16" s="1"/>
  <c r="W98" i="1"/>
  <c r="W97" i="1" s="1"/>
  <c r="P98" i="1"/>
  <c r="P97" i="1" s="1"/>
  <c r="AF151" i="2" l="1"/>
  <c r="AG151" i="2" s="1"/>
  <c r="AH151" i="2"/>
  <c r="H15" i="16"/>
  <c r="I15" i="16" s="1"/>
  <c r="L27" i="5"/>
  <c r="H10" i="16"/>
  <c r="H10" i="5"/>
  <c r="H22" i="5"/>
  <c r="L22" i="5"/>
  <c r="L10" i="5"/>
  <c r="H8" i="16" s="1"/>
  <c r="I8" i="16" s="1"/>
  <c r="AE145" i="2"/>
  <c r="N145" i="2"/>
  <c r="U145" i="2"/>
  <c r="AB145" i="2"/>
  <c r="H24" i="5"/>
  <c r="L24" i="5"/>
  <c r="H11" i="16"/>
  <c r="AE14" i="2"/>
  <c r="AE72" i="2"/>
  <c r="AE86" i="2"/>
  <c r="AE97" i="2"/>
  <c r="AE56" i="2"/>
  <c r="AE119" i="2"/>
  <c r="AE26" i="2"/>
  <c r="H26" i="5"/>
  <c r="L26" i="5"/>
  <c r="J26" i="5"/>
  <c r="H17" i="5"/>
  <c r="L17" i="5"/>
  <c r="H5" i="16" s="1"/>
  <c r="N30" i="2"/>
  <c r="U30" i="2"/>
  <c r="AB30" i="2"/>
  <c r="K147" i="2"/>
  <c r="L147" i="2" s="1"/>
  <c r="K94" i="2"/>
  <c r="L94" i="2" s="1"/>
  <c r="K76" i="2"/>
  <c r="L76" i="2" s="1"/>
  <c r="K77" i="2"/>
  <c r="K79" i="2"/>
  <c r="K83" i="2"/>
  <c r="M22" i="2"/>
  <c r="F27" i="5" l="1"/>
  <c r="L56" i="2"/>
  <c r="F10" i="5"/>
  <c r="F22" i="5"/>
  <c r="J145" i="2"/>
  <c r="F24" i="5"/>
  <c r="F17" i="5"/>
  <c r="F26" i="5"/>
  <c r="AA47" i="2"/>
  <c r="AH47" i="2"/>
  <c r="T47" i="2"/>
  <c r="K42" i="1"/>
  <c r="K214" i="1"/>
  <c r="K212" i="1"/>
  <c r="K211" i="1" s="1"/>
  <c r="F25" i="6" s="1"/>
  <c r="K209" i="1"/>
  <c r="K208" i="1"/>
  <c r="K206" i="1"/>
  <c r="K204" i="1"/>
  <c r="K203" i="1"/>
  <c r="K199" i="1"/>
  <c r="K198" i="1"/>
  <c r="K197" i="1"/>
  <c r="K196" i="1"/>
  <c r="K194" i="1"/>
  <c r="K192" i="1"/>
  <c r="K191" i="1"/>
  <c r="K189" i="1"/>
  <c r="K188" i="1"/>
  <c r="K187" i="1"/>
  <c r="K184" i="1"/>
  <c r="K183" i="1"/>
  <c r="K182" i="1"/>
  <c r="K181" i="1"/>
  <c r="K179" i="1"/>
  <c r="K178" i="1"/>
  <c r="K177" i="1"/>
  <c r="K176" i="1"/>
  <c r="K175" i="1"/>
  <c r="K171" i="1"/>
  <c r="K170" i="1"/>
  <c r="K169" i="1"/>
  <c r="K167" i="1"/>
  <c r="K166" i="1" s="1"/>
  <c r="K165" i="1"/>
  <c r="K164" i="1"/>
  <c r="K162" i="1"/>
  <c r="K161" i="1"/>
  <c r="K160" i="1"/>
  <c r="K159" i="1"/>
  <c r="K158" i="1"/>
  <c r="K156" i="1"/>
  <c r="K155" i="1"/>
  <c r="K152" i="1"/>
  <c r="K151" i="1"/>
  <c r="K150" i="1"/>
  <c r="K149" i="1"/>
  <c r="K147" i="1"/>
  <c r="K146" i="1"/>
  <c r="K145" i="1"/>
  <c r="K144" i="1"/>
  <c r="K141" i="1"/>
  <c r="K140" i="1"/>
  <c r="K137" i="1"/>
  <c r="K136" i="1"/>
  <c r="K135" i="1"/>
  <c r="K134" i="1"/>
  <c r="K131" i="1"/>
  <c r="K130" i="1"/>
  <c r="K128" i="1"/>
  <c r="K125" i="1"/>
  <c r="K124" i="1" s="1"/>
  <c r="K123" i="1"/>
  <c r="K122" i="1"/>
  <c r="K116" i="1"/>
  <c r="K115" i="1"/>
  <c r="K114" i="1"/>
  <c r="K112" i="1"/>
  <c r="K111" i="1"/>
  <c r="K109" i="1"/>
  <c r="K108" i="1"/>
  <c r="K105" i="1"/>
  <c r="K104" i="1"/>
  <c r="K103" i="1"/>
  <c r="K101" i="1"/>
  <c r="K100" i="1" s="1"/>
  <c r="K98" i="1"/>
  <c r="K97" i="1" s="1"/>
  <c r="K96" i="1"/>
  <c r="K95" i="1"/>
  <c r="K93" i="1"/>
  <c r="K92" i="1" s="1"/>
  <c r="K90" i="1"/>
  <c r="K89" i="1" s="1"/>
  <c r="K88" i="1"/>
  <c r="K87" i="1"/>
  <c r="K86" i="1"/>
  <c r="K83" i="1"/>
  <c r="K82" i="1"/>
  <c r="K79" i="1"/>
  <c r="K78" i="1"/>
  <c r="K75" i="1"/>
  <c r="K74" i="1" s="1"/>
  <c r="K73" i="1"/>
  <c r="K72" i="1" s="1"/>
  <c r="K71" i="1"/>
  <c r="K70" i="1"/>
  <c r="K69" i="1"/>
  <c r="K66" i="1"/>
  <c r="K65" i="1" s="1"/>
  <c r="K62" i="1"/>
  <c r="K61" i="1"/>
  <c r="K59" i="1"/>
  <c r="K57" i="1"/>
  <c r="K56" i="1" s="1"/>
  <c r="K55" i="1"/>
  <c r="K54" i="1"/>
  <c r="K50" i="1"/>
  <c r="K49" i="1" s="1"/>
  <c r="K47" i="1"/>
  <c r="K46" i="1"/>
  <c r="K45" i="1"/>
  <c r="K38" i="1"/>
  <c r="K37" i="1"/>
  <c r="K34" i="1"/>
  <c r="K33" i="1" s="1"/>
  <c r="K31" i="1"/>
  <c r="K30" i="1"/>
  <c r="K29" i="1"/>
  <c r="K27" i="1"/>
  <c r="K26" i="1"/>
  <c r="K25" i="1"/>
  <c r="K22" i="1"/>
  <c r="K21" i="1"/>
  <c r="K20" i="1"/>
  <c r="K19" i="1"/>
  <c r="K18" i="1"/>
  <c r="E44" i="5"/>
  <c r="E43" i="5"/>
  <c r="E42" i="5"/>
  <c r="E41" i="5"/>
  <c r="E39" i="5"/>
  <c r="E38" i="5"/>
  <c r="E37" i="5"/>
  <c r="E36" i="5"/>
  <c r="E35" i="5"/>
  <c r="E34" i="5"/>
  <c r="E33" i="5"/>
  <c r="E32" i="5"/>
  <c r="E31" i="5"/>
  <c r="E29" i="5"/>
  <c r="E28" i="5" s="1"/>
  <c r="E27" i="5"/>
  <c r="E25" i="5"/>
  <c r="E24" i="5"/>
  <c r="E23" i="5"/>
  <c r="E19" i="5"/>
  <c r="E18" i="5"/>
  <c r="E16" i="5"/>
  <c r="E15" i="5"/>
  <c r="E14" i="5"/>
  <c r="E13" i="5"/>
  <c r="E12" i="5"/>
  <c r="E11" i="5"/>
  <c r="E9" i="5"/>
  <c r="K213" i="1" l="1"/>
  <c r="F26" i="6" s="1"/>
  <c r="F27" i="6"/>
  <c r="K77" i="1"/>
  <c r="K76" i="1" s="1"/>
  <c r="M56" i="2"/>
  <c r="K207" i="1"/>
  <c r="F24" i="6" s="1"/>
  <c r="K190" i="1"/>
  <c r="K60" i="1"/>
  <c r="K58" i="1" s="1"/>
  <c r="M47" i="2"/>
  <c r="K157" i="1"/>
  <c r="K113" i="1"/>
  <c r="K24" i="1"/>
  <c r="K81" i="1"/>
  <c r="K195" i="1"/>
  <c r="K202" i="1"/>
  <c r="K201" i="1" s="1"/>
  <c r="K102" i="1"/>
  <c r="K9" i="1"/>
  <c r="F9" i="6" s="1"/>
  <c r="K121" i="1"/>
  <c r="K120" i="1" s="1"/>
  <c r="K129" i="1"/>
  <c r="K127" i="1" s="1"/>
  <c r="K163" i="1"/>
  <c r="K186" i="1"/>
  <c r="E40" i="5"/>
  <c r="K53" i="1"/>
  <c r="K52" i="1" s="1"/>
  <c r="K68" i="1"/>
  <c r="K67" i="1" s="1"/>
  <c r="K174" i="1"/>
  <c r="E21" i="5"/>
  <c r="K28" i="1"/>
  <c r="K110" i="1"/>
  <c r="K143" i="1"/>
  <c r="K154" i="1"/>
  <c r="K36" i="1"/>
  <c r="K35" i="1" s="1"/>
  <c r="K32" i="1" s="1"/>
  <c r="F16" i="6" s="1"/>
  <c r="K94" i="1"/>
  <c r="K91" i="1" s="1"/>
  <c r="K139" i="1"/>
  <c r="K168" i="1"/>
  <c r="K180" i="1"/>
  <c r="K133" i="1"/>
  <c r="K132" i="1" s="1"/>
  <c r="K148" i="1"/>
  <c r="E7" i="5"/>
  <c r="E30" i="5"/>
  <c r="K17" i="1"/>
  <c r="K16" i="1" s="1"/>
  <c r="K85" i="1"/>
  <c r="K84" i="1" s="1"/>
  <c r="K41" i="1"/>
  <c r="K40" i="1" s="1"/>
  <c r="I10" i="2"/>
  <c r="I8" i="2"/>
  <c r="I151" i="2"/>
  <c r="I149" i="2"/>
  <c r="I119" i="2"/>
  <c r="I97" i="2"/>
  <c r="I86" i="2"/>
  <c r="I72" i="2"/>
  <c r="I14" i="2"/>
  <c r="I26" i="2"/>
  <c r="I9" i="2" l="1"/>
  <c r="K107" i="1"/>
  <c r="K106" i="1" s="1"/>
  <c r="F20" i="6" s="1"/>
  <c r="K153" i="1"/>
  <c r="K142" i="1" s="1"/>
  <c r="F22" i="6" s="1"/>
  <c r="K23" i="1"/>
  <c r="K15" i="1" s="1"/>
  <c r="K173" i="1"/>
  <c r="K185" i="1"/>
  <c r="K64" i="1"/>
  <c r="F18" i="6" s="1"/>
  <c r="K126" i="1"/>
  <c r="F21" i="6" s="1"/>
  <c r="K80" i="1"/>
  <c r="F19" i="6" s="1"/>
  <c r="I6" i="2"/>
  <c r="K39" i="1"/>
  <c r="D60" i="1"/>
  <c r="D51" i="1"/>
  <c r="I65" i="5" l="1"/>
  <c r="K11" i="1"/>
  <c r="F11" i="6" s="1"/>
  <c r="F15" i="6"/>
  <c r="K10" i="1"/>
  <c r="F10" i="6" s="1"/>
  <c r="K172" i="1"/>
  <c r="F23" i="6" s="1"/>
  <c r="K8" i="1"/>
  <c r="F17" i="6"/>
  <c r="F8" i="6" l="1"/>
  <c r="K6" i="1"/>
  <c r="F6" i="6" s="1"/>
  <c r="S70" i="2"/>
  <c r="K93" i="2"/>
  <c r="M18" i="2"/>
  <c r="D110" i="1" l="1"/>
  <c r="K27" i="2" l="1"/>
  <c r="H120" i="2" l="1"/>
  <c r="H121" i="2"/>
  <c r="C37" i="5" l="1"/>
  <c r="R10" i="2" l="1"/>
  <c r="J37" i="5" l="1"/>
  <c r="H37" i="5"/>
  <c r="L37" i="5" l="1"/>
  <c r="C19" i="5"/>
  <c r="C75" i="5" s="1"/>
  <c r="F7" i="16" s="1"/>
  <c r="Q7" i="16" s="1"/>
  <c r="C17" i="5"/>
  <c r="C72" i="5"/>
  <c r="C15" i="5"/>
  <c r="C69" i="5"/>
  <c r="D11" i="16" s="1"/>
  <c r="C68" i="5"/>
  <c r="C67" i="5"/>
  <c r="C65" i="5"/>
  <c r="D14" i="16" s="1"/>
  <c r="F9" i="16" l="1"/>
  <c r="Q9" i="16" s="1"/>
  <c r="D9" i="16"/>
  <c r="F12" i="16"/>
  <c r="Q12" i="16" s="1"/>
  <c r="D12" i="16"/>
  <c r="F13" i="16"/>
  <c r="Q13" i="16" s="1"/>
  <c r="D13" i="16"/>
  <c r="C71" i="5"/>
  <c r="F6" i="16" s="1"/>
  <c r="Q6" i="16" s="1"/>
  <c r="C7" i="5"/>
  <c r="F11" i="16"/>
  <c r="Q11" i="16" s="1"/>
  <c r="F14" i="16"/>
  <c r="Q14" i="16" s="1"/>
  <c r="N14" i="16"/>
  <c r="D17" i="5"/>
  <c r="D73" i="5" s="1"/>
  <c r="C73" i="5"/>
  <c r="D5" i="16" s="1"/>
  <c r="I159" i="1"/>
  <c r="I158" i="1"/>
  <c r="I214" i="1"/>
  <c r="I213" i="1" s="1"/>
  <c r="I212" i="1"/>
  <c r="I211" i="1" s="1"/>
  <c r="I209" i="1"/>
  <c r="I208" i="1"/>
  <c r="I204" i="1"/>
  <c r="I203" i="1"/>
  <c r="I199" i="1"/>
  <c r="I198" i="1"/>
  <c r="I197" i="1"/>
  <c r="I196" i="1"/>
  <c r="I194" i="1"/>
  <c r="I192" i="1"/>
  <c r="I191" i="1"/>
  <c r="I189" i="1"/>
  <c r="I188" i="1"/>
  <c r="I187" i="1"/>
  <c r="I184" i="1"/>
  <c r="I183" i="1"/>
  <c r="I182" i="1"/>
  <c r="I181" i="1"/>
  <c r="I179" i="1"/>
  <c r="I178" i="1"/>
  <c r="I177" i="1"/>
  <c r="I176" i="1"/>
  <c r="I175" i="1"/>
  <c r="I171" i="1"/>
  <c r="I170" i="1"/>
  <c r="I169" i="1"/>
  <c r="I167" i="1"/>
  <c r="I166" i="1" s="1"/>
  <c r="I165" i="1"/>
  <c r="I164" i="1"/>
  <c r="I162" i="1"/>
  <c r="I161" i="1"/>
  <c r="I160" i="1"/>
  <c r="I156" i="1"/>
  <c r="I155" i="1"/>
  <c r="I152" i="1"/>
  <c r="I151" i="1"/>
  <c r="I150" i="1"/>
  <c r="I149" i="1"/>
  <c r="I147" i="1"/>
  <c r="I146" i="1"/>
  <c r="I145" i="1"/>
  <c r="I144" i="1"/>
  <c r="I141" i="1"/>
  <c r="I140" i="1"/>
  <c r="I138" i="1"/>
  <c r="I137" i="1"/>
  <c r="I136" i="1"/>
  <c r="I135" i="1"/>
  <c r="I134" i="1"/>
  <c r="I131" i="1"/>
  <c r="I130" i="1"/>
  <c r="I128" i="1"/>
  <c r="I125" i="1"/>
  <c r="I124" i="1" s="1"/>
  <c r="I123" i="1"/>
  <c r="I122" i="1"/>
  <c r="I116" i="1"/>
  <c r="I115" i="1"/>
  <c r="I114" i="1"/>
  <c r="I112" i="1"/>
  <c r="I111" i="1"/>
  <c r="I109" i="1"/>
  <c r="I108" i="1"/>
  <c r="I105" i="1"/>
  <c r="I104" i="1"/>
  <c r="I103" i="1"/>
  <c r="I101" i="1"/>
  <c r="I100" i="1" s="1"/>
  <c r="I98" i="1"/>
  <c r="I97" i="1" s="1"/>
  <c r="I96" i="1"/>
  <c r="I95" i="1"/>
  <c r="I93" i="1"/>
  <c r="I92" i="1" s="1"/>
  <c r="I90" i="1"/>
  <c r="I89" i="1" s="1"/>
  <c r="I88" i="1"/>
  <c r="I87" i="1"/>
  <c r="I86" i="1"/>
  <c r="I83" i="1"/>
  <c r="I82" i="1"/>
  <c r="I79" i="1"/>
  <c r="I78" i="1"/>
  <c r="I75" i="1"/>
  <c r="I74" i="1" s="1"/>
  <c r="I73" i="1"/>
  <c r="I72" i="1" s="1"/>
  <c r="I71" i="1"/>
  <c r="I70" i="1"/>
  <c r="I69" i="1"/>
  <c r="I66" i="1"/>
  <c r="I65" i="1" s="1"/>
  <c r="I62" i="1"/>
  <c r="I61" i="1"/>
  <c r="I59" i="1"/>
  <c r="I57" i="1"/>
  <c r="I56" i="1" s="1"/>
  <c r="I55" i="1"/>
  <c r="I54" i="1"/>
  <c r="I51" i="1"/>
  <c r="I50" i="1"/>
  <c r="I47" i="1"/>
  <c r="I46" i="1"/>
  <c r="I45" i="1"/>
  <c r="I44" i="1"/>
  <c r="I43" i="1"/>
  <c r="I42" i="1"/>
  <c r="I38" i="1"/>
  <c r="I37" i="1"/>
  <c r="I34" i="1"/>
  <c r="I33" i="1" s="1"/>
  <c r="I31" i="1"/>
  <c r="I30" i="1"/>
  <c r="I29" i="1"/>
  <c r="I26" i="1"/>
  <c r="I25" i="1"/>
  <c r="I22" i="1"/>
  <c r="I21" i="1"/>
  <c r="I20" i="1"/>
  <c r="I19" i="1"/>
  <c r="I18" i="1"/>
  <c r="I202" i="1" l="1"/>
  <c r="F5" i="16"/>
  <c r="Q5" i="16" s="1"/>
  <c r="N11" i="16"/>
  <c r="M11" i="16"/>
  <c r="K11" i="16"/>
  <c r="I11" i="16"/>
  <c r="I41" i="1"/>
  <c r="I77" i="1"/>
  <c r="I76" i="1" s="1"/>
  <c r="I207" i="1"/>
  <c r="I190" i="1"/>
  <c r="I60" i="1"/>
  <c r="I58" i="1" s="1"/>
  <c r="I102" i="1"/>
  <c r="I94" i="1"/>
  <c r="I91" i="1" s="1"/>
  <c r="I36" i="1"/>
  <c r="I35" i="1" s="1"/>
  <c r="I32" i="1" s="1"/>
  <c r="I81" i="1"/>
  <c r="I163" i="1"/>
  <c r="I154" i="1"/>
  <c r="I186" i="1"/>
  <c r="I139" i="1"/>
  <c r="I49" i="1"/>
  <c r="I113" i="1"/>
  <c r="I28" i="1"/>
  <c r="I143" i="1"/>
  <c r="I53" i="1"/>
  <c r="I52" i="1" s="1"/>
  <c r="I68" i="1"/>
  <c r="I67" i="1" s="1"/>
  <c r="I85" i="1"/>
  <c r="I84" i="1" s="1"/>
  <c r="I121" i="1"/>
  <c r="I120" i="1" s="1"/>
  <c r="I129" i="1"/>
  <c r="I127" i="1" s="1"/>
  <c r="I195" i="1"/>
  <c r="I24" i="1"/>
  <c r="I17" i="1"/>
  <c r="I16" i="1" s="1"/>
  <c r="I133" i="1"/>
  <c r="I132" i="1" s="1"/>
  <c r="I148" i="1"/>
  <c r="I168" i="1"/>
  <c r="I180" i="1"/>
  <c r="I110" i="1"/>
  <c r="I174" i="1"/>
  <c r="I157" i="1"/>
  <c r="I107" i="1" l="1"/>
  <c r="I106" i="1" s="1"/>
  <c r="L11" i="16"/>
  <c r="P11" i="16" s="1"/>
  <c r="K5" i="16"/>
  <c r="I5" i="16"/>
  <c r="N5" i="16"/>
  <c r="M5" i="16"/>
  <c r="I185" i="1"/>
  <c r="I64" i="1"/>
  <c r="I23" i="1"/>
  <c r="I15" i="1" s="1"/>
  <c r="I173" i="1"/>
  <c r="I153" i="1"/>
  <c r="I142" i="1" s="1"/>
  <c r="I126" i="1"/>
  <c r="I80" i="1"/>
  <c r="I40" i="1"/>
  <c r="I39" i="1" s="1"/>
  <c r="Z62" i="1"/>
  <c r="S62" i="1"/>
  <c r="V62" i="1" s="1"/>
  <c r="L5" i="16" l="1"/>
  <c r="P5" i="16" s="1"/>
  <c r="AD105" i="1"/>
  <c r="AD104" i="1"/>
  <c r="AD62" i="1"/>
  <c r="W105" i="1"/>
  <c r="W104" i="1"/>
  <c r="W62" i="1"/>
  <c r="P105" i="1"/>
  <c r="P104" i="1"/>
  <c r="P62" i="1"/>
  <c r="AG105" i="1" l="1"/>
  <c r="AG103" i="1"/>
  <c r="AG101" i="1"/>
  <c r="AG100" i="1" s="1"/>
  <c r="AJ100" i="1" s="1"/>
  <c r="AG98" i="1"/>
  <c r="AG93" i="1"/>
  <c r="AG92" i="1" s="1"/>
  <c r="AG90" i="1"/>
  <c r="AG89" i="1" s="1"/>
  <c r="AG86" i="1"/>
  <c r="AG83" i="1"/>
  <c r="AG62" i="1"/>
  <c r="J12" i="16"/>
  <c r="E105" i="1"/>
  <c r="E104" i="1"/>
  <c r="E103" i="1"/>
  <c r="E101" i="1"/>
  <c r="E96" i="1"/>
  <c r="E95" i="1"/>
  <c r="E93" i="1"/>
  <c r="E90" i="1"/>
  <c r="E88" i="1"/>
  <c r="E87" i="1"/>
  <c r="E86" i="1"/>
  <c r="E83" i="1"/>
  <c r="E82" i="1"/>
  <c r="AG104" i="1"/>
  <c r="AG96" i="1"/>
  <c r="AJ96" i="1" s="1"/>
  <c r="AG95" i="1"/>
  <c r="AG88" i="1"/>
  <c r="AG87" i="1"/>
  <c r="AG82" i="1"/>
  <c r="Z105" i="1"/>
  <c r="Z104" i="1"/>
  <c r="Z103" i="1"/>
  <c r="Z101" i="1"/>
  <c r="Z100" i="1" s="1"/>
  <c r="Z98" i="1"/>
  <c r="Z96" i="1"/>
  <c r="Z95" i="1"/>
  <c r="Z93" i="1"/>
  <c r="Z92" i="1" s="1"/>
  <c r="Z90" i="1"/>
  <c r="Z89" i="1" s="1"/>
  <c r="Z88" i="1"/>
  <c r="Z87" i="1"/>
  <c r="Z86" i="1"/>
  <c r="Z83" i="1"/>
  <c r="Z82" i="1"/>
  <c r="S105" i="1"/>
  <c r="V105" i="1" s="1"/>
  <c r="S104" i="1"/>
  <c r="V104" i="1" s="1"/>
  <c r="S103" i="1"/>
  <c r="V103" i="1" s="1"/>
  <c r="S101" i="1"/>
  <c r="S98" i="1"/>
  <c r="S96" i="1"/>
  <c r="V96" i="1" s="1"/>
  <c r="S95" i="1"/>
  <c r="V95" i="1" s="1"/>
  <c r="S93" i="1"/>
  <c r="S90" i="1"/>
  <c r="S88" i="1"/>
  <c r="V88" i="1" s="1"/>
  <c r="S87" i="1"/>
  <c r="V87" i="1" s="1"/>
  <c r="S86" i="1"/>
  <c r="V86" i="1" s="1"/>
  <c r="S83" i="1"/>
  <c r="S82" i="1"/>
  <c r="L105" i="1"/>
  <c r="L103" i="1"/>
  <c r="L101" i="1"/>
  <c r="L100" i="1" s="1"/>
  <c r="L98" i="1"/>
  <c r="L97" i="1" s="1"/>
  <c r="L96" i="1"/>
  <c r="L88" i="1"/>
  <c r="L87" i="1"/>
  <c r="L86" i="1"/>
  <c r="H105" i="1"/>
  <c r="H104" i="1"/>
  <c r="H103" i="1"/>
  <c r="H101" i="1"/>
  <c r="H98" i="1"/>
  <c r="H97" i="1" s="1"/>
  <c r="F97" i="1"/>
  <c r="V83" i="1" l="1"/>
  <c r="V82" i="1"/>
  <c r="M97" i="1"/>
  <c r="N97" i="1" s="1"/>
  <c r="O97" i="1"/>
  <c r="AC98" i="1"/>
  <c r="Z97" i="1"/>
  <c r="AJ98" i="1"/>
  <c r="AG97" i="1"/>
  <c r="V98" i="1"/>
  <c r="S97" i="1"/>
  <c r="I72" i="5"/>
  <c r="S89" i="1"/>
  <c r="V89" i="1" s="1"/>
  <c r="V90" i="1"/>
  <c r="S92" i="1"/>
  <c r="V93" i="1"/>
  <c r="S100" i="1"/>
  <c r="V100" i="1" s="1"/>
  <c r="V101" i="1"/>
  <c r="AH98" i="1"/>
  <c r="AI98" i="1" s="1"/>
  <c r="M98" i="1"/>
  <c r="N98" i="1" s="1"/>
  <c r="O98" i="1"/>
  <c r="T98" i="1"/>
  <c r="U98" i="1" s="1"/>
  <c r="AA98" i="1"/>
  <c r="AB98" i="1" s="1"/>
  <c r="H102" i="1"/>
  <c r="AG102" i="1"/>
  <c r="Z102" i="1"/>
  <c r="S102" i="1"/>
  <c r="V102" i="1" s="1"/>
  <c r="T105" i="1"/>
  <c r="U105" i="1" s="1"/>
  <c r="M105" i="1"/>
  <c r="N105" i="1" s="1"/>
  <c r="O105" i="1"/>
  <c r="S94" i="1"/>
  <c r="AA105" i="1"/>
  <c r="AB105" i="1" s="1"/>
  <c r="AC105" i="1"/>
  <c r="AJ105" i="1"/>
  <c r="AH105" i="1"/>
  <c r="AI105" i="1" s="1"/>
  <c r="Z94" i="1"/>
  <c r="S81" i="1"/>
  <c r="Z81" i="1"/>
  <c r="L85" i="1"/>
  <c r="L84" i="1" s="1"/>
  <c r="S85" i="1"/>
  <c r="Z85" i="1"/>
  <c r="Z84" i="1" s="1"/>
  <c r="AG94" i="1"/>
  <c r="AG81" i="1"/>
  <c r="AG85" i="1"/>
  <c r="AG84" i="1" s="1"/>
  <c r="H12" i="16"/>
  <c r="AH71" i="2"/>
  <c r="AA71" i="2"/>
  <c r="T71" i="2"/>
  <c r="M71" i="2"/>
  <c r="AF70" i="2"/>
  <c r="AG70" i="2" s="1"/>
  <c r="Y70" i="2"/>
  <c r="Z70" i="2" s="1"/>
  <c r="T70" i="2"/>
  <c r="H70" i="2"/>
  <c r="J104" i="1" s="1"/>
  <c r="AH66" i="2"/>
  <c r="AA66" i="2"/>
  <c r="S66" i="2"/>
  <c r="M66" i="2"/>
  <c r="J98" i="1"/>
  <c r="J97" i="1" s="1"/>
  <c r="V81" i="1" l="1"/>
  <c r="AG91" i="1"/>
  <c r="N12" i="16"/>
  <c r="K12" i="16"/>
  <c r="L12" i="16" s="1"/>
  <c r="Z91" i="1"/>
  <c r="M12" i="16"/>
  <c r="V97" i="1"/>
  <c r="T97" i="1"/>
  <c r="U97" i="1" s="1"/>
  <c r="AJ97" i="1"/>
  <c r="AH97" i="1"/>
  <c r="AI97" i="1" s="1"/>
  <c r="AC97" i="1"/>
  <c r="AA97" i="1"/>
  <c r="AB97" i="1" s="1"/>
  <c r="V92" i="1"/>
  <c r="S91" i="1"/>
  <c r="V91" i="1" s="1"/>
  <c r="I12" i="16"/>
  <c r="V94" i="1"/>
  <c r="S84" i="1"/>
  <c r="V84" i="1" s="1"/>
  <c r="V85" i="1"/>
  <c r="T102" i="1"/>
  <c r="U102" i="1" s="1"/>
  <c r="AA70" i="2"/>
  <c r="AH70" i="2"/>
  <c r="K66" i="2"/>
  <c r="Y66" i="2"/>
  <c r="Z66" i="2" s="1"/>
  <c r="T66" i="2"/>
  <c r="AF66" i="2"/>
  <c r="AG66" i="2" s="1"/>
  <c r="P12" i="16" l="1"/>
  <c r="U56" i="2"/>
  <c r="AG31" i="1" l="1"/>
  <c r="Z31" i="1" l="1"/>
  <c r="S31" i="1"/>
  <c r="V31" i="1" s="1"/>
  <c r="T44" i="2" l="1"/>
  <c r="T45" i="2"/>
  <c r="T42" i="2"/>
  <c r="T43" i="2"/>
  <c r="U86" i="2"/>
  <c r="J4" i="7"/>
  <c r="I4" i="7"/>
  <c r="H4" i="7"/>
  <c r="G4" i="7"/>
  <c r="F4" i="7"/>
  <c r="E4" i="7"/>
  <c r="D4" i="7"/>
  <c r="C4" i="7"/>
  <c r="H42" i="2" l="1"/>
  <c r="J57" i="1" s="1"/>
  <c r="J56" i="1" s="1"/>
  <c r="H43" i="2"/>
  <c r="H45" i="2"/>
  <c r="J62" i="1" l="1"/>
  <c r="J60" i="1" s="1"/>
  <c r="D26" i="5"/>
  <c r="J59" i="1"/>
  <c r="J58" i="1" l="1"/>
  <c r="AD61" i="1"/>
  <c r="AD60" i="1" s="1"/>
  <c r="W61" i="1"/>
  <c r="W60" i="1" s="1"/>
  <c r="AG61" i="1"/>
  <c r="Z61" i="1"/>
  <c r="AC62" i="1"/>
  <c r="AJ62" i="1"/>
  <c r="Y44" i="2"/>
  <c r="Z44" i="2" s="1"/>
  <c r="AA44" i="2"/>
  <c r="AH44" i="2"/>
  <c r="AC61" i="1" l="1"/>
  <c r="Z60" i="1"/>
  <c r="AJ61" i="1"/>
  <c r="AG60" i="1"/>
  <c r="AH61" i="1"/>
  <c r="AI61" i="1" s="1"/>
  <c r="AH62" i="1"/>
  <c r="AI62" i="1" s="1"/>
  <c r="AA61" i="1"/>
  <c r="AB61" i="1" s="1"/>
  <c r="AA62" i="1"/>
  <c r="AB62" i="1" s="1"/>
  <c r="AF44" i="2"/>
  <c r="AG44" i="2" s="1"/>
  <c r="S44" i="2" l="1"/>
  <c r="S61" i="1"/>
  <c r="P61" i="1"/>
  <c r="P60" i="1" s="1"/>
  <c r="S60" i="1" l="1"/>
  <c r="V60" i="1" s="1"/>
  <c r="V61" i="1"/>
  <c r="T62" i="1"/>
  <c r="U62" i="1" s="1"/>
  <c r="T61" i="1"/>
  <c r="U61" i="1" s="1"/>
  <c r="D137" i="1"/>
  <c r="D136" i="1"/>
  <c r="D135" i="1"/>
  <c r="D134" i="1"/>
  <c r="D107" i="1"/>
  <c r="D102" i="1"/>
  <c r="D100" i="1"/>
  <c r="D94" i="1"/>
  <c r="D92" i="1"/>
  <c r="D91" i="1"/>
  <c r="D89" i="1"/>
  <c r="D85" i="1"/>
  <c r="D84" i="1"/>
  <c r="D81" i="1"/>
  <c r="D77" i="1"/>
  <c r="D76" i="1"/>
  <c r="D74" i="1"/>
  <c r="D72" i="1"/>
  <c r="D68" i="1"/>
  <c r="D67" i="1"/>
  <c r="D65" i="1"/>
  <c r="D58" i="1"/>
  <c r="D56" i="1"/>
  <c r="D53" i="1"/>
  <c r="D52" i="1"/>
  <c r="D49" i="1"/>
  <c r="D45" i="1"/>
  <c r="D44" i="1"/>
  <c r="D43" i="1"/>
  <c r="D41" i="1"/>
  <c r="D40" i="1"/>
  <c r="D36" i="1"/>
  <c r="D35" i="1"/>
  <c r="D33" i="1"/>
  <c r="D31" i="1"/>
  <c r="D30" i="1"/>
  <c r="D29" i="1"/>
  <c r="D28" i="1"/>
  <c r="D27" i="1"/>
  <c r="D26" i="1"/>
  <c r="D25" i="1"/>
  <c r="D24" i="1"/>
  <c r="D23" i="1"/>
  <c r="D17" i="1"/>
  <c r="D16" i="1"/>
  <c r="D42" i="1"/>
  <c r="D80" i="1"/>
  <c r="H49" i="2" l="1"/>
  <c r="J69" i="1" s="1"/>
  <c r="AG212" i="1" l="1"/>
  <c r="Y45" i="2" l="1"/>
  <c r="Y43" i="2"/>
  <c r="S45" i="2"/>
  <c r="S43" i="2"/>
  <c r="C42" i="5" l="1"/>
  <c r="B42" i="5"/>
  <c r="C41" i="5"/>
  <c r="B41" i="5"/>
  <c r="C39" i="5"/>
  <c r="B39" i="5"/>
  <c r="B38" i="5"/>
  <c r="C34" i="5"/>
  <c r="B34" i="5"/>
  <c r="C32" i="5"/>
  <c r="B32" i="5"/>
  <c r="C31" i="5"/>
  <c r="L29" i="5"/>
  <c r="J29" i="5"/>
  <c r="J28" i="5" s="1"/>
  <c r="H29" i="5"/>
  <c r="H28" i="5" s="1"/>
  <c r="F29" i="5"/>
  <c r="F28" i="5" s="1"/>
  <c r="C29" i="5"/>
  <c r="C28" i="5" s="1"/>
  <c r="B29" i="5"/>
  <c r="B28" i="5" s="1"/>
  <c r="C26" i="5"/>
  <c r="J25" i="5"/>
  <c r="C25" i="5"/>
  <c r="B25" i="5"/>
  <c r="C24" i="5"/>
  <c r="C23" i="5"/>
  <c r="B19" i="5"/>
  <c r="B75" i="5" s="1"/>
  <c r="D7" i="16" s="1"/>
  <c r="B15" i="5"/>
  <c r="AH152" i="2"/>
  <c r="AA152" i="2"/>
  <c r="Y152" i="2"/>
  <c r="Z152" i="2" s="1"/>
  <c r="J42" i="5"/>
  <c r="U151" i="2"/>
  <c r="S152" i="2"/>
  <c r="H152" i="2"/>
  <c r="H151" i="2" s="1"/>
  <c r="AB151" i="2"/>
  <c r="G151" i="2"/>
  <c r="AL151" i="2" s="1"/>
  <c r="AH150" i="2"/>
  <c r="AF150" i="2"/>
  <c r="AG150" i="2" s="1"/>
  <c r="L32" i="5"/>
  <c r="T150" i="2"/>
  <c r="N149" i="2"/>
  <c r="H150" i="2"/>
  <c r="AB149" i="2"/>
  <c r="U149" i="2"/>
  <c r="T149" i="2"/>
  <c r="G149" i="2"/>
  <c r="AL149" i="2" s="1"/>
  <c r="AH147" i="2"/>
  <c r="AF147" i="2"/>
  <c r="AG147" i="2" s="1"/>
  <c r="Y147" i="2"/>
  <c r="Z147" i="2" s="1"/>
  <c r="AA147" i="2"/>
  <c r="T147" i="2"/>
  <c r="S147" i="2"/>
  <c r="P209" i="1"/>
  <c r="J209" i="1"/>
  <c r="T146" i="2"/>
  <c r="S146" i="2"/>
  <c r="AH144" i="2"/>
  <c r="AA144" i="2"/>
  <c r="Y144" i="2"/>
  <c r="Z144" i="2" s="1"/>
  <c r="J38" i="5"/>
  <c r="S144" i="2"/>
  <c r="F38" i="5"/>
  <c r="AF142" i="2"/>
  <c r="AG142" i="2" s="1"/>
  <c r="AA142" i="2"/>
  <c r="Y142" i="2"/>
  <c r="Z142" i="2" s="1"/>
  <c r="W204" i="1"/>
  <c r="P204" i="1"/>
  <c r="J204" i="1"/>
  <c r="AD203" i="1"/>
  <c r="Y141" i="2"/>
  <c r="Z141" i="2" s="1"/>
  <c r="P203" i="1"/>
  <c r="M141" i="2"/>
  <c r="J203" i="1"/>
  <c r="AH139" i="2"/>
  <c r="AF139" i="2"/>
  <c r="AG139" i="2" s="1"/>
  <c r="AA139" i="2"/>
  <c r="Y139" i="2"/>
  <c r="Z139" i="2" s="1"/>
  <c r="S139" i="2"/>
  <c r="T139" i="2"/>
  <c r="P199" i="1"/>
  <c r="K139" i="2"/>
  <c r="H139" i="2"/>
  <c r="AH138" i="2"/>
  <c r="AF138" i="2"/>
  <c r="AG138" i="2" s="1"/>
  <c r="AA138" i="2"/>
  <c r="Y138" i="2"/>
  <c r="Z138" i="2" s="1"/>
  <c r="S138" i="2"/>
  <c r="T138" i="2"/>
  <c r="P198" i="1"/>
  <c r="H138" i="2"/>
  <c r="AH137" i="2"/>
  <c r="AF137" i="2"/>
  <c r="AG137" i="2" s="1"/>
  <c r="AD197" i="1"/>
  <c r="AA137" i="2"/>
  <c r="Y137" i="2"/>
  <c r="Z137" i="2" s="1"/>
  <c r="P197" i="1"/>
  <c r="H137" i="2"/>
  <c r="J197" i="1" s="1"/>
  <c r="AD196" i="1"/>
  <c r="Y136" i="2"/>
  <c r="Z136" i="2" s="1"/>
  <c r="AA136" i="2"/>
  <c r="P196" i="1"/>
  <c r="H136" i="2"/>
  <c r="J196" i="1" s="1"/>
  <c r="AH135" i="2"/>
  <c r="AF135" i="2"/>
  <c r="AG135" i="2" s="1"/>
  <c r="AA135" i="2"/>
  <c r="Y135" i="2"/>
  <c r="Z135" i="2" s="1"/>
  <c r="S135" i="2"/>
  <c r="T135" i="2"/>
  <c r="H135" i="2"/>
  <c r="J194" i="1" s="1"/>
  <c r="AH133" i="2"/>
  <c r="AF133" i="2"/>
  <c r="AG133" i="2" s="1"/>
  <c r="AD192" i="1"/>
  <c r="AA133" i="2"/>
  <c r="Y133" i="2"/>
  <c r="Z133" i="2" s="1"/>
  <c r="S133" i="2"/>
  <c r="T133" i="2"/>
  <c r="P192" i="1"/>
  <c r="J192" i="1"/>
  <c r="AD191" i="1"/>
  <c r="AA132" i="2"/>
  <c r="Y132" i="2"/>
  <c r="Z132" i="2" s="1"/>
  <c r="P191" i="1"/>
  <c r="J191" i="1"/>
  <c r="AD189" i="1"/>
  <c r="S131" i="2"/>
  <c r="T131" i="2"/>
  <c r="P189" i="1"/>
  <c r="H131" i="2"/>
  <c r="J189" i="1" s="1"/>
  <c r="Y130" i="2"/>
  <c r="Z130" i="2" s="1"/>
  <c r="P188" i="1"/>
  <c r="J188" i="1"/>
  <c r="AH129" i="2"/>
  <c r="AF129" i="2"/>
  <c r="AG129" i="2" s="1"/>
  <c r="AA129" i="2"/>
  <c r="Y129" i="2"/>
  <c r="Z129" i="2" s="1"/>
  <c r="S129" i="2"/>
  <c r="T129" i="2"/>
  <c r="H129" i="2"/>
  <c r="J187" i="1" s="1"/>
  <c r="AF128" i="2"/>
  <c r="AG128" i="2" s="1"/>
  <c r="J184" i="1"/>
  <c r="W183" i="1"/>
  <c r="H127" i="2"/>
  <c r="J183" i="1" s="1"/>
  <c r="T126" i="2"/>
  <c r="P182" i="1"/>
  <c r="J182" i="1"/>
  <c r="AH125" i="2"/>
  <c r="AF125" i="2"/>
  <c r="AG125" i="2" s="1"/>
  <c r="AA125" i="2"/>
  <c r="Y125" i="2"/>
  <c r="Z125" i="2" s="1"/>
  <c r="S125" i="2"/>
  <c r="T125" i="2"/>
  <c r="H125" i="2"/>
  <c r="J181" i="1" s="1"/>
  <c r="W179" i="1"/>
  <c r="P179" i="1"/>
  <c r="H124" i="2"/>
  <c r="J179" i="1" s="1"/>
  <c r="AD178" i="1"/>
  <c r="S123" i="2"/>
  <c r="T123" i="2"/>
  <c r="P178" i="1"/>
  <c r="H123" i="2"/>
  <c r="J178" i="1" s="1"/>
  <c r="AH122" i="2"/>
  <c r="AF122" i="2"/>
  <c r="AG122" i="2" s="1"/>
  <c r="AA122" i="2"/>
  <c r="Z177" i="1"/>
  <c r="AC177" i="1" s="1"/>
  <c r="T122" i="2"/>
  <c r="P177" i="1"/>
  <c r="J177" i="1"/>
  <c r="AH121" i="2"/>
  <c r="AF121" i="2"/>
  <c r="AG121" i="2" s="1"/>
  <c r="AD176" i="1"/>
  <c r="AA121" i="2"/>
  <c r="Y121" i="2"/>
  <c r="Z121" i="2" s="1"/>
  <c r="W176" i="1"/>
  <c r="S121" i="2"/>
  <c r="T121" i="2"/>
  <c r="P176" i="1"/>
  <c r="J176" i="1"/>
  <c r="AH120" i="2"/>
  <c r="AF120" i="2"/>
  <c r="AG120" i="2" s="1"/>
  <c r="P175" i="1"/>
  <c r="J175" i="1"/>
  <c r="AH118" i="2"/>
  <c r="AF118" i="2"/>
  <c r="AG118" i="2" s="1"/>
  <c r="T118" i="2"/>
  <c r="S118" i="2"/>
  <c r="P171" i="1"/>
  <c r="H118" i="2"/>
  <c r="J171" i="1" s="1"/>
  <c r="AH117" i="2"/>
  <c r="AF117" i="2"/>
  <c r="AG117" i="2" s="1"/>
  <c r="P170" i="1"/>
  <c r="H117" i="2"/>
  <c r="J170" i="1" s="1"/>
  <c r="AH116" i="2"/>
  <c r="AF116" i="2"/>
  <c r="AG116" i="2" s="1"/>
  <c r="S116" i="2"/>
  <c r="P169" i="1"/>
  <c r="H116" i="2"/>
  <c r="J169" i="1" s="1"/>
  <c r="AH115" i="2"/>
  <c r="AF115" i="2"/>
  <c r="AG115" i="2" s="1"/>
  <c r="AD167" i="1"/>
  <c r="AD166" i="1" s="1"/>
  <c r="AA115" i="2"/>
  <c r="Y115" i="2"/>
  <c r="Z115" i="2" s="1"/>
  <c r="T115" i="2"/>
  <c r="S115" i="2"/>
  <c r="H115" i="2"/>
  <c r="J167" i="1" s="1"/>
  <c r="J166" i="1" s="1"/>
  <c r="AH114" i="2"/>
  <c r="AF114" i="2"/>
  <c r="AG114" i="2" s="1"/>
  <c r="P165" i="1"/>
  <c r="L165" i="1"/>
  <c r="H114" i="2"/>
  <c r="J165" i="1" s="1"/>
  <c r="AH113" i="2"/>
  <c r="AF113" i="2"/>
  <c r="AG113" i="2" s="1"/>
  <c r="AD164" i="1"/>
  <c r="P164" i="1"/>
  <c r="H113" i="2"/>
  <c r="J164" i="1" s="1"/>
  <c r="AH112" i="2"/>
  <c r="AF112" i="2"/>
  <c r="AG112" i="2" s="1"/>
  <c r="H112" i="2"/>
  <c r="J162" i="1" s="1"/>
  <c r="AH111" i="2"/>
  <c r="AF111" i="2"/>
  <c r="AG111" i="2" s="1"/>
  <c r="AA111" i="2"/>
  <c r="Y111" i="2"/>
  <c r="Z111" i="2" s="1"/>
  <c r="T111" i="2"/>
  <c r="S111" i="2"/>
  <c r="H111" i="2"/>
  <c r="J161" i="1" s="1"/>
  <c r="AH110" i="2"/>
  <c r="AF110" i="2"/>
  <c r="AG110" i="2" s="1"/>
  <c r="S110" i="2"/>
  <c r="P160" i="1"/>
  <c r="H110" i="2"/>
  <c r="J160" i="1" s="1"/>
  <c r="AH109" i="2"/>
  <c r="W159" i="1"/>
  <c r="T109" i="2"/>
  <c r="P159" i="1"/>
  <c r="R109" i="2"/>
  <c r="AH108" i="2"/>
  <c r="AA108" i="2"/>
  <c r="Y108" i="2"/>
  <c r="Z108" i="2" s="1"/>
  <c r="T108" i="2"/>
  <c r="P158" i="1"/>
  <c r="H108" i="2"/>
  <c r="J158" i="1" s="1"/>
  <c r="AH107" i="2"/>
  <c r="AA107" i="2"/>
  <c r="W156" i="1"/>
  <c r="T107" i="2"/>
  <c r="P156" i="1"/>
  <c r="AB97" i="2"/>
  <c r="Y106" i="2"/>
  <c r="Z106" i="2" s="1"/>
  <c r="AA106" i="2"/>
  <c r="T106" i="2"/>
  <c r="S106" i="2"/>
  <c r="P155" i="1"/>
  <c r="H106" i="2"/>
  <c r="J155" i="1" s="1"/>
  <c r="AH105" i="2"/>
  <c r="AF105" i="2"/>
  <c r="AG105" i="2" s="1"/>
  <c r="AD152" i="1"/>
  <c r="Y105" i="2"/>
  <c r="Z105" i="2" s="1"/>
  <c r="AA105" i="2"/>
  <c r="T105" i="2"/>
  <c r="S105" i="2"/>
  <c r="P152" i="1"/>
  <c r="H105" i="2"/>
  <c r="J152" i="1" s="1"/>
  <c r="T104" i="2"/>
  <c r="S104" i="2"/>
  <c r="P151" i="1"/>
  <c r="J151" i="1"/>
  <c r="AF103" i="2"/>
  <c r="AG103" i="2" s="1"/>
  <c r="AH103" i="2"/>
  <c r="T103" i="2"/>
  <c r="S103" i="2"/>
  <c r="P150" i="1"/>
  <c r="L150" i="1"/>
  <c r="H103" i="2"/>
  <c r="J150" i="1" s="1"/>
  <c r="AF102" i="2"/>
  <c r="AG102" i="2" s="1"/>
  <c r="AH102" i="2"/>
  <c r="Y102" i="2"/>
  <c r="Z102" i="2" s="1"/>
  <c r="AA102" i="2"/>
  <c r="T102" i="2"/>
  <c r="S102" i="2"/>
  <c r="P149" i="1"/>
  <c r="M102" i="2"/>
  <c r="H102" i="2"/>
  <c r="J149" i="1" s="1"/>
  <c r="AH101" i="2"/>
  <c r="AF101" i="2"/>
  <c r="AG101" i="2" s="1"/>
  <c r="Y101" i="2"/>
  <c r="Z101" i="2" s="1"/>
  <c r="AA101" i="2"/>
  <c r="T101" i="2"/>
  <c r="S101" i="2"/>
  <c r="P147" i="1"/>
  <c r="K101" i="2"/>
  <c r="H101" i="2"/>
  <c r="J147" i="1" s="1"/>
  <c r="AH100" i="2"/>
  <c r="W146" i="1"/>
  <c r="T100" i="2"/>
  <c r="S100" i="2"/>
  <c r="H100" i="2"/>
  <c r="AH99" i="2"/>
  <c r="AF99" i="2"/>
  <c r="AG99" i="2" s="1"/>
  <c r="U97" i="2"/>
  <c r="T99" i="2"/>
  <c r="P145" i="1"/>
  <c r="H99" i="2"/>
  <c r="AH98" i="2"/>
  <c r="AF98" i="2"/>
  <c r="AG98" i="2" s="1"/>
  <c r="AA98" i="2"/>
  <c r="T98" i="2"/>
  <c r="J144" i="1"/>
  <c r="G97" i="2"/>
  <c r="AL97" i="2" s="1"/>
  <c r="AA96" i="2"/>
  <c r="Y96" i="2"/>
  <c r="Z96" i="2" s="1"/>
  <c r="P141" i="1"/>
  <c r="H96" i="2"/>
  <c r="J141" i="1" s="1"/>
  <c r="AF95" i="2"/>
  <c r="AG95" i="2" s="1"/>
  <c r="AH95" i="2"/>
  <c r="AA95" i="2"/>
  <c r="Y95" i="2"/>
  <c r="Z95" i="2" s="1"/>
  <c r="T95" i="2"/>
  <c r="S95" i="2"/>
  <c r="H95" i="2"/>
  <c r="J140" i="1" s="1"/>
  <c r="AH94" i="2"/>
  <c r="AA94" i="2"/>
  <c r="W138" i="1"/>
  <c r="T94" i="2"/>
  <c r="P138" i="1"/>
  <c r="H94" i="2"/>
  <c r="J138" i="1" s="1"/>
  <c r="AH93" i="2"/>
  <c r="AF93" i="2"/>
  <c r="AG93" i="2" s="1"/>
  <c r="AD137" i="1"/>
  <c r="AA93" i="2"/>
  <c r="Y93" i="2"/>
  <c r="Z93" i="2" s="1"/>
  <c r="W137" i="1"/>
  <c r="T93" i="2"/>
  <c r="S93" i="2"/>
  <c r="P137" i="1"/>
  <c r="M93" i="2"/>
  <c r="H93" i="2"/>
  <c r="H8" i="2" s="1"/>
  <c r="AA92" i="2"/>
  <c r="Y92" i="2"/>
  <c r="Z92" i="2" s="1"/>
  <c r="P136" i="1"/>
  <c r="H92" i="2"/>
  <c r="AH91" i="2"/>
  <c r="AF91" i="2"/>
  <c r="AG91" i="2" s="1"/>
  <c r="AD135" i="1"/>
  <c r="AA91" i="2"/>
  <c r="Y91" i="2"/>
  <c r="Z91" i="2" s="1"/>
  <c r="T91" i="2"/>
  <c r="S91" i="2"/>
  <c r="M91" i="2"/>
  <c r="K91" i="2"/>
  <c r="J135" i="1"/>
  <c r="AA90" i="2"/>
  <c r="Y90" i="2"/>
  <c r="Z90" i="2" s="1"/>
  <c r="P134" i="1"/>
  <c r="H90" i="2"/>
  <c r="J134" i="1" s="1"/>
  <c r="AH89" i="2"/>
  <c r="AA89" i="2"/>
  <c r="Y89" i="2"/>
  <c r="Z89" i="2" s="1"/>
  <c r="P131" i="1"/>
  <c r="H89" i="2"/>
  <c r="J131" i="1" s="1"/>
  <c r="AA88" i="2"/>
  <c r="Y88" i="2"/>
  <c r="Z88" i="2" s="1"/>
  <c r="T88" i="2"/>
  <c r="S88" i="2"/>
  <c r="P130" i="1"/>
  <c r="H88" i="2"/>
  <c r="J130" i="1" s="1"/>
  <c r="AF87" i="2"/>
  <c r="AG87" i="2" s="1"/>
  <c r="AA87" i="2"/>
  <c r="Y87" i="2"/>
  <c r="Z87" i="2" s="1"/>
  <c r="W128" i="1"/>
  <c r="P128" i="1"/>
  <c r="H87" i="2"/>
  <c r="G86" i="2"/>
  <c r="AL86" i="2" s="1"/>
  <c r="AH85" i="2"/>
  <c r="AF85" i="2"/>
  <c r="AG85" i="2" s="1"/>
  <c r="AD125" i="1"/>
  <c r="AD124" i="1" s="1"/>
  <c r="Y85" i="2"/>
  <c r="Z85" i="2" s="1"/>
  <c r="AA85" i="2"/>
  <c r="T85" i="2"/>
  <c r="S85" i="2"/>
  <c r="P125" i="1"/>
  <c r="P124" i="1" s="1"/>
  <c r="H85" i="2"/>
  <c r="J125" i="1" s="1"/>
  <c r="J124" i="1" s="1"/>
  <c r="AH84" i="2"/>
  <c r="AF84" i="2"/>
  <c r="AG84" i="2" s="1"/>
  <c r="AD123" i="1"/>
  <c r="T84" i="2"/>
  <c r="S84" i="2"/>
  <c r="P123" i="1"/>
  <c r="H84" i="2"/>
  <c r="J123" i="1" s="1"/>
  <c r="AH83" i="2"/>
  <c r="Z83" i="2"/>
  <c r="AA83" i="2"/>
  <c r="T83" i="2"/>
  <c r="S83" i="2"/>
  <c r="P122" i="1"/>
  <c r="M83" i="2"/>
  <c r="H83" i="2"/>
  <c r="J122" i="1" s="1"/>
  <c r="AH79" i="2"/>
  <c r="AF79" i="2"/>
  <c r="AG79" i="2" s="1"/>
  <c r="AA79" i="2"/>
  <c r="T79" i="2"/>
  <c r="S79" i="2"/>
  <c r="P116" i="1"/>
  <c r="H79" i="2"/>
  <c r="J116" i="1" s="1"/>
  <c r="AH78" i="2"/>
  <c r="AF78" i="2"/>
  <c r="AG78" i="2" s="1"/>
  <c r="AD115" i="1"/>
  <c r="Y78" i="2"/>
  <c r="Z78" i="2" s="1"/>
  <c r="AA78" i="2"/>
  <c r="T78" i="2"/>
  <c r="S78" i="2"/>
  <c r="P115" i="1"/>
  <c r="H78" i="2"/>
  <c r="J115" i="1" s="1"/>
  <c r="AF77" i="2"/>
  <c r="AG77" i="2" s="1"/>
  <c r="AD114" i="1"/>
  <c r="T77" i="2"/>
  <c r="S77" i="2"/>
  <c r="P114" i="1"/>
  <c r="H77" i="2"/>
  <c r="J114" i="1" s="1"/>
  <c r="AA76" i="2"/>
  <c r="T76" i="2"/>
  <c r="S76" i="2"/>
  <c r="P112" i="1"/>
  <c r="H76" i="2"/>
  <c r="J112" i="1" s="1"/>
  <c r="T75" i="2"/>
  <c r="S75" i="2"/>
  <c r="P111" i="1"/>
  <c r="H75" i="2"/>
  <c r="J111" i="1" s="1"/>
  <c r="AH74" i="2"/>
  <c r="AF74" i="2"/>
  <c r="AG74" i="2" s="1"/>
  <c r="Y74" i="2"/>
  <c r="Z74" i="2" s="1"/>
  <c r="AA74" i="2"/>
  <c r="T74" i="2"/>
  <c r="S74" i="2"/>
  <c r="P109" i="1"/>
  <c r="H74" i="2"/>
  <c r="J109" i="1" s="1"/>
  <c r="T73" i="2"/>
  <c r="S73" i="2"/>
  <c r="L108" i="1"/>
  <c r="H73" i="2"/>
  <c r="J108" i="1" s="1"/>
  <c r="U72" i="2"/>
  <c r="R72" i="2"/>
  <c r="W103" i="1"/>
  <c r="W102" i="1" s="1"/>
  <c r="K69" i="2"/>
  <c r="H69" i="2"/>
  <c r="J103" i="1" s="1"/>
  <c r="H68" i="2"/>
  <c r="S65" i="2"/>
  <c r="T65" i="2"/>
  <c r="H65" i="2"/>
  <c r="J96" i="1" s="1"/>
  <c r="AH64" i="2"/>
  <c r="AF64" i="2"/>
  <c r="AG64" i="2" s="1"/>
  <c r="AA64" i="2"/>
  <c r="Y64" i="2"/>
  <c r="Z64" i="2" s="1"/>
  <c r="S64" i="2"/>
  <c r="T64" i="2"/>
  <c r="H64" i="2"/>
  <c r="J95" i="1" s="1"/>
  <c r="Y63" i="2"/>
  <c r="Z63" i="2" s="1"/>
  <c r="AA63" i="2"/>
  <c r="W93" i="1"/>
  <c r="P93" i="1"/>
  <c r="H63" i="2"/>
  <c r="J93" i="1" s="1"/>
  <c r="J92" i="1" s="1"/>
  <c r="AH62" i="2"/>
  <c r="AF62" i="2"/>
  <c r="AG62" i="2" s="1"/>
  <c r="AA62" i="2"/>
  <c r="Y62" i="2"/>
  <c r="Z62" i="2" s="1"/>
  <c r="S62" i="2"/>
  <c r="T62" i="2"/>
  <c r="P90" i="1"/>
  <c r="P89" i="1" s="1"/>
  <c r="H62" i="2"/>
  <c r="J90" i="1" s="1"/>
  <c r="J89" i="1" s="1"/>
  <c r="AH61" i="2"/>
  <c r="AF61" i="2"/>
  <c r="AG61" i="2" s="1"/>
  <c r="AA61" i="2"/>
  <c r="Y61" i="2"/>
  <c r="Z61" i="2" s="1"/>
  <c r="W88" i="1"/>
  <c r="S61" i="2"/>
  <c r="T61" i="2"/>
  <c r="P88" i="1"/>
  <c r="M61" i="2"/>
  <c r="H61" i="2"/>
  <c r="J88" i="1" s="1"/>
  <c r="AF60" i="2"/>
  <c r="AG60" i="2" s="1"/>
  <c r="AA60" i="2"/>
  <c r="Y60" i="2"/>
  <c r="Z60" i="2" s="1"/>
  <c r="W87" i="1"/>
  <c r="H60" i="2"/>
  <c r="W86" i="1"/>
  <c r="S59" i="2"/>
  <c r="P86" i="1"/>
  <c r="H59" i="2"/>
  <c r="AH58" i="2"/>
  <c r="AA58" i="2"/>
  <c r="P83" i="1"/>
  <c r="H58" i="2"/>
  <c r="AH57" i="2"/>
  <c r="AF57" i="2"/>
  <c r="AG57" i="2" s="1"/>
  <c r="AB56" i="2"/>
  <c r="AA57" i="2"/>
  <c r="S57" i="2"/>
  <c r="P82" i="1"/>
  <c r="H57" i="2"/>
  <c r="AH55" i="2"/>
  <c r="AF55" i="2"/>
  <c r="AG55" i="2" s="1"/>
  <c r="AD79" i="1"/>
  <c r="AA55" i="2"/>
  <c r="Y55" i="2"/>
  <c r="Z55" i="2" s="1"/>
  <c r="W79" i="1"/>
  <c r="T55" i="2"/>
  <c r="S55" i="2"/>
  <c r="P79" i="1"/>
  <c r="J79" i="1"/>
  <c r="AH54" i="2"/>
  <c r="AF54" i="2"/>
  <c r="AG54" i="2" s="1"/>
  <c r="AH53" i="2"/>
  <c r="AF53" i="2"/>
  <c r="AG53" i="2" s="1"/>
  <c r="P75" i="1"/>
  <c r="P74" i="1" s="1"/>
  <c r="J75" i="1"/>
  <c r="J74" i="1" s="1"/>
  <c r="AH52" i="2"/>
  <c r="AF52" i="2"/>
  <c r="AG52" i="2" s="1"/>
  <c r="P73" i="1"/>
  <c r="P72" i="1" s="1"/>
  <c r="L73" i="1"/>
  <c r="J73" i="1"/>
  <c r="J72" i="1" s="1"/>
  <c r="AH51" i="2"/>
  <c r="AF51" i="2"/>
  <c r="AG51" i="2" s="1"/>
  <c r="AA51" i="2"/>
  <c r="Y51" i="2"/>
  <c r="Z51" i="2" s="1"/>
  <c r="T51" i="2"/>
  <c r="S51" i="2"/>
  <c r="J71" i="1"/>
  <c r="AH50" i="2"/>
  <c r="AF50" i="2"/>
  <c r="AG50" i="2" s="1"/>
  <c r="AA50" i="2"/>
  <c r="Y50" i="2"/>
  <c r="Z50" i="2" s="1"/>
  <c r="P70" i="1"/>
  <c r="H50" i="2"/>
  <c r="J70" i="1" s="1"/>
  <c r="J68" i="1" s="1"/>
  <c r="AH49" i="2"/>
  <c r="AF49" i="2"/>
  <c r="AG49" i="2" s="1"/>
  <c r="T49" i="2"/>
  <c r="P69" i="1"/>
  <c r="AH48" i="2"/>
  <c r="AF48" i="2"/>
  <c r="AG48" i="2" s="1"/>
  <c r="L41" i="5"/>
  <c r="P66" i="1"/>
  <c r="P65" i="1" s="1"/>
  <c r="H48" i="2"/>
  <c r="Z45" i="2"/>
  <c r="AF43" i="2"/>
  <c r="AG43" i="2" s="1"/>
  <c r="AH43" i="2"/>
  <c r="AA43" i="2"/>
  <c r="Z43" i="2"/>
  <c r="P59" i="1"/>
  <c r="AF42" i="2"/>
  <c r="AG42" i="2" s="1"/>
  <c r="AH42" i="2"/>
  <c r="AA42" i="2"/>
  <c r="Y42" i="2"/>
  <c r="Z42" i="2" s="1"/>
  <c r="W57" i="1"/>
  <c r="W56" i="1" s="1"/>
  <c r="S42" i="2"/>
  <c r="P57" i="1"/>
  <c r="P56" i="1" s="1"/>
  <c r="AF41" i="2"/>
  <c r="AG41" i="2" s="1"/>
  <c r="AH41" i="2"/>
  <c r="AA41" i="2"/>
  <c r="Y41" i="2"/>
  <c r="Z41" i="2" s="1"/>
  <c r="S41" i="2"/>
  <c r="H41" i="2"/>
  <c r="J55" i="1" s="1"/>
  <c r="AA40" i="2"/>
  <c r="Y40" i="2"/>
  <c r="Z40" i="2" s="1"/>
  <c r="H40" i="2"/>
  <c r="J54" i="1" s="1"/>
  <c r="H39" i="2"/>
  <c r="P50" i="1"/>
  <c r="H38" i="2"/>
  <c r="AF36" i="2"/>
  <c r="AG36" i="2" s="1"/>
  <c r="AH36" i="2"/>
  <c r="AA36" i="2"/>
  <c r="Y36" i="2"/>
  <c r="Z36" i="2" s="1"/>
  <c r="P47" i="1"/>
  <c r="H36" i="2"/>
  <c r="J47" i="1" s="1"/>
  <c r="AA35" i="2"/>
  <c r="Y35" i="2"/>
  <c r="Z35" i="2" s="1"/>
  <c r="W46" i="1"/>
  <c r="P46" i="1"/>
  <c r="H35" i="2"/>
  <c r="J46" i="1" s="1"/>
  <c r="P45" i="1"/>
  <c r="H34" i="2"/>
  <c r="S44" i="1"/>
  <c r="H33" i="2"/>
  <c r="J44" i="1" s="1"/>
  <c r="W43" i="1"/>
  <c r="P43" i="1"/>
  <c r="H32" i="2"/>
  <c r="P42" i="1"/>
  <c r="H31" i="2"/>
  <c r="S29" i="2"/>
  <c r="P38" i="1"/>
  <c r="L38" i="1"/>
  <c r="O38" i="1" s="1"/>
  <c r="H29" i="2"/>
  <c r="J38" i="1" s="1"/>
  <c r="AF28" i="2"/>
  <c r="AG28" i="2" s="1"/>
  <c r="AD37" i="1"/>
  <c r="Y28" i="2"/>
  <c r="Z28" i="2" s="1"/>
  <c r="S37" i="1"/>
  <c r="V37" i="1" s="1"/>
  <c r="P37" i="1"/>
  <c r="H28" i="2"/>
  <c r="AH27" i="2"/>
  <c r="AF27" i="2"/>
  <c r="AG27" i="2" s="1"/>
  <c r="Y27" i="2"/>
  <c r="Z27" i="2" s="1"/>
  <c r="S34" i="1"/>
  <c r="S33" i="1" s="1"/>
  <c r="H27" i="2"/>
  <c r="J34" i="1" s="1"/>
  <c r="J33" i="1" s="1"/>
  <c r="U26" i="2"/>
  <c r="G26" i="2"/>
  <c r="T25" i="2"/>
  <c r="P31" i="1"/>
  <c r="H25" i="2"/>
  <c r="J31" i="1" s="1"/>
  <c r="H24" i="2"/>
  <c r="J30" i="1" s="1"/>
  <c r="AH23" i="2"/>
  <c r="AF23" i="2"/>
  <c r="AG23" i="2" s="1"/>
  <c r="AA23" i="2"/>
  <c r="Y23" i="2"/>
  <c r="Z23" i="2" s="1"/>
  <c r="T23" i="2"/>
  <c r="P29" i="1"/>
  <c r="H23" i="2"/>
  <c r="J29" i="1" s="1"/>
  <c r="AH22" i="2"/>
  <c r="AF22" i="2"/>
  <c r="AG22" i="2" s="1"/>
  <c r="W27" i="1"/>
  <c r="S27" i="1"/>
  <c r="V27" i="1" s="1"/>
  <c r="P27" i="1"/>
  <c r="H22" i="2"/>
  <c r="J27" i="1" s="1"/>
  <c r="AA21" i="2"/>
  <c r="S26" i="1"/>
  <c r="V26" i="1" s="1"/>
  <c r="J26" i="1"/>
  <c r="S25" i="1"/>
  <c r="V25" i="1" s="1"/>
  <c r="P25" i="1"/>
  <c r="H20" i="2"/>
  <c r="J25" i="1" s="1"/>
  <c r="AH19" i="2"/>
  <c r="AF19" i="2"/>
  <c r="AG19" i="2" s="1"/>
  <c r="AA19" i="2"/>
  <c r="Y19" i="2"/>
  <c r="Z19" i="2" s="1"/>
  <c r="T19" i="2"/>
  <c r="P22" i="1"/>
  <c r="M19" i="2"/>
  <c r="H19" i="2"/>
  <c r="AH18" i="2"/>
  <c r="AF18" i="2"/>
  <c r="AG18" i="2" s="1"/>
  <c r="Y18" i="2"/>
  <c r="Z18" i="2" s="1"/>
  <c r="T18" i="2"/>
  <c r="P21" i="1"/>
  <c r="H18" i="2"/>
  <c r="J21" i="1" s="1"/>
  <c r="AH17" i="2"/>
  <c r="AF17" i="2"/>
  <c r="AG17" i="2" s="1"/>
  <c r="AA17" i="2"/>
  <c r="Y17" i="2"/>
  <c r="Z17" i="2" s="1"/>
  <c r="S20" i="1"/>
  <c r="V20" i="1" s="1"/>
  <c r="P20" i="1"/>
  <c r="M17" i="2"/>
  <c r="H17" i="2"/>
  <c r="J20" i="1" s="1"/>
  <c r="AH16" i="2"/>
  <c r="AF16" i="2"/>
  <c r="AG16" i="2" s="1"/>
  <c r="AA16" i="2"/>
  <c r="Y16" i="2"/>
  <c r="Z16" i="2" s="1"/>
  <c r="S16" i="2"/>
  <c r="P19" i="1"/>
  <c r="H16" i="2"/>
  <c r="AH15" i="2"/>
  <c r="AF15" i="2"/>
  <c r="AG15" i="2" s="1"/>
  <c r="AB14" i="2"/>
  <c r="AH8" i="2"/>
  <c r="AG214" i="1"/>
  <c r="AD214" i="1"/>
  <c r="AD213" i="1" s="1"/>
  <c r="U26" i="6" s="1"/>
  <c r="Z214" i="1"/>
  <c r="AC214" i="1" s="1"/>
  <c r="W214" i="1"/>
  <c r="W213" i="1" s="1"/>
  <c r="P26" i="6" s="1"/>
  <c r="S214" i="1"/>
  <c r="V214" i="1" s="1"/>
  <c r="D26" i="6"/>
  <c r="C55" i="6" s="1"/>
  <c r="H214" i="1"/>
  <c r="H213" i="1" s="1"/>
  <c r="C26" i="6" s="1"/>
  <c r="B55" i="6" s="1"/>
  <c r="I55" i="6" s="1"/>
  <c r="F214" i="1"/>
  <c r="E214" i="1"/>
  <c r="AG211" i="1"/>
  <c r="AD212" i="1"/>
  <c r="AD211" i="1" s="1"/>
  <c r="U25" i="6" s="1"/>
  <c r="Z212" i="1"/>
  <c r="AC212" i="1" s="1"/>
  <c r="W212" i="1"/>
  <c r="W211" i="1" s="1"/>
  <c r="P25" i="6" s="1"/>
  <c r="S212" i="1"/>
  <c r="V212" i="1" s="1"/>
  <c r="D25" i="6"/>
  <c r="C54" i="6" s="1"/>
  <c r="H212" i="1"/>
  <c r="H211" i="1" s="1"/>
  <c r="C25" i="6" s="1"/>
  <c r="B54" i="6" s="1"/>
  <c r="I54" i="6" s="1"/>
  <c r="F212" i="1"/>
  <c r="E212" i="1"/>
  <c r="AG209" i="1"/>
  <c r="AJ209" i="1" s="1"/>
  <c r="AD209" i="1"/>
  <c r="Z209" i="1"/>
  <c r="AC209" i="1" s="1"/>
  <c r="W209" i="1"/>
  <c r="S209" i="1"/>
  <c r="V209" i="1" s="1"/>
  <c r="H209" i="1"/>
  <c r="F209" i="1"/>
  <c r="E209" i="1"/>
  <c r="AG208" i="1"/>
  <c r="W208" i="1"/>
  <c r="S208" i="1"/>
  <c r="V208" i="1" s="1"/>
  <c r="H208" i="1"/>
  <c r="F208" i="1"/>
  <c r="E208" i="1"/>
  <c r="D24" i="6"/>
  <c r="C53" i="6" s="1"/>
  <c r="AG206" i="1"/>
  <c r="AD206" i="1"/>
  <c r="Z206" i="1"/>
  <c r="W206" i="1"/>
  <c r="S206" i="1"/>
  <c r="V206" i="1" s="1"/>
  <c r="P206" i="1"/>
  <c r="H206" i="1"/>
  <c r="F206" i="1"/>
  <c r="E206" i="1"/>
  <c r="AG204" i="1"/>
  <c r="AD204" i="1"/>
  <c r="Z204" i="1"/>
  <c r="S204" i="1"/>
  <c r="V204" i="1" s="1"/>
  <c r="H204" i="1"/>
  <c r="F204" i="1"/>
  <c r="E204" i="1"/>
  <c r="AG203" i="1"/>
  <c r="Z203" i="1"/>
  <c r="W203" i="1"/>
  <c r="H203" i="1"/>
  <c r="F203" i="1"/>
  <c r="E203" i="1"/>
  <c r="AG199" i="1"/>
  <c r="AD199" i="1"/>
  <c r="Z199" i="1"/>
  <c r="W199" i="1"/>
  <c r="S199" i="1"/>
  <c r="V199" i="1" s="1"/>
  <c r="H199" i="1"/>
  <c r="F199" i="1"/>
  <c r="E199" i="1"/>
  <c r="AG198" i="1"/>
  <c r="AD198" i="1"/>
  <c r="Z198" i="1"/>
  <c r="W198" i="1"/>
  <c r="S198" i="1"/>
  <c r="V198" i="1" s="1"/>
  <c r="H198" i="1"/>
  <c r="F198" i="1"/>
  <c r="E198" i="1"/>
  <c r="AG197" i="1"/>
  <c r="Z197" i="1"/>
  <c r="W197" i="1"/>
  <c r="S197" i="1"/>
  <c r="V197" i="1" s="1"/>
  <c r="H197" i="1"/>
  <c r="F197" i="1"/>
  <c r="E197" i="1"/>
  <c r="Z196" i="1"/>
  <c r="W196" i="1"/>
  <c r="H196" i="1"/>
  <c r="F196" i="1"/>
  <c r="E196" i="1"/>
  <c r="AG194" i="1"/>
  <c r="AJ194" i="1" s="1"/>
  <c r="AD194" i="1"/>
  <c r="Z194" i="1"/>
  <c r="W194" i="1"/>
  <c r="S194" i="1"/>
  <c r="V194" i="1" s="1"/>
  <c r="P194" i="1"/>
  <c r="H194" i="1"/>
  <c r="F194" i="1"/>
  <c r="E194" i="1"/>
  <c r="AG192" i="1"/>
  <c r="AJ192" i="1" s="1"/>
  <c r="Z192" i="1"/>
  <c r="W192" i="1"/>
  <c r="S192" i="1"/>
  <c r="V192" i="1" s="1"/>
  <c r="H192" i="1"/>
  <c r="F192" i="1"/>
  <c r="E192" i="1"/>
  <c r="AG191" i="1"/>
  <c r="Z191" i="1"/>
  <c r="W191" i="1"/>
  <c r="H191" i="1"/>
  <c r="F191" i="1"/>
  <c r="E191" i="1"/>
  <c r="AG189" i="1"/>
  <c r="Z189" i="1"/>
  <c r="AC189" i="1" s="1"/>
  <c r="W189" i="1"/>
  <c r="S189" i="1"/>
  <c r="V189" i="1" s="1"/>
  <c r="H189" i="1"/>
  <c r="F189" i="1"/>
  <c r="E189" i="1"/>
  <c r="AD188" i="1"/>
  <c r="W188" i="1"/>
  <c r="S188" i="1"/>
  <c r="V188" i="1" s="1"/>
  <c r="H188" i="1"/>
  <c r="F188" i="1"/>
  <c r="E188" i="1"/>
  <c r="AG187" i="1"/>
  <c r="AD187" i="1"/>
  <c r="Z187" i="1"/>
  <c r="W187" i="1"/>
  <c r="S187" i="1"/>
  <c r="V187" i="1" s="1"/>
  <c r="P187" i="1"/>
  <c r="H187" i="1"/>
  <c r="F187" i="1"/>
  <c r="E187" i="1"/>
  <c r="AG184" i="1"/>
  <c r="AD184" i="1"/>
  <c r="Z184" i="1"/>
  <c r="W184" i="1"/>
  <c r="S184" i="1"/>
  <c r="V184" i="1" s="1"/>
  <c r="P184" i="1"/>
  <c r="H184" i="1"/>
  <c r="F184" i="1"/>
  <c r="E184" i="1"/>
  <c r="AG183" i="1"/>
  <c r="AD183" i="1"/>
  <c r="S183" i="1"/>
  <c r="V183" i="1" s="1"/>
  <c r="P183" i="1"/>
  <c r="H183" i="1"/>
  <c r="F183" i="1"/>
  <c r="E183" i="1"/>
  <c r="AD182" i="1"/>
  <c r="W182" i="1"/>
  <c r="H182" i="1"/>
  <c r="F182" i="1"/>
  <c r="E182" i="1"/>
  <c r="AG181" i="1"/>
  <c r="AD181" i="1"/>
  <c r="Z181" i="1"/>
  <c r="W181" i="1"/>
  <c r="S181" i="1"/>
  <c r="V181" i="1" s="1"/>
  <c r="P181" i="1"/>
  <c r="H181" i="1"/>
  <c r="F181" i="1"/>
  <c r="E181" i="1"/>
  <c r="AD179" i="1"/>
  <c r="F179" i="1"/>
  <c r="E179" i="1"/>
  <c r="AG178" i="1"/>
  <c r="AJ178" i="1" s="1"/>
  <c r="W178" i="1"/>
  <c r="S178" i="1"/>
  <c r="V178" i="1" s="1"/>
  <c r="H178" i="1"/>
  <c r="F178" i="1"/>
  <c r="E178" i="1"/>
  <c r="AD177" i="1"/>
  <c r="W177" i="1"/>
  <c r="H177" i="1"/>
  <c r="F177" i="1"/>
  <c r="E177" i="1"/>
  <c r="AG176" i="1"/>
  <c r="AJ176" i="1" s="1"/>
  <c r="Z176" i="1"/>
  <c r="S176" i="1"/>
  <c r="V176" i="1" s="1"/>
  <c r="H176" i="1"/>
  <c r="F176" i="1"/>
  <c r="E176" i="1"/>
  <c r="AG175" i="1"/>
  <c r="AJ175" i="1" s="1"/>
  <c r="W175" i="1"/>
  <c r="S175" i="1"/>
  <c r="V175" i="1" s="1"/>
  <c r="H175" i="1"/>
  <c r="F175" i="1"/>
  <c r="E175" i="1"/>
  <c r="AG171" i="1"/>
  <c r="AD171" i="1"/>
  <c r="Z171" i="1"/>
  <c r="W171" i="1"/>
  <c r="S171" i="1"/>
  <c r="V171" i="1" s="1"/>
  <c r="H171" i="1"/>
  <c r="F171" i="1"/>
  <c r="E171" i="1"/>
  <c r="AG170" i="1"/>
  <c r="AD170" i="1"/>
  <c r="Z170" i="1"/>
  <c r="W170" i="1"/>
  <c r="H170" i="1"/>
  <c r="F170" i="1"/>
  <c r="E170" i="1"/>
  <c r="AG169" i="1"/>
  <c r="AD169" i="1"/>
  <c r="W169" i="1"/>
  <c r="S169" i="1"/>
  <c r="V169" i="1" s="1"/>
  <c r="H169" i="1"/>
  <c r="F169" i="1"/>
  <c r="E169" i="1"/>
  <c r="AG167" i="1"/>
  <c r="Z167" i="1"/>
  <c r="W167" i="1"/>
  <c r="W166" i="1" s="1"/>
  <c r="S167" i="1"/>
  <c r="V167" i="1" s="1"/>
  <c r="P167" i="1"/>
  <c r="P166" i="1" s="1"/>
  <c r="H167" i="1"/>
  <c r="H166" i="1" s="1"/>
  <c r="AG165" i="1"/>
  <c r="AJ165" i="1" s="1"/>
  <c r="AD165" i="1"/>
  <c r="W165" i="1"/>
  <c r="S165" i="1"/>
  <c r="V165" i="1" s="1"/>
  <c r="H165" i="1"/>
  <c r="F165" i="1"/>
  <c r="E165" i="1"/>
  <c r="AG164" i="1"/>
  <c r="AJ164" i="1" s="1"/>
  <c r="W164" i="1"/>
  <c r="H164" i="1"/>
  <c r="F164" i="1"/>
  <c r="E164" i="1"/>
  <c r="AG162" i="1"/>
  <c r="AD162" i="1"/>
  <c r="W162" i="1"/>
  <c r="P162" i="1"/>
  <c r="H162" i="1"/>
  <c r="F162" i="1"/>
  <c r="E162" i="1"/>
  <c r="AG161" i="1"/>
  <c r="AD161" i="1"/>
  <c r="Z161" i="1"/>
  <c r="W161" i="1"/>
  <c r="S161" i="1"/>
  <c r="V161" i="1" s="1"/>
  <c r="P161" i="1"/>
  <c r="H161" i="1"/>
  <c r="F161" i="1"/>
  <c r="E161" i="1"/>
  <c r="AG160" i="1"/>
  <c r="AD160" i="1"/>
  <c r="Z160" i="1"/>
  <c r="W160" i="1"/>
  <c r="S160" i="1"/>
  <c r="V160" i="1" s="1"/>
  <c r="H160" i="1"/>
  <c r="F160" i="1"/>
  <c r="E160" i="1"/>
  <c r="AG159" i="1"/>
  <c r="AD159" i="1"/>
  <c r="Z159" i="1"/>
  <c r="S159" i="1"/>
  <c r="V159" i="1" s="1"/>
  <c r="F159" i="1"/>
  <c r="E159" i="1"/>
  <c r="AD158" i="1"/>
  <c r="W158" i="1"/>
  <c r="H158" i="1"/>
  <c r="F158" i="1"/>
  <c r="E158" i="1"/>
  <c r="AG156" i="1"/>
  <c r="AD156" i="1"/>
  <c r="Z156" i="1"/>
  <c r="S156" i="1"/>
  <c r="V156" i="1" s="1"/>
  <c r="F156" i="1"/>
  <c r="E156" i="1"/>
  <c r="AG155" i="1"/>
  <c r="Z155" i="1"/>
  <c r="W155" i="1"/>
  <c r="S155" i="1"/>
  <c r="V155" i="1" s="1"/>
  <c r="H155" i="1"/>
  <c r="F155" i="1"/>
  <c r="E155" i="1"/>
  <c r="AG152" i="1"/>
  <c r="Z152" i="1"/>
  <c r="AC152" i="1" s="1"/>
  <c r="W152" i="1"/>
  <c r="S152" i="1"/>
  <c r="V152" i="1" s="1"/>
  <c r="H152" i="1"/>
  <c r="F152" i="1"/>
  <c r="E152" i="1"/>
  <c r="AD151" i="1"/>
  <c r="Z151" i="1"/>
  <c r="AC151" i="1" s="1"/>
  <c r="W151" i="1"/>
  <c r="S151" i="1"/>
  <c r="V151" i="1" s="1"/>
  <c r="L151" i="1"/>
  <c r="H151" i="1"/>
  <c r="F151" i="1"/>
  <c r="E151" i="1"/>
  <c r="AG150" i="1"/>
  <c r="AD150" i="1"/>
  <c r="Z150" i="1"/>
  <c r="W150" i="1"/>
  <c r="S150" i="1"/>
  <c r="V150" i="1" s="1"/>
  <c r="H150" i="1"/>
  <c r="F150" i="1"/>
  <c r="E150" i="1"/>
  <c r="AG149" i="1"/>
  <c r="AD149" i="1"/>
  <c r="Z149" i="1"/>
  <c r="W149" i="1"/>
  <c r="S149" i="1"/>
  <c r="V149" i="1" s="1"/>
  <c r="H149" i="1"/>
  <c r="F149" i="1"/>
  <c r="E149" i="1"/>
  <c r="AG147" i="1"/>
  <c r="AJ147" i="1" s="1"/>
  <c r="AD147" i="1"/>
  <c r="Z147" i="1"/>
  <c r="W147" i="1"/>
  <c r="S147" i="1"/>
  <c r="V147" i="1" s="1"/>
  <c r="H147" i="1"/>
  <c r="F147" i="1"/>
  <c r="E147" i="1"/>
  <c r="AD146" i="1"/>
  <c r="S146" i="1"/>
  <c r="V146" i="1" s="1"/>
  <c r="P146" i="1"/>
  <c r="H146" i="1"/>
  <c r="F146" i="1"/>
  <c r="E146" i="1"/>
  <c r="AG145" i="1"/>
  <c r="AJ145" i="1" s="1"/>
  <c r="AD145" i="1"/>
  <c r="S145" i="1"/>
  <c r="V145" i="1" s="1"/>
  <c r="H145" i="1"/>
  <c r="F145" i="1"/>
  <c r="AG144" i="1"/>
  <c r="AJ144" i="1" s="1"/>
  <c r="AD144" i="1"/>
  <c r="W144" i="1"/>
  <c r="P144" i="1"/>
  <c r="H144" i="1"/>
  <c r="F144" i="1"/>
  <c r="E144" i="1"/>
  <c r="AG141" i="1"/>
  <c r="AD141" i="1"/>
  <c r="Z141" i="1"/>
  <c r="W141" i="1"/>
  <c r="H141" i="1"/>
  <c r="F141" i="1"/>
  <c r="E141" i="1"/>
  <c r="AG140" i="1"/>
  <c r="AD140" i="1"/>
  <c r="Z140" i="1"/>
  <c r="W140" i="1"/>
  <c r="P140" i="1"/>
  <c r="H140" i="1"/>
  <c r="F140" i="1"/>
  <c r="E140" i="1"/>
  <c r="AG138" i="1"/>
  <c r="AD138" i="1"/>
  <c r="Z138" i="1"/>
  <c r="S138" i="1"/>
  <c r="H138" i="1"/>
  <c r="F138" i="1"/>
  <c r="E138" i="1"/>
  <c r="AG137" i="1"/>
  <c r="Z137" i="1"/>
  <c r="AC137" i="1" s="1"/>
  <c r="S137" i="1"/>
  <c r="V137" i="1" s="1"/>
  <c r="L137" i="1"/>
  <c r="O137" i="1" s="1"/>
  <c r="H137" i="1"/>
  <c r="F137" i="1"/>
  <c r="E137" i="1"/>
  <c r="AD136" i="1"/>
  <c r="Z136" i="1"/>
  <c r="W136" i="1"/>
  <c r="S136" i="1"/>
  <c r="V136" i="1" s="1"/>
  <c r="H136" i="1"/>
  <c r="F136" i="1"/>
  <c r="E136" i="1"/>
  <c r="AG135" i="1"/>
  <c r="AJ135" i="1" s="1"/>
  <c r="Z135" i="1"/>
  <c r="AC135" i="1" s="1"/>
  <c r="S135" i="1"/>
  <c r="V135" i="1" s="1"/>
  <c r="L135" i="1"/>
  <c r="O135" i="1" s="1"/>
  <c r="H135" i="1"/>
  <c r="F135" i="1"/>
  <c r="E135" i="1"/>
  <c r="AG134" i="1"/>
  <c r="AD134" i="1"/>
  <c r="Z134" i="1"/>
  <c r="AC134" i="1" s="1"/>
  <c r="W134" i="1"/>
  <c r="H134" i="1"/>
  <c r="F134" i="1"/>
  <c r="E134" i="1"/>
  <c r="AG131" i="1"/>
  <c r="AD131" i="1"/>
  <c r="Z131" i="1"/>
  <c r="W131" i="1"/>
  <c r="H131" i="1"/>
  <c r="F131" i="1"/>
  <c r="E131" i="1"/>
  <c r="AD130" i="1"/>
  <c r="Z130" i="1"/>
  <c r="W130" i="1"/>
  <c r="S130" i="1"/>
  <c r="V130" i="1" s="1"/>
  <c r="H130" i="1"/>
  <c r="F130" i="1"/>
  <c r="E130" i="1"/>
  <c r="AG128" i="1"/>
  <c r="AD128" i="1"/>
  <c r="Z128" i="1"/>
  <c r="S128" i="1"/>
  <c r="V128" i="1" s="1"/>
  <c r="H128" i="1"/>
  <c r="F128" i="1"/>
  <c r="E128" i="1"/>
  <c r="AG125" i="1"/>
  <c r="AJ125" i="1" s="1"/>
  <c r="Z125" i="1"/>
  <c r="AC125" i="1" s="1"/>
  <c r="W125" i="1"/>
  <c r="W124" i="1" s="1"/>
  <c r="S125" i="1"/>
  <c r="V125" i="1" s="1"/>
  <c r="H125" i="1"/>
  <c r="H124" i="1" s="1"/>
  <c r="F125" i="1"/>
  <c r="E125" i="1"/>
  <c r="AG123" i="1"/>
  <c r="W123" i="1"/>
  <c r="S123" i="1"/>
  <c r="V123" i="1" s="1"/>
  <c r="H123" i="1"/>
  <c r="F123" i="1"/>
  <c r="E123" i="1"/>
  <c r="AG122" i="1"/>
  <c r="AD122" i="1"/>
  <c r="Z122" i="1"/>
  <c r="W122" i="1"/>
  <c r="S122" i="1"/>
  <c r="H122" i="1"/>
  <c r="F122" i="1"/>
  <c r="E122" i="1"/>
  <c r="AD116" i="1"/>
  <c r="W116" i="1"/>
  <c r="S116" i="1"/>
  <c r="V116" i="1" s="1"/>
  <c r="H116" i="1"/>
  <c r="F116" i="1"/>
  <c r="E116" i="1"/>
  <c r="AG115" i="1"/>
  <c r="Z115" i="1"/>
  <c r="AC115" i="1" s="1"/>
  <c r="W115" i="1"/>
  <c r="S115" i="1"/>
  <c r="V115" i="1" s="1"/>
  <c r="H115" i="1"/>
  <c r="F115" i="1"/>
  <c r="E115" i="1"/>
  <c r="AG114" i="1"/>
  <c r="Z114" i="1"/>
  <c r="W114" i="1"/>
  <c r="S114" i="1"/>
  <c r="H114" i="1"/>
  <c r="F114" i="1"/>
  <c r="E114" i="1"/>
  <c r="AG112" i="1"/>
  <c r="AD112" i="1"/>
  <c r="Z112" i="1"/>
  <c r="W112" i="1"/>
  <c r="S112" i="1"/>
  <c r="H112" i="1"/>
  <c r="F112" i="1"/>
  <c r="E112" i="1"/>
  <c r="AG111" i="1"/>
  <c r="AD111" i="1"/>
  <c r="Z111" i="1"/>
  <c r="AC111" i="1" s="1"/>
  <c r="W111" i="1"/>
  <c r="S111" i="1"/>
  <c r="V111" i="1" s="1"/>
  <c r="H111" i="1"/>
  <c r="F111" i="1"/>
  <c r="E111" i="1"/>
  <c r="AG109" i="1"/>
  <c r="AJ109" i="1" s="1"/>
  <c r="AD109" i="1"/>
  <c r="Z109" i="1"/>
  <c r="W109" i="1"/>
  <c r="S109" i="1"/>
  <c r="V109" i="1" s="1"/>
  <c r="H109" i="1"/>
  <c r="F109" i="1"/>
  <c r="E109" i="1"/>
  <c r="Z108" i="1"/>
  <c r="W108" i="1"/>
  <c r="S108" i="1"/>
  <c r="H108" i="1"/>
  <c r="F108" i="1"/>
  <c r="E108" i="1"/>
  <c r="AJ104" i="1"/>
  <c r="F104" i="1"/>
  <c r="AD103" i="1"/>
  <c r="AD102" i="1" s="1"/>
  <c r="P103" i="1"/>
  <c r="P102" i="1" s="1"/>
  <c r="F103" i="1"/>
  <c r="AD101" i="1"/>
  <c r="AD100" i="1" s="1"/>
  <c r="AC101" i="1"/>
  <c r="W101" i="1"/>
  <c r="W100" i="1" s="1"/>
  <c r="P101" i="1"/>
  <c r="P100" i="1" s="1"/>
  <c r="H100" i="1"/>
  <c r="F101" i="1"/>
  <c r="AD96" i="1"/>
  <c r="W96" i="1"/>
  <c r="P96" i="1"/>
  <c r="H96" i="1"/>
  <c r="F96" i="1"/>
  <c r="AD95" i="1"/>
  <c r="W95" i="1"/>
  <c r="P95" i="1"/>
  <c r="H95" i="1"/>
  <c r="F95" i="1"/>
  <c r="AD93" i="1"/>
  <c r="AC93" i="1"/>
  <c r="H93" i="1"/>
  <c r="H92" i="1" s="1"/>
  <c r="F93" i="1"/>
  <c r="AD90" i="1"/>
  <c r="AD89" i="1" s="1"/>
  <c r="W90" i="1"/>
  <c r="W89" i="1" s="1"/>
  <c r="H90" i="1"/>
  <c r="H89" i="1" s="1"/>
  <c r="F90" i="1"/>
  <c r="AD88" i="1"/>
  <c r="AC88" i="1"/>
  <c r="H88" i="1"/>
  <c r="F88" i="1"/>
  <c r="AD87" i="1"/>
  <c r="AC87" i="1"/>
  <c r="P87" i="1"/>
  <c r="H87" i="1"/>
  <c r="F87" i="1"/>
  <c r="AD86" i="1"/>
  <c r="AC86" i="1"/>
  <c r="H86" i="1"/>
  <c r="F86" i="1"/>
  <c r="AD83" i="1"/>
  <c r="AC83" i="1"/>
  <c r="W83" i="1"/>
  <c r="H83" i="1"/>
  <c r="AC82" i="1"/>
  <c r="H82" i="1"/>
  <c r="F82" i="1"/>
  <c r="AG79" i="1"/>
  <c r="Z79" i="1"/>
  <c r="AC79" i="1" s="1"/>
  <c r="S79" i="1"/>
  <c r="V79" i="1" s="1"/>
  <c r="H79" i="1"/>
  <c r="F79" i="1"/>
  <c r="E79" i="1"/>
  <c r="AG78" i="1"/>
  <c r="AD78" i="1"/>
  <c r="Z78" i="1"/>
  <c r="W78" i="1"/>
  <c r="S78" i="1"/>
  <c r="F78" i="1"/>
  <c r="E78" i="1"/>
  <c r="AG75" i="1"/>
  <c r="AD75" i="1"/>
  <c r="AD74" i="1" s="1"/>
  <c r="W75" i="1"/>
  <c r="W74" i="1" s="1"/>
  <c r="S75" i="1"/>
  <c r="V75" i="1" s="1"/>
  <c r="H75" i="1"/>
  <c r="H74" i="1" s="1"/>
  <c r="F75" i="1"/>
  <c r="E75" i="1"/>
  <c r="AG73" i="1"/>
  <c r="AJ73" i="1" s="1"/>
  <c r="AD73" i="1"/>
  <c r="AD72" i="1" s="1"/>
  <c r="W73" i="1"/>
  <c r="W72" i="1" s="1"/>
  <c r="H73" i="1"/>
  <c r="H72" i="1" s="1"/>
  <c r="F73" i="1"/>
  <c r="E73" i="1"/>
  <c r="AG71" i="1"/>
  <c r="AD71" i="1"/>
  <c r="Z71" i="1"/>
  <c r="AC71" i="1" s="1"/>
  <c r="W71" i="1"/>
  <c r="S71" i="1"/>
  <c r="V71" i="1" s="1"/>
  <c r="P71" i="1"/>
  <c r="H71" i="1"/>
  <c r="F71" i="1"/>
  <c r="E71" i="1"/>
  <c r="AG70" i="1"/>
  <c r="AD70" i="1"/>
  <c r="Z70" i="1"/>
  <c r="W70" i="1"/>
  <c r="H70" i="1"/>
  <c r="F70" i="1"/>
  <c r="E70" i="1"/>
  <c r="AG69" i="1"/>
  <c r="AD69" i="1"/>
  <c r="Z69" i="1"/>
  <c r="AC69" i="1" s="1"/>
  <c r="W69" i="1"/>
  <c r="H69" i="1"/>
  <c r="F69" i="1"/>
  <c r="E69" i="1"/>
  <c r="F67" i="1"/>
  <c r="AG66" i="1"/>
  <c r="AJ66" i="1" s="1"/>
  <c r="AD66" i="1"/>
  <c r="AD65" i="1" s="1"/>
  <c r="W66" i="1"/>
  <c r="W65" i="1" s="1"/>
  <c r="H66" i="1"/>
  <c r="H65" i="1" s="1"/>
  <c r="F66" i="1"/>
  <c r="E66" i="1"/>
  <c r="AG59" i="1"/>
  <c r="AJ59" i="1" s="1"/>
  <c r="AD59" i="1"/>
  <c r="Z59" i="1"/>
  <c r="W59" i="1"/>
  <c r="F59" i="1"/>
  <c r="E59" i="1"/>
  <c r="AG57" i="1"/>
  <c r="AJ57" i="1" s="1"/>
  <c r="AD57" i="1"/>
  <c r="AD56" i="1" s="1"/>
  <c r="Z57" i="1"/>
  <c r="AC57" i="1" s="1"/>
  <c r="H57" i="1"/>
  <c r="H56" i="1" s="1"/>
  <c r="F57" i="1"/>
  <c r="E57" i="1"/>
  <c r="AG55" i="1"/>
  <c r="AJ55" i="1" s="1"/>
  <c r="AD55" i="1"/>
  <c r="Z55" i="1"/>
  <c r="W55" i="1"/>
  <c r="P55" i="1"/>
  <c r="H55" i="1"/>
  <c r="F55" i="1"/>
  <c r="E55" i="1"/>
  <c r="AD54" i="1"/>
  <c r="Z54" i="1"/>
  <c r="W54" i="1"/>
  <c r="P54" i="1"/>
  <c r="H54" i="1"/>
  <c r="F54" i="1"/>
  <c r="E54" i="1"/>
  <c r="AD51" i="1"/>
  <c r="W51" i="1"/>
  <c r="P51" i="1"/>
  <c r="H51" i="1"/>
  <c r="F51" i="1"/>
  <c r="E51" i="1"/>
  <c r="AD50" i="1"/>
  <c r="W50" i="1"/>
  <c r="H50" i="1"/>
  <c r="F50" i="1"/>
  <c r="E50" i="1"/>
  <c r="AG47" i="1"/>
  <c r="AJ47" i="1" s="1"/>
  <c r="AD47" i="1"/>
  <c r="Z47" i="1"/>
  <c r="AC47" i="1" s="1"/>
  <c r="W47" i="1"/>
  <c r="H47" i="1"/>
  <c r="F47" i="1"/>
  <c r="E47" i="1"/>
  <c r="AG46" i="1"/>
  <c r="AJ46" i="1" s="1"/>
  <c r="AD46" i="1"/>
  <c r="Z46" i="1"/>
  <c r="AC46" i="1" s="1"/>
  <c r="H46" i="1"/>
  <c r="F46" i="1"/>
  <c r="E46" i="1"/>
  <c r="AD45" i="1"/>
  <c r="W45" i="1"/>
  <c r="H45" i="1"/>
  <c r="F45" i="1"/>
  <c r="E45" i="1"/>
  <c r="AG44" i="1"/>
  <c r="AD44" i="1"/>
  <c r="Z44" i="1"/>
  <c r="W44" i="1"/>
  <c r="P44" i="1"/>
  <c r="L44" i="1"/>
  <c r="H44" i="1"/>
  <c r="F44" i="1"/>
  <c r="E44" i="1"/>
  <c r="AD43" i="1"/>
  <c r="H43" i="1"/>
  <c r="F43" i="1"/>
  <c r="E43" i="1"/>
  <c r="AD42" i="1"/>
  <c r="H42" i="1"/>
  <c r="F42" i="1"/>
  <c r="E42" i="1"/>
  <c r="AD38" i="1"/>
  <c r="Z38" i="1"/>
  <c r="W38" i="1"/>
  <c r="H38" i="1"/>
  <c r="F38" i="1"/>
  <c r="AG37" i="1"/>
  <c r="AJ37" i="1" s="1"/>
  <c r="W37" i="1"/>
  <c r="H37" i="1"/>
  <c r="F37" i="1"/>
  <c r="AG34" i="1"/>
  <c r="AG33" i="1" s="1"/>
  <c r="AD34" i="1"/>
  <c r="AD33" i="1" s="1"/>
  <c r="Z34" i="1"/>
  <c r="Z33" i="1" s="1"/>
  <c r="W34" i="1"/>
  <c r="W33" i="1" s="1"/>
  <c r="H34" i="1"/>
  <c r="H33" i="1" s="1"/>
  <c r="F34" i="1"/>
  <c r="AJ31" i="1"/>
  <c r="AD31" i="1"/>
  <c r="AC31" i="1"/>
  <c r="W31" i="1"/>
  <c r="H31" i="1"/>
  <c r="AG30" i="1"/>
  <c r="AJ30" i="1" s="1"/>
  <c r="AD30" i="1"/>
  <c r="W30" i="1"/>
  <c r="S30" i="1"/>
  <c r="V30" i="1" s="1"/>
  <c r="P30" i="1"/>
  <c r="H30" i="1"/>
  <c r="F30" i="1"/>
  <c r="E30" i="1"/>
  <c r="AG29" i="1"/>
  <c r="AJ29" i="1" s="1"/>
  <c r="AD29" i="1"/>
  <c r="Z29" i="1"/>
  <c r="AC29" i="1" s="1"/>
  <c r="W29" i="1"/>
  <c r="H29" i="1"/>
  <c r="F29" i="1"/>
  <c r="E29" i="1"/>
  <c r="AG27" i="1"/>
  <c r="AD27" i="1"/>
  <c r="H27" i="1"/>
  <c r="F27" i="1"/>
  <c r="E27" i="1"/>
  <c r="AG26" i="1"/>
  <c r="AD26" i="1"/>
  <c r="Z26" i="1"/>
  <c r="AC26" i="1" s="1"/>
  <c r="W26" i="1"/>
  <c r="P26" i="1"/>
  <c r="H26" i="1"/>
  <c r="F26" i="1"/>
  <c r="E26" i="1"/>
  <c r="AG25" i="1"/>
  <c r="AD25" i="1"/>
  <c r="Z25" i="1"/>
  <c r="W25" i="1"/>
  <c r="H25" i="1"/>
  <c r="F25" i="1"/>
  <c r="E25" i="1"/>
  <c r="AG22" i="1"/>
  <c r="AD22" i="1"/>
  <c r="Z22" i="1"/>
  <c r="W22" i="1"/>
  <c r="H22" i="1"/>
  <c r="F22" i="1"/>
  <c r="E22" i="1"/>
  <c r="AG21" i="1"/>
  <c r="AD21" i="1"/>
  <c r="Z21" i="1"/>
  <c r="W21" i="1"/>
  <c r="H21" i="1"/>
  <c r="F21" i="1"/>
  <c r="E21" i="1"/>
  <c r="AG20" i="1"/>
  <c r="AD20" i="1"/>
  <c r="Z20" i="1"/>
  <c r="W20" i="1"/>
  <c r="H20" i="1"/>
  <c r="F20" i="1"/>
  <c r="E20" i="1"/>
  <c r="AG19" i="1"/>
  <c r="AD19" i="1"/>
  <c r="Z19" i="1"/>
  <c r="W19" i="1"/>
  <c r="H19" i="1"/>
  <c r="F19" i="1"/>
  <c r="E19" i="1"/>
  <c r="AG18" i="1"/>
  <c r="Z18" i="1"/>
  <c r="W18" i="1"/>
  <c r="H18" i="1"/>
  <c r="F18" i="1"/>
  <c r="E18" i="1"/>
  <c r="J19" i="1" l="1"/>
  <c r="H10" i="2"/>
  <c r="AG12" i="1"/>
  <c r="P12" i="1"/>
  <c r="H13" i="1"/>
  <c r="AD12" i="1"/>
  <c r="Z9" i="1"/>
  <c r="AD9" i="1"/>
  <c r="U9" i="6" s="1"/>
  <c r="W13" i="1"/>
  <c r="L9" i="1"/>
  <c r="I13" i="1"/>
  <c r="D13" i="6" s="1"/>
  <c r="H11" i="1"/>
  <c r="AD13" i="1"/>
  <c r="I9" i="1"/>
  <c r="W8" i="1"/>
  <c r="L12" i="1"/>
  <c r="AG13" i="1"/>
  <c r="S13" i="1"/>
  <c r="W12" i="1"/>
  <c r="I12" i="1"/>
  <c r="D12" i="6" s="1"/>
  <c r="H10" i="1"/>
  <c r="I8" i="1"/>
  <c r="S12" i="1"/>
  <c r="AG9" i="1"/>
  <c r="I7" i="7" s="1"/>
  <c r="Z13" i="1"/>
  <c r="J13" i="1"/>
  <c r="I11" i="1"/>
  <c r="D11" i="6" s="1"/>
  <c r="H9" i="1"/>
  <c r="H12" i="1"/>
  <c r="Z12" i="1"/>
  <c r="J12" i="1"/>
  <c r="S9" i="1"/>
  <c r="V9" i="1" s="1"/>
  <c r="L13" i="1"/>
  <c r="P13" i="1"/>
  <c r="J198" i="1"/>
  <c r="J22" i="1"/>
  <c r="B7" i="5"/>
  <c r="AH83" i="1"/>
  <c r="AI83" i="1" s="1"/>
  <c r="AA83" i="1"/>
  <c r="AB83" i="1" s="1"/>
  <c r="T83" i="1"/>
  <c r="AH82" i="1"/>
  <c r="AI82" i="1" s="1"/>
  <c r="AA82" i="1"/>
  <c r="AB82" i="1" s="1"/>
  <c r="T82" i="1"/>
  <c r="U82" i="1" s="1"/>
  <c r="AL26" i="2"/>
  <c r="O44" i="1"/>
  <c r="M44" i="1"/>
  <c r="N44" i="1" s="1"/>
  <c r="J83" i="1"/>
  <c r="AJ44" i="1"/>
  <c r="AH44" i="1"/>
  <c r="AI44" i="1" s="1"/>
  <c r="V44" i="1"/>
  <c r="T44" i="1"/>
  <c r="U44" i="1" s="1"/>
  <c r="AC44" i="1"/>
  <c r="AA44" i="1"/>
  <c r="AB44" i="1" s="1"/>
  <c r="J38" i="2"/>
  <c r="AE32" i="2"/>
  <c r="AE39" i="2"/>
  <c r="AE34" i="2"/>
  <c r="AF34" i="2" s="1"/>
  <c r="AG34" i="2" s="1"/>
  <c r="AE31" i="2"/>
  <c r="AE37" i="2"/>
  <c r="AE38" i="2"/>
  <c r="AH38" i="2" s="1"/>
  <c r="J87" i="1"/>
  <c r="W202" i="1"/>
  <c r="W201" i="1" s="1"/>
  <c r="J202" i="1"/>
  <c r="P202" i="1"/>
  <c r="P201" i="1" s="1"/>
  <c r="AG202" i="1"/>
  <c r="H202" i="1"/>
  <c r="H201" i="1" s="1"/>
  <c r="AC203" i="1"/>
  <c r="Z202" i="1"/>
  <c r="AD202" i="1"/>
  <c r="AD201" i="1" s="1"/>
  <c r="J113" i="1"/>
  <c r="B71" i="5"/>
  <c r="D6" i="16" s="1"/>
  <c r="Q38" i="2"/>
  <c r="R38" i="2" s="1"/>
  <c r="S38" i="2" s="1"/>
  <c r="X38" i="2"/>
  <c r="Q39" i="2"/>
  <c r="R39" i="2" s="1"/>
  <c r="S39" i="2" s="1"/>
  <c r="X39" i="2"/>
  <c r="J39" i="2"/>
  <c r="J34" i="2"/>
  <c r="X34" i="2"/>
  <c r="Q34" i="2"/>
  <c r="R34" i="2" s="1"/>
  <c r="X37" i="2"/>
  <c r="Q37" i="2"/>
  <c r="J37" i="2"/>
  <c r="H41" i="1"/>
  <c r="J31" i="2"/>
  <c r="X31" i="2"/>
  <c r="Q31" i="2"/>
  <c r="AD41" i="1"/>
  <c r="J32" i="2"/>
  <c r="Q32" i="2"/>
  <c r="R32" i="2" s="1"/>
  <c r="S32" i="2" s="1"/>
  <c r="X32" i="2"/>
  <c r="P41" i="1"/>
  <c r="J18" i="1"/>
  <c r="J17" i="1" s="1"/>
  <c r="J16" i="1" s="1"/>
  <c r="J101" i="1"/>
  <c r="J100" i="1" s="1"/>
  <c r="J146" i="1"/>
  <c r="J145" i="1"/>
  <c r="H113" i="1"/>
  <c r="D44" i="5"/>
  <c r="O108" i="1"/>
  <c r="V108" i="1"/>
  <c r="H36" i="1"/>
  <c r="H35" i="1" s="1"/>
  <c r="H32" i="1" s="1"/>
  <c r="C16" i="6" s="1"/>
  <c r="B45" i="6" s="1"/>
  <c r="I45" i="6" s="1"/>
  <c r="H47" i="2"/>
  <c r="AJ34" i="1"/>
  <c r="AJ33" i="1"/>
  <c r="V34" i="1"/>
  <c r="V33" i="1"/>
  <c r="AC34" i="1"/>
  <c r="AA33" i="1"/>
  <c r="AB33" i="1" s="1"/>
  <c r="I68" i="5"/>
  <c r="I75" i="5"/>
  <c r="R151" i="2"/>
  <c r="R149" i="2"/>
  <c r="S149" i="2" s="1"/>
  <c r="R86" i="2"/>
  <c r="J137" i="1"/>
  <c r="J9" i="1" s="1"/>
  <c r="H148" i="1"/>
  <c r="J163" i="1"/>
  <c r="AA122" i="1"/>
  <c r="AB122" i="1" s="1"/>
  <c r="AH122" i="1"/>
  <c r="AI122" i="1" s="1"/>
  <c r="H163" i="1"/>
  <c r="J148" i="1"/>
  <c r="V138" i="1"/>
  <c r="T138" i="1"/>
  <c r="U138" i="1" s="1"/>
  <c r="H168" i="1"/>
  <c r="AC138" i="1"/>
  <c r="AA138" i="1"/>
  <c r="AB138" i="1" s="1"/>
  <c r="AH138" i="1"/>
  <c r="AI138" i="1" s="1"/>
  <c r="H143" i="1"/>
  <c r="J168" i="1"/>
  <c r="V122" i="1"/>
  <c r="T122" i="1"/>
  <c r="U122" i="1" s="1"/>
  <c r="H77" i="1"/>
  <c r="H76" i="1" s="1"/>
  <c r="J199" i="1"/>
  <c r="J77" i="1"/>
  <c r="J76" i="1" s="1"/>
  <c r="W77" i="1"/>
  <c r="W76" i="1" s="1"/>
  <c r="AG77" i="1"/>
  <c r="AC78" i="1"/>
  <c r="Z77" i="1"/>
  <c r="Z76" i="1" s="1"/>
  <c r="AD77" i="1"/>
  <c r="AD76" i="1" s="1"/>
  <c r="V78" i="1"/>
  <c r="S77" i="1"/>
  <c r="V77" i="1" s="1"/>
  <c r="J82" i="1"/>
  <c r="AA114" i="1"/>
  <c r="AB114" i="1" s="1"/>
  <c r="AH114" i="1"/>
  <c r="AI114" i="1" s="1"/>
  <c r="V114" i="1"/>
  <c r="T114" i="1"/>
  <c r="U114" i="1" s="1"/>
  <c r="R119" i="2"/>
  <c r="J121" i="1"/>
  <c r="J120" i="1" s="1"/>
  <c r="AG207" i="1"/>
  <c r="AH112" i="1"/>
  <c r="AI112" i="1" s="1"/>
  <c r="V112" i="1"/>
  <c r="T112" i="1"/>
  <c r="U112" i="1" s="1"/>
  <c r="AC112" i="1"/>
  <c r="AA112" i="1"/>
  <c r="AB112" i="1" s="1"/>
  <c r="R7" i="2"/>
  <c r="R107" i="2"/>
  <c r="S107" i="2" s="1"/>
  <c r="R14" i="2"/>
  <c r="R47" i="2"/>
  <c r="S47" i="2" s="1"/>
  <c r="J110" i="1"/>
  <c r="J45" i="1"/>
  <c r="J51" i="1"/>
  <c r="J43" i="1"/>
  <c r="J50" i="1"/>
  <c r="H190" i="1"/>
  <c r="H207" i="1"/>
  <c r="C24" i="6" s="1"/>
  <c r="B53" i="6" s="1"/>
  <c r="I53" i="6" s="1"/>
  <c r="W207" i="1"/>
  <c r="P24" i="6" s="1"/>
  <c r="J128" i="1"/>
  <c r="S207" i="1"/>
  <c r="V207" i="1" s="1"/>
  <c r="W190" i="1"/>
  <c r="P190" i="1"/>
  <c r="Z190" i="1"/>
  <c r="AD190" i="1"/>
  <c r="J190" i="1"/>
  <c r="AJ191" i="1"/>
  <c r="AG190" i="1"/>
  <c r="AJ190" i="1" s="1"/>
  <c r="Y47" i="2"/>
  <c r="Z47" i="2" s="1"/>
  <c r="AF47" i="2"/>
  <c r="AG47" i="2" s="1"/>
  <c r="K47" i="2"/>
  <c r="L47" i="2" s="1"/>
  <c r="J42" i="1"/>
  <c r="H30" i="2"/>
  <c r="J136" i="1"/>
  <c r="J37" i="1"/>
  <c r="J36" i="1" s="1"/>
  <c r="J35" i="1" s="1"/>
  <c r="J32" i="1" s="1"/>
  <c r="E16" i="6" s="1"/>
  <c r="D45" i="6" s="1"/>
  <c r="J53" i="1"/>
  <c r="J52" i="1" s="1"/>
  <c r="J86" i="1"/>
  <c r="J94" i="1"/>
  <c r="J91" i="1" s="1"/>
  <c r="J139" i="1"/>
  <c r="J174" i="1"/>
  <c r="J66" i="1"/>
  <c r="J65" i="1" s="1"/>
  <c r="J186" i="1"/>
  <c r="H149" i="2"/>
  <c r="J212" i="1"/>
  <c r="J211" i="1" s="1"/>
  <c r="E25" i="6" s="1"/>
  <c r="D54" i="6" s="1"/>
  <c r="J214" i="1"/>
  <c r="J213" i="1" s="1"/>
  <c r="E26" i="6" s="1"/>
  <c r="D55" i="6" s="1"/>
  <c r="AF109" i="2"/>
  <c r="AG109" i="2" s="1"/>
  <c r="H159" i="1"/>
  <c r="H157" i="1" s="1"/>
  <c r="J180" i="1"/>
  <c r="J24" i="1"/>
  <c r="J28" i="1"/>
  <c r="J67" i="1"/>
  <c r="J129" i="1"/>
  <c r="J208" i="1"/>
  <c r="J195" i="1"/>
  <c r="H68" i="1"/>
  <c r="H67" i="1" s="1"/>
  <c r="AG121" i="1"/>
  <c r="AG120" i="1" s="1"/>
  <c r="W129" i="1"/>
  <c r="W127" i="1" s="1"/>
  <c r="AD129" i="1"/>
  <c r="AD127" i="1" s="1"/>
  <c r="AC100" i="1"/>
  <c r="AG72" i="1"/>
  <c r="AJ72" i="1" s="1"/>
  <c r="H156" i="1"/>
  <c r="H154" i="1" s="1"/>
  <c r="AF107" i="2"/>
  <c r="AG107" i="2" s="1"/>
  <c r="H174" i="1"/>
  <c r="D42" i="5"/>
  <c r="D41" i="5"/>
  <c r="G38" i="5"/>
  <c r="M36" i="5"/>
  <c r="M32" i="5"/>
  <c r="K38" i="5"/>
  <c r="K42" i="5"/>
  <c r="C40" i="5"/>
  <c r="Z154" i="1"/>
  <c r="AC154" i="1" s="1"/>
  <c r="H107" i="2"/>
  <c r="AH26" i="1"/>
  <c r="AI26" i="1" s="1"/>
  <c r="H186" i="1"/>
  <c r="H139" i="1"/>
  <c r="AA187" i="1"/>
  <c r="AB187" i="1" s="1"/>
  <c r="AA167" i="1"/>
  <c r="AB167" i="1" s="1"/>
  <c r="T176" i="1"/>
  <c r="U176" i="1" s="1"/>
  <c r="D14" i="5"/>
  <c r="D70" i="5" s="1"/>
  <c r="H86" i="2"/>
  <c r="H49" i="1"/>
  <c r="AH199" i="1"/>
  <c r="AI199" i="1" s="1"/>
  <c r="H72" i="2"/>
  <c r="I22" i="5"/>
  <c r="H85" i="1"/>
  <c r="H84" i="1" s="1"/>
  <c r="AH93" i="1"/>
  <c r="AI93" i="1" s="1"/>
  <c r="AA161" i="1"/>
  <c r="AB161" i="1" s="1"/>
  <c r="H26" i="2"/>
  <c r="D19" i="5"/>
  <c r="D75" i="5" s="1"/>
  <c r="D16" i="6"/>
  <c r="C45" i="6" s="1"/>
  <c r="T165" i="1"/>
  <c r="U165" i="1" s="1"/>
  <c r="C21" i="5"/>
  <c r="D27" i="5"/>
  <c r="I29" i="5"/>
  <c r="D32" i="5"/>
  <c r="D34" i="5"/>
  <c r="D36" i="5"/>
  <c r="B40" i="5"/>
  <c r="H17" i="1"/>
  <c r="H16" i="1" s="1"/>
  <c r="T178" i="1"/>
  <c r="U178" i="1" s="1"/>
  <c r="H14" i="2"/>
  <c r="D13" i="5"/>
  <c r="D69" i="5" s="1"/>
  <c r="D15" i="5"/>
  <c r="D71" i="5" s="1"/>
  <c r="D22" i="5"/>
  <c r="D35" i="5"/>
  <c r="H94" i="1"/>
  <c r="H91" i="1" s="1"/>
  <c r="I28" i="5"/>
  <c r="D25" i="5"/>
  <c r="K25" i="5"/>
  <c r="H28" i="1"/>
  <c r="AH87" i="1"/>
  <c r="AI87" i="1" s="1"/>
  <c r="AH152" i="1"/>
  <c r="AI152" i="1" s="1"/>
  <c r="H180" i="1"/>
  <c r="D24" i="5"/>
  <c r="D29" i="5"/>
  <c r="K28" i="5"/>
  <c r="D39" i="5"/>
  <c r="T135" i="1"/>
  <c r="U135" i="1" s="1"/>
  <c r="G28" i="5"/>
  <c r="AA130" i="1"/>
  <c r="AB130" i="1" s="1"/>
  <c r="D33" i="5"/>
  <c r="AH22" i="1"/>
  <c r="AI22" i="1" s="1"/>
  <c r="AA31" i="1"/>
  <c r="AB31" i="1" s="1"/>
  <c r="AH86" i="1"/>
  <c r="AI86" i="1" s="1"/>
  <c r="AA108" i="1"/>
  <c r="AB108" i="1" s="1"/>
  <c r="AA109" i="1"/>
  <c r="AB109" i="1" s="1"/>
  <c r="H133" i="1"/>
  <c r="H132" i="1" s="1"/>
  <c r="AA135" i="1"/>
  <c r="AB135" i="1" s="1"/>
  <c r="D28" i="5"/>
  <c r="AH79" i="1"/>
  <c r="AI79" i="1" s="1"/>
  <c r="H81" i="1"/>
  <c r="T90" i="1"/>
  <c r="U90" i="1" s="1"/>
  <c r="AH90" i="1"/>
  <c r="AI90" i="1" s="1"/>
  <c r="AA137" i="1"/>
  <c r="AB137" i="1" s="1"/>
  <c r="T145" i="1"/>
  <c r="U145" i="1" s="1"/>
  <c r="T155" i="1"/>
  <c r="U155" i="1" s="1"/>
  <c r="H24" i="1"/>
  <c r="T31" i="1"/>
  <c r="U31" i="1" s="1"/>
  <c r="AA55" i="1"/>
  <c r="AB55" i="1" s="1"/>
  <c r="H58" i="1"/>
  <c r="AH19" i="1"/>
  <c r="AI19" i="1" s="1"/>
  <c r="AH70" i="1"/>
  <c r="AI70" i="1" s="1"/>
  <c r="AH71" i="1"/>
  <c r="AI71" i="1" s="1"/>
  <c r="H110" i="1"/>
  <c r="AH31" i="1"/>
  <c r="AI31" i="1" s="1"/>
  <c r="H53" i="1"/>
  <c r="H52" i="1" s="1"/>
  <c r="AA90" i="1"/>
  <c r="AB90" i="1" s="1"/>
  <c r="H121" i="1"/>
  <c r="H120" i="1" s="1"/>
  <c r="AH135" i="1"/>
  <c r="AI135" i="1" s="1"/>
  <c r="AA147" i="1"/>
  <c r="AB147" i="1" s="1"/>
  <c r="AH162" i="1"/>
  <c r="AI162" i="1" s="1"/>
  <c r="AA181" i="1"/>
  <c r="AB181" i="1" s="1"/>
  <c r="H195" i="1"/>
  <c r="T208" i="1"/>
  <c r="U208" i="1" s="1"/>
  <c r="AH69" i="1"/>
  <c r="AI69" i="1" s="1"/>
  <c r="AD94" i="1"/>
  <c r="AD195" i="1"/>
  <c r="AA21" i="1"/>
  <c r="AB21" i="1" s="1"/>
  <c r="AA59" i="1"/>
  <c r="AB59" i="1" s="1"/>
  <c r="T95" i="1"/>
  <c r="U95" i="1" s="1"/>
  <c r="AH95" i="1"/>
  <c r="AI95" i="1" s="1"/>
  <c r="M137" i="1"/>
  <c r="N137" i="1" s="1"/>
  <c r="T137" i="1"/>
  <c r="U137" i="1" s="1"/>
  <c r="M8" i="2"/>
  <c r="K8" i="2"/>
  <c r="AH20" i="1"/>
  <c r="AI20" i="1" s="1"/>
  <c r="AA22" i="1"/>
  <c r="AB22" i="1" s="1"/>
  <c r="AH88" i="1"/>
  <c r="AI88" i="1" s="1"/>
  <c r="AH111" i="1"/>
  <c r="AI111" i="1" s="1"/>
  <c r="H129" i="1"/>
  <c r="H127" i="1" s="1"/>
  <c r="M135" i="1"/>
  <c r="N135" i="1" s="1"/>
  <c r="AA191" i="1"/>
  <c r="AB191" i="1" s="1"/>
  <c r="T8" i="2"/>
  <c r="S8" i="2"/>
  <c r="AA18" i="1"/>
  <c r="AB18" i="1" s="1"/>
  <c r="AA19" i="1"/>
  <c r="AB19" i="1" s="1"/>
  <c r="AH21" i="1"/>
  <c r="AI21" i="1" s="1"/>
  <c r="AH25" i="1"/>
  <c r="AI25" i="1" s="1"/>
  <c r="T30" i="1"/>
  <c r="U30" i="1" s="1"/>
  <c r="AA70" i="1"/>
  <c r="AB70" i="1" s="1"/>
  <c r="AH75" i="1"/>
  <c r="AI75" i="1" s="1"/>
  <c r="AH78" i="1"/>
  <c r="AI78" i="1" s="1"/>
  <c r="AA89" i="1"/>
  <c r="AB89" i="1" s="1"/>
  <c r="AA95" i="1"/>
  <c r="AB95" i="1" s="1"/>
  <c r="AA128" i="1"/>
  <c r="AB128" i="1" s="1"/>
  <c r="AA131" i="1"/>
  <c r="AB131" i="1" s="1"/>
  <c r="AH134" i="1"/>
  <c r="AI134" i="1" s="1"/>
  <c r="AA8" i="2"/>
  <c r="Y8" i="2"/>
  <c r="Z8" i="2" s="1"/>
  <c r="AH18" i="1"/>
  <c r="AI18" i="1" s="1"/>
  <c r="AA20" i="1"/>
  <c r="AB20" i="1" s="1"/>
  <c r="AH27" i="1"/>
  <c r="AI27" i="1" s="1"/>
  <c r="AA38" i="1"/>
  <c r="AB38" i="1" s="1"/>
  <c r="AA54" i="1"/>
  <c r="AB54" i="1" s="1"/>
  <c r="T96" i="1"/>
  <c r="U96" i="1" s="1"/>
  <c r="AH101" i="1"/>
  <c r="AI101" i="1" s="1"/>
  <c r="T125" i="1"/>
  <c r="U125" i="1" s="1"/>
  <c r="AA141" i="1"/>
  <c r="AB141" i="1" s="1"/>
  <c r="AA196" i="1"/>
  <c r="AB196" i="1" s="1"/>
  <c r="T152" i="1"/>
  <c r="U152" i="1" s="1"/>
  <c r="AA170" i="1"/>
  <c r="AB170" i="1" s="1"/>
  <c r="AA176" i="1"/>
  <c r="AB176" i="1" s="1"/>
  <c r="AA192" i="1"/>
  <c r="AB192" i="1" s="1"/>
  <c r="T194" i="1"/>
  <c r="U194" i="1" s="1"/>
  <c r="T34" i="1"/>
  <c r="U34" i="1" s="1"/>
  <c r="Y107" i="2"/>
  <c r="Z107" i="2" s="1"/>
  <c r="H109" i="2"/>
  <c r="J159" i="1" s="1"/>
  <c r="J157" i="1" s="1"/>
  <c r="M18" i="5"/>
  <c r="G29" i="5"/>
  <c r="K29" i="5"/>
  <c r="AH169" i="1"/>
  <c r="AI169" i="1" s="1"/>
  <c r="AA204" i="1"/>
  <c r="AB204" i="1" s="1"/>
  <c r="M29" i="5"/>
  <c r="T103" i="1"/>
  <c r="U103" i="1" s="1"/>
  <c r="T108" i="1"/>
  <c r="U108" i="1" s="1"/>
  <c r="T109" i="1"/>
  <c r="U109" i="1" s="1"/>
  <c r="AH115" i="1"/>
  <c r="AI115" i="1" s="1"/>
  <c r="AH131" i="1"/>
  <c r="AI131" i="1" s="1"/>
  <c r="AH137" i="1"/>
  <c r="AI137" i="1" s="1"/>
  <c r="AA140" i="1"/>
  <c r="AB140" i="1" s="1"/>
  <c r="AH161" i="1"/>
  <c r="AI161" i="1" s="1"/>
  <c r="AH170" i="1"/>
  <c r="AI170" i="1" s="1"/>
  <c r="AH181" i="1"/>
  <c r="AI181" i="1" s="1"/>
  <c r="AH187" i="1"/>
  <c r="AI187" i="1" s="1"/>
  <c r="T192" i="1"/>
  <c r="U192" i="1" s="1"/>
  <c r="AA194" i="1"/>
  <c r="AB194" i="1" s="1"/>
  <c r="AA199" i="1"/>
  <c r="AB199" i="1" s="1"/>
  <c r="AH203" i="1"/>
  <c r="AI203" i="1" s="1"/>
  <c r="T214" i="1"/>
  <c r="U214" i="1" s="1"/>
  <c r="M165" i="1"/>
  <c r="N165" i="1" s="1"/>
  <c r="AA177" i="1"/>
  <c r="AB177" i="1" s="1"/>
  <c r="B23" i="5"/>
  <c r="M27" i="5"/>
  <c r="T60" i="1"/>
  <c r="U60" i="1" s="1"/>
  <c r="AF149" i="2"/>
  <c r="AG149" i="2" s="1"/>
  <c r="W121" i="1"/>
  <c r="W120" i="1" s="1"/>
  <c r="Z53" i="1"/>
  <c r="AC53" i="1" s="1"/>
  <c r="P58" i="1"/>
  <c r="P110" i="1"/>
  <c r="D31" i="5"/>
  <c r="AD92" i="1"/>
  <c r="P53" i="1"/>
  <c r="P52" i="1" s="1"/>
  <c r="S124" i="1"/>
  <c r="P212" i="1"/>
  <c r="P211" i="1" s="1"/>
  <c r="K25" i="6" s="1"/>
  <c r="AD58" i="1"/>
  <c r="AD139" i="1"/>
  <c r="T188" i="1"/>
  <c r="U188" i="1" s="1"/>
  <c r="AC192" i="1"/>
  <c r="AC59" i="1"/>
  <c r="AC95" i="1"/>
  <c r="W110" i="1"/>
  <c r="AD186" i="1"/>
  <c r="P85" i="1"/>
  <c r="P84" i="1" s="1"/>
  <c r="AC22" i="1"/>
  <c r="AC131" i="1"/>
  <c r="T149" i="1"/>
  <c r="U149" i="1" s="1"/>
  <c r="AC128" i="1"/>
  <c r="T150" i="1"/>
  <c r="U150" i="1" s="1"/>
  <c r="AD180" i="1"/>
  <c r="AC187" i="1"/>
  <c r="AC191" i="1"/>
  <c r="AC21" i="1"/>
  <c r="AD85" i="1"/>
  <c r="AD84" i="1" s="1"/>
  <c r="AC141" i="1"/>
  <c r="L149" i="1"/>
  <c r="M149" i="1" s="1"/>
  <c r="AD49" i="1"/>
  <c r="W68" i="1"/>
  <c r="W67" i="1" s="1"/>
  <c r="AD121" i="1"/>
  <c r="AD120" i="1" s="1"/>
  <c r="W168" i="1"/>
  <c r="AJ137" i="1"/>
  <c r="AA29" i="1"/>
  <c r="AB29" i="1" s="1"/>
  <c r="AJ82" i="1"/>
  <c r="AC20" i="1"/>
  <c r="AC18" i="1"/>
  <c r="W28" i="1"/>
  <c r="P92" i="1"/>
  <c r="W113" i="1"/>
  <c r="AC140" i="1"/>
  <c r="W139" i="1"/>
  <c r="AC194" i="1"/>
  <c r="W195" i="1"/>
  <c r="AB86" i="2"/>
  <c r="P157" i="1"/>
  <c r="S148" i="1"/>
  <c r="V148" i="1" s="1"/>
  <c r="AD157" i="1"/>
  <c r="P186" i="1"/>
  <c r="P49" i="1"/>
  <c r="W92" i="1"/>
  <c r="AA46" i="1"/>
  <c r="AB46" i="1" s="1"/>
  <c r="T86" i="1"/>
  <c r="U86" i="1" s="1"/>
  <c r="AD143" i="1"/>
  <c r="W174" i="1"/>
  <c r="P139" i="1"/>
  <c r="P154" i="1"/>
  <c r="W157" i="1"/>
  <c r="AJ18" i="1"/>
  <c r="W36" i="1"/>
  <c r="W35" i="1" s="1"/>
  <c r="W32" i="1" s="1"/>
  <c r="P16" i="6" s="1"/>
  <c r="W49" i="1"/>
  <c r="AD53" i="1"/>
  <c r="AD52" i="1" s="1"/>
  <c r="W53" i="1"/>
  <c r="W52" i="1" s="1"/>
  <c r="W58" i="1"/>
  <c r="AD68" i="1"/>
  <c r="AD67" i="1" s="1"/>
  <c r="AJ95" i="1"/>
  <c r="W148" i="1"/>
  <c r="AA152" i="1"/>
  <c r="AB152" i="1" s="1"/>
  <c r="S154" i="1"/>
  <c r="V154" i="1" s="1"/>
  <c r="W186" i="1"/>
  <c r="AC199" i="1"/>
  <c r="Z211" i="1"/>
  <c r="Q25" i="6" s="1"/>
  <c r="Z213" i="1"/>
  <c r="AA213" i="1" s="1"/>
  <c r="AF8" i="2"/>
  <c r="AG8" i="2" s="1"/>
  <c r="L28" i="5"/>
  <c r="M28" i="5" s="1"/>
  <c r="AJ115" i="1"/>
  <c r="AJ27" i="1"/>
  <c r="AJ90" i="1"/>
  <c r="AJ22" i="1"/>
  <c r="AG65" i="1"/>
  <c r="AJ169" i="1"/>
  <c r="AJ20" i="1"/>
  <c r="AJ152" i="1"/>
  <c r="AJ203" i="1"/>
  <c r="AG17" i="1"/>
  <c r="AH194" i="1"/>
  <c r="AI194" i="1" s="1"/>
  <c r="AJ199" i="1"/>
  <c r="AJ93" i="1"/>
  <c r="AG124" i="1"/>
  <c r="AJ124" i="1" s="1"/>
  <c r="AG154" i="1"/>
  <c r="AJ154" i="1" s="1"/>
  <c r="AH149" i="2"/>
  <c r="AJ181" i="1"/>
  <c r="AH176" i="1"/>
  <c r="AI176" i="1" s="1"/>
  <c r="AH175" i="1"/>
  <c r="AI175" i="1" s="1"/>
  <c r="AJ187" i="1"/>
  <c r="AH145" i="1"/>
  <c r="AI145" i="1" s="1"/>
  <c r="AJ159" i="1"/>
  <c r="AJ162" i="1"/>
  <c r="AH147" i="1"/>
  <c r="AI147" i="1" s="1"/>
  <c r="AJ170" i="1"/>
  <c r="AH144" i="1"/>
  <c r="AI144" i="1" s="1"/>
  <c r="AJ161" i="1"/>
  <c r="AJ131" i="1"/>
  <c r="AJ134" i="1"/>
  <c r="AH109" i="1"/>
  <c r="AI109" i="1" s="1"/>
  <c r="AJ112" i="1"/>
  <c r="AJ83" i="1"/>
  <c r="AH100" i="1"/>
  <c r="AI100" i="1" s="1"/>
  <c r="AH66" i="1"/>
  <c r="AI66" i="1" s="1"/>
  <c r="AJ70" i="1"/>
  <c r="AJ69" i="1"/>
  <c r="AJ71" i="1"/>
  <c r="AH46" i="1"/>
  <c r="AI46" i="1" s="1"/>
  <c r="AH55" i="1"/>
  <c r="AI55" i="1" s="1"/>
  <c r="AH59" i="1"/>
  <c r="AI59" i="1" s="1"/>
  <c r="AH47" i="1"/>
  <c r="AI47" i="1" s="1"/>
  <c r="AG56" i="1"/>
  <c r="AJ56" i="1" s="1"/>
  <c r="AJ19" i="1"/>
  <c r="AJ21" i="1"/>
  <c r="AD163" i="1"/>
  <c r="AD168" i="1"/>
  <c r="AD110" i="1"/>
  <c r="AD113" i="1"/>
  <c r="AD36" i="1"/>
  <c r="AD35" i="1" s="1"/>
  <c r="AD32" i="1" s="1"/>
  <c r="U16" i="6" s="1"/>
  <c r="AD28" i="1"/>
  <c r="AD24" i="1"/>
  <c r="AA214" i="1"/>
  <c r="AB214" i="1" s="1"/>
  <c r="AA209" i="1"/>
  <c r="AB209" i="1" s="1"/>
  <c r="AC176" i="1"/>
  <c r="AC196" i="1"/>
  <c r="AA203" i="1"/>
  <c r="AB203" i="1" s="1"/>
  <c r="AC181" i="1"/>
  <c r="AC161" i="1"/>
  <c r="AC147" i="1"/>
  <c r="AC159" i="1"/>
  <c r="Z166" i="1"/>
  <c r="AC167" i="1"/>
  <c r="AC170" i="1"/>
  <c r="Z139" i="1"/>
  <c r="AA134" i="1"/>
  <c r="AB134" i="1" s="1"/>
  <c r="AC130" i="1"/>
  <c r="Z129" i="1"/>
  <c r="AC108" i="1"/>
  <c r="AA125" i="1"/>
  <c r="AB125" i="1" s="1"/>
  <c r="AC109" i="1"/>
  <c r="AA115" i="1"/>
  <c r="AB115" i="1" s="1"/>
  <c r="Z124" i="1"/>
  <c r="AC81" i="1"/>
  <c r="AA88" i="1"/>
  <c r="AB88" i="1" s="1"/>
  <c r="AC89" i="1"/>
  <c r="AC90" i="1"/>
  <c r="AC104" i="1"/>
  <c r="AC92" i="1"/>
  <c r="AA71" i="1"/>
  <c r="AB71" i="1" s="1"/>
  <c r="AA69" i="1"/>
  <c r="AB69" i="1" s="1"/>
  <c r="AC70" i="1"/>
  <c r="Z56" i="1"/>
  <c r="AC56" i="1" s="1"/>
  <c r="AA47" i="1"/>
  <c r="AB47" i="1" s="1"/>
  <c r="Z17" i="1"/>
  <c r="Z16" i="1" s="1"/>
  <c r="AC19" i="1"/>
  <c r="W180" i="1"/>
  <c r="W154" i="1"/>
  <c r="W94" i="1"/>
  <c r="W17" i="1"/>
  <c r="W16" i="1" s="1"/>
  <c r="S213" i="1"/>
  <c r="V213" i="1" s="1"/>
  <c r="S211" i="1"/>
  <c r="V211" i="1" s="1"/>
  <c r="T146" i="1"/>
  <c r="U146" i="1" s="1"/>
  <c r="T151" i="1"/>
  <c r="U151" i="1" s="1"/>
  <c r="T147" i="1"/>
  <c r="U147" i="1" s="1"/>
  <c r="S110" i="1"/>
  <c r="T111" i="1"/>
  <c r="U111" i="1" s="1"/>
  <c r="T116" i="1"/>
  <c r="U116" i="1" s="1"/>
  <c r="T115" i="1"/>
  <c r="U115" i="1" s="1"/>
  <c r="T88" i="1"/>
  <c r="U88" i="1" s="1"/>
  <c r="T71" i="1"/>
  <c r="U71" i="1" s="1"/>
  <c r="L79" i="1"/>
  <c r="M79" i="1" s="1"/>
  <c r="L147" i="1"/>
  <c r="L22" i="1"/>
  <c r="M22" i="1" s="1"/>
  <c r="L199" i="1"/>
  <c r="O199" i="1" s="1"/>
  <c r="O73" i="1"/>
  <c r="L72" i="1"/>
  <c r="O72" i="1" s="1"/>
  <c r="O103" i="1"/>
  <c r="K17" i="2"/>
  <c r="K144" i="2"/>
  <c r="L20" i="1"/>
  <c r="L206" i="1"/>
  <c r="S19" i="1"/>
  <c r="V19" i="1" s="1"/>
  <c r="S21" i="1"/>
  <c r="V21" i="1" s="1"/>
  <c r="S38" i="1"/>
  <c r="V38" i="1" s="1"/>
  <c r="S22" i="1"/>
  <c r="V22" i="1" s="1"/>
  <c r="S19" i="2"/>
  <c r="S57" i="1"/>
  <c r="V57" i="1" s="1"/>
  <c r="T16" i="2"/>
  <c r="P174" i="1"/>
  <c r="L138" i="1"/>
  <c r="O165" i="1"/>
  <c r="L203" i="1"/>
  <c r="S18" i="2"/>
  <c r="K19" i="2"/>
  <c r="T29" i="2"/>
  <c r="M69" i="2"/>
  <c r="P24" i="1"/>
  <c r="S29" i="1"/>
  <c r="V29" i="1" s="1"/>
  <c r="N56" i="2"/>
  <c r="M139" i="2"/>
  <c r="P81" i="1"/>
  <c r="S55" i="1"/>
  <c r="V55" i="1" s="1"/>
  <c r="M88" i="1"/>
  <c r="P180" i="1"/>
  <c r="S23" i="2"/>
  <c r="K61" i="2"/>
  <c r="P113" i="1"/>
  <c r="M94" i="2"/>
  <c r="M99" i="2"/>
  <c r="L145" i="1"/>
  <c r="O145" i="1" s="1"/>
  <c r="K99" i="2"/>
  <c r="N151" i="2"/>
  <c r="P214" i="1"/>
  <c r="P213" i="1" s="1"/>
  <c r="K26" i="6" s="1"/>
  <c r="P28" i="1"/>
  <c r="P36" i="1"/>
  <c r="P35" i="1" s="1"/>
  <c r="P94" i="1"/>
  <c r="S27" i="2"/>
  <c r="T27" i="2"/>
  <c r="K138" i="2"/>
  <c r="L198" i="1"/>
  <c r="M138" i="2"/>
  <c r="N72" i="2"/>
  <c r="P108" i="1"/>
  <c r="P208" i="1"/>
  <c r="P8" i="1" s="1"/>
  <c r="M87" i="1"/>
  <c r="N87" i="1" s="1"/>
  <c r="O87" i="1"/>
  <c r="M60" i="2"/>
  <c r="O96" i="1"/>
  <c r="K65" i="2"/>
  <c r="M65" i="2"/>
  <c r="L156" i="1"/>
  <c r="K107" i="2"/>
  <c r="M107" i="2"/>
  <c r="P195" i="1"/>
  <c r="S28" i="2"/>
  <c r="T28" i="2"/>
  <c r="K59" i="2"/>
  <c r="M59" i="2"/>
  <c r="T17" i="2"/>
  <c r="S17" i="2"/>
  <c r="F34" i="5"/>
  <c r="G34" i="5" s="1"/>
  <c r="G12" i="5"/>
  <c r="M68" i="2"/>
  <c r="K68" i="2"/>
  <c r="P121" i="1"/>
  <c r="P120" i="1" s="1"/>
  <c r="N119" i="2"/>
  <c r="N26" i="2"/>
  <c r="P148" i="1"/>
  <c r="P68" i="1"/>
  <c r="P67" i="1" s="1"/>
  <c r="P168" i="1"/>
  <c r="P129" i="1"/>
  <c r="P127" i="1" s="1"/>
  <c r="M101" i="2"/>
  <c r="K141" i="2"/>
  <c r="M144" i="2"/>
  <c r="W24" i="1"/>
  <c r="AJ60" i="1"/>
  <c r="AG58" i="1"/>
  <c r="AC114" i="1"/>
  <c r="Z113" i="1"/>
  <c r="T128" i="1"/>
  <c r="U128" i="1" s="1"/>
  <c r="AC136" i="1"/>
  <c r="AA136" i="1"/>
  <c r="AB136" i="1" s="1"/>
  <c r="AJ149" i="1"/>
  <c r="AJ150" i="1"/>
  <c r="AH150" i="1"/>
  <c r="AI150" i="1" s="1"/>
  <c r="AJ155" i="1"/>
  <c r="AH155" i="1"/>
  <c r="AI155" i="1" s="1"/>
  <c r="T184" i="1"/>
  <c r="U184" i="1" s="1"/>
  <c r="AH184" i="1"/>
  <c r="AI184" i="1" s="1"/>
  <c r="AJ184" i="1"/>
  <c r="AC198" i="1"/>
  <c r="AA198" i="1"/>
  <c r="AB198" i="1" s="1"/>
  <c r="AJ208" i="1"/>
  <c r="AH208" i="1"/>
  <c r="AI208" i="1" s="1"/>
  <c r="T209" i="1"/>
  <c r="U209" i="1" s="1"/>
  <c r="AH211" i="1"/>
  <c r="AJ211" i="1"/>
  <c r="Y25" i="6" s="1"/>
  <c r="AH212" i="1"/>
  <c r="AI212" i="1" s="1"/>
  <c r="AJ212" i="1"/>
  <c r="AJ214" i="1"/>
  <c r="AG213" i="1"/>
  <c r="AA7" i="2"/>
  <c r="N14" i="2"/>
  <c r="P18" i="1"/>
  <c r="P17" i="1" s="1"/>
  <c r="P16" i="1" s="1"/>
  <c r="L21" i="1"/>
  <c r="AF20" i="2"/>
  <c r="AG20" i="2" s="1"/>
  <c r="AH20" i="2"/>
  <c r="AA24" i="2"/>
  <c r="Z30" i="1"/>
  <c r="Y24" i="2"/>
  <c r="Z24" i="2" s="1"/>
  <c r="AF25" i="2"/>
  <c r="AG25" i="2" s="1"/>
  <c r="AH25" i="2"/>
  <c r="S40" i="2"/>
  <c r="T40" i="2"/>
  <c r="J41" i="5"/>
  <c r="Y48" i="2"/>
  <c r="Z48" i="2" s="1"/>
  <c r="Z66" i="1"/>
  <c r="AA48" i="2"/>
  <c r="T52" i="2"/>
  <c r="S52" i="2"/>
  <c r="Y53" i="2"/>
  <c r="Z53" i="2" s="1"/>
  <c r="AA53" i="2"/>
  <c r="K43" i="5"/>
  <c r="Y54" i="2"/>
  <c r="Z54" i="2" s="1"/>
  <c r="AA54" i="2"/>
  <c r="AA56" i="2"/>
  <c r="M44" i="5"/>
  <c r="AF59" i="2"/>
  <c r="AG59" i="2" s="1"/>
  <c r="AH59" i="2"/>
  <c r="H34" i="5"/>
  <c r="I34" i="5" s="1"/>
  <c r="T68" i="2"/>
  <c r="S68" i="2"/>
  <c r="AF69" i="2"/>
  <c r="AG69" i="2" s="1"/>
  <c r="AA84" i="2"/>
  <c r="Y84" i="2"/>
  <c r="Z84" i="2" s="1"/>
  <c r="P135" i="1"/>
  <c r="P9" i="1" s="1"/>
  <c r="N86" i="2"/>
  <c r="W135" i="1"/>
  <c r="S96" i="2"/>
  <c r="T96" i="2"/>
  <c r="AF104" i="2"/>
  <c r="AG104" i="2" s="1"/>
  <c r="AH104" i="2"/>
  <c r="AG151" i="1"/>
  <c r="Y113" i="2"/>
  <c r="Z113" i="2" s="1"/>
  <c r="AA113" i="2"/>
  <c r="Z164" i="1"/>
  <c r="Y114" i="2"/>
  <c r="Z114" i="2" s="1"/>
  <c r="Z165" i="1"/>
  <c r="Y116" i="2"/>
  <c r="Z116" i="2" s="1"/>
  <c r="AA116" i="2"/>
  <c r="Z169" i="1"/>
  <c r="AB119" i="2"/>
  <c r="AD175" i="1"/>
  <c r="AD174" i="1" s="1"/>
  <c r="AA127" i="2"/>
  <c r="Y127" i="2"/>
  <c r="Z127" i="2" s="1"/>
  <c r="AA131" i="2"/>
  <c r="Y131" i="2"/>
  <c r="Z131" i="2" s="1"/>
  <c r="T132" i="2"/>
  <c r="S132" i="2"/>
  <c r="S191" i="1"/>
  <c r="AF146" i="2"/>
  <c r="AG146" i="2" s="1"/>
  <c r="M10" i="5"/>
  <c r="J23" i="5"/>
  <c r="T25" i="1"/>
  <c r="U25" i="1" s="1"/>
  <c r="AA25" i="1"/>
  <c r="AB25" i="1" s="1"/>
  <c r="AH29" i="1"/>
  <c r="AI29" i="1" s="1"/>
  <c r="AH30" i="1"/>
  <c r="AI30" i="1" s="1"/>
  <c r="AA34" i="1"/>
  <c r="AB34" i="1" s="1"/>
  <c r="AH34" i="1"/>
  <c r="AI34" i="1" s="1"/>
  <c r="M38" i="1"/>
  <c r="N38" i="1" s="1"/>
  <c r="S54" i="1"/>
  <c r="V54" i="1" s="1"/>
  <c r="AA57" i="1"/>
  <c r="AB57" i="1" s="1"/>
  <c r="AH57" i="1"/>
  <c r="AI57" i="1" s="1"/>
  <c r="AH60" i="1"/>
  <c r="AI60" i="1" s="1"/>
  <c r="S73" i="1"/>
  <c r="V73" i="1" s="1"/>
  <c r="Z75" i="1"/>
  <c r="T78" i="1"/>
  <c r="U78" i="1" s="1"/>
  <c r="AA78" i="1"/>
  <c r="AB78" i="1" s="1"/>
  <c r="T79" i="1"/>
  <c r="U79" i="1" s="1"/>
  <c r="AA79" i="1"/>
  <c r="AB79" i="1" s="1"/>
  <c r="AJ86" i="1"/>
  <c r="AJ87" i="1"/>
  <c r="AA93" i="1"/>
  <c r="AB93" i="1" s="1"/>
  <c r="S121" i="1"/>
  <c r="V121" i="1" s="1"/>
  <c r="AJ122" i="1"/>
  <c r="T123" i="1"/>
  <c r="U123" i="1" s="1"/>
  <c r="AH123" i="1"/>
  <c r="AI123" i="1" s="1"/>
  <c r="AJ123" i="1"/>
  <c r="Z133" i="1"/>
  <c r="AC149" i="1"/>
  <c r="Z148" i="1"/>
  <c r="AH149" i="1"/>
  <c r="AI149" i="1" s="1"/>
  <c r="AJ156" i="1"/>
  <c r="AC160" i="1"/>
  <c r="AA160" i="1"/>
  <c r="AB160" i="1" s="1"/>
  <c r="T167" i="1"/>
  <c r="U167" i="1" s="1"/>
  <c r="S166" i="1"/>
  <c r="V166" i="1" s="1"/>
  <c r="T171" i="1"/>
  <c r="U171" i="1" s="1"/>
  <c r="AH171" i="1"/>
  <c r="AI171" i="1" s="1"/>
  <c r="AJ171" i="1"/>
  <c r="AG168" i="1"/>
  <c r="T175" i="1"/>
  <c r="U175" i="1" s="1"/>
  <c r="T183" i="1"/>
  <c r="U183" i="1" s="1"/>
  <c r="AH183" i="1"/>
  <c r="AI183" i="1" s="1"/>
  <c r="AJ183" i="1"/>
  <c r="AA189" i="1"/>
  <c r="AB189" i="1" s="1"/>
  <c r="AC197" i="1"/>
  <c r="Z195" i="1"/>
  <c r="T206" i="1"/>
  <c r="U206" i="1" s="1"/>
  <c r="AH206" i="1"/>
  <c r="AI206" i="1" s="1"/>
  <c r="AJ206" i="1"/>
  <c r="AH214" i="1"/>
  <c r="AI214" i="1" s="1"/>
  <c r="I33" i="5"/>
  <c r="T15" i="2"/>
  <c r="S15" i="2"/>
  <c r="K18" i="2"/>
  <c r="AA20" i="2"/>
  <c r="Y22" i="2"/>
  <c r="Z22" i="2" s="1"/>
  <c r="AA22" i="2"/>
  <c r="AF29" i="2"/>
  <c r="AG29" i="2" s="1"/>
  <c r="AG38" i="1"/>
  <c r="AG36" i="1" s="1"/>
  <c r="W42" i="1"/>
  <c r="W41" i="1" s="1"/>
  <c r="H25" i="5"/>
  <c r="I25" i="5" s="1"/>
  <c r="H15" i="5"/>
  <c r="I15" i="5" s="1"/>
  <c r="M26" i="5"/>
  <c r="M17" i="5"/>
  <c r="AH45" i="2"/>
  <c r="AF45" i="2"/>
  <c r="AG45" i="2" s="1"/>
  <c r="H41" i="5"/>
  <c r="T48" i="2"/>
  <c r="S50" i="2"/>
  <c r="T50" i="2"/>
  <c r="P78" i="1"/>
  <c r="W85" i="1"/>
  <c r="W84" i="1" s="1"/>
  <c r="T63" i="2"/>
  <c r="AF65" i="2"/>
  <c r="AG65" i="2" s="1"/>
  <c r="AH65" i="2"/>
  <c r="AH69" i="2"/>
  <c r="AB72" i="2"/>
  <c r="AD108" i="1"/>
  <c r="AH75" i="2"/>
  <c r="AF75" i="2"/>
  <c r="AG75" i="2" s="1"/>
  <c r="M77" i="2"/>
  <c r="AH88" i="2"/>
  <c r="AF88" i="2"/>
  <c r="AG88" i="2" s="1"/>
  <c r="AG130" i="1"/>
  <c r="S89" i="2"/>
  <c r="T89" i="2"/>
  <c r="S131" i="1"/>
  <c r="V131" i="1" s="1"/>
  <c r="Y99" i="2"/>
  <c r="Z99" i="2" s="1"/>
  <c r="AA99" i="2"/>
  <c r="Z145" i="1"/>
  <c r="Y112" i="2"/>
  <c r="Z112" i="2" s="1"/>
  <c r="AA112" i="2"/>
  <c r="Z162" i="1"/>
  <c r="P163" i="1"/>
  <c r="AA114" i="2"/>
  <c r="T124" i="2"/>
  <c r="S124" i="2"/>
  <c r="S179" i="1"/>
  <c r="V179" i="1" s="1"/>
  <c r="AF124" i="2"/>
  <c r="AG124" i="2" s="1"/>
  <c r="L15" i="5"/>
  <c r="AH124" i="2"/>
  <c r="AG179" i="1"/>
  <c r="AA126" i="2"/>
  <c r="Z182" i="1"/>
  <c r="Y126" i="2"/>
  <c r="Z126" i="2" s="1"/>
  <c r="AH146" i="2"/>
  <c r="Y150" i="2"/>
  <c r="Z150" i="2" s="1"/>
  <c r="J32" i="5"/>
  <c r="K32" i="5" s="1"/>
  <c r="AA150" i="2"/>
  <c r="L23" i="5"/>
  <c r="AD18" i="1"/>
  <c r="AD17" i="1" s="1"/>
  <c r="AD16" i="1" s="1"/>
  <c r="AC25" i="1"/>
  <c r="AJ25" i="1"/>
  <c r="T26" i="1"/>
  <c r="U26" i="1" s="1"/>
  <c r="AA26" i="1"/>
  <c r="AB26" i="1" s="1"/>
  <c r="Z27" i="1"/>
  <c r="P34" i="1"/>
  <c r="P33" i="1" s="1"/>
  <c r="T37" i="1"/>
  <c r="U37" i="1" s="1"/>
  <c r="AH37" i="1"/>
  <c r="AI37" i="1" s="1"/>
  <c r="AC38" i="1"/>
  <c r="S59" i="1"/>
  <c r="V59" i="1" s="1"/>
  <c r="S70" i="1"/>
  <c r="V70" i="1" s="1"/>
  <c r="M73" i="1"/>
  <c r="N73" i="1" s="1"/>
  <c r="AH73" i="1"/>
  <c r="AI73" i="1" s="1"/>
  <c r="S74" i="1"/>
  <c r="V74" i="1" s="1"/>
  <c r="AG74" i="1"/>
  <c r="T75" i="1"/>
  <c r="U75" i="1" s="1"/>
  <c r="AJ78" i="1"/>
  <c r="AJ79" i="1"/>
  <c r="W82" i="1"/>
  <c r="W81" i="1" s="1"/>
  <c r="AD82" i="1"/>
  <c r="AD81" i="1" s="1"/>
  <c r="AA86" i="1"/>
  <c r="AB86" i="1" s="1"/>
  <c r="AA87" i="1"/>
  <c r="AB87" i="1" s="1"/>
  <c r="AJ101" i="1"/>
  <c r="AG110" i="1"/>
  <c r="AJ111" i="1"/>
  <c r="AG113" i="1"/>
  <c r="AJ114" i="1"/>
  <c r="AJ128" i="1"/>
  <c r="AH128" i="1"/>
  <c r="AI128" i="1" s="1"/>
  <c r="AD133" i="1"/>
  <c r="AD132" i="1" s="1"/>
  <c r="T136" i="1"/>
  <c r="U136" i="1" s="1"/>
  <c r="AJ138" i="1"/>
  <c r="AJ140" i="1"/>
  <c r="AG139" i="1"/>
  <c r="AJ141" i="1"/>
  <c r="AH141" i="1"/>
  <c r="AI141" i="1" s="1"/>
  <c r="W145" i="1"/>
  <c r="W143" i="1" s="1"/>
  <c r="AA149" i="1"/>
  <c r="AB149" i="1" s="1"/>
  <c r="AC150" i="1"/>
  <c r="AA150" i="1"/>
  <c r="AB150" i="1" s="1"/>
  <c r="M151" i="1"/>
  <c r="O151" i="1"/>
  <c r="AC155" i="1"/>
  <c r="AA155" i="1"/>
  <c r="AB155" i="1" s="1"/>
  <c r="AJ167" i="1"/>
  <c r="AG166" i="1"/>
  <c r="AH167" i="1"/>
  <c r="AI167" i="1" s="1"/>
  <c r="Z183" i="1"/>
  <c r="AC184" i="1"/>
  <c r="AA184" i="1"/>
  <c r="AB184" i="1" s="1"/>
  <c r="S186" i="1"/>
  <c r="T189" i="1"/>
  <c r="U189" i="1" s="1"/>
  <c r="AH189" i="1"/>
  <c r="AI189" i="1" s="1"/>
  <c r="AJ189" i="1"/>
  <c r="AA197" i="1"/>
  <c r="AB197" i="1" s="1"/>
  <c r="T198" i="1"/>
  <c r="U198" i="1" s="1"/>
  <c r="AH198" i="1"/>
  <c r="AI198" i="1" s="1"/>
  <c r="AJ198" i="1"/>
  <c r="T204" i="1"/>
  <c r="U204" i="1" s="1"/>
  <c r="AH204" i="1"/>
  <c r="AI204" i="1" s="1"/>
  <c r="AJ204" i="1"/>
  <c r="AA212" i="1"/>
  <c r="AB212" i="1" s="1"/>
  <c r="V25" i="6"/>
  <c r="U14" i="2"/>
  <c r="T20" i="2"/>
  <c r="Y20" i="2"/>
  <c r="Z20" i="2" s="1"/>
  <c r="Y21" i="2"/>
  <c r="Z21" i="2" s="1"/>
  <c r="T24" i="2"/>
  <c r="S24" i="2"/>
  <c r="AF24" i="2"/>
  <c r="AG24" i="2" s="1"/>
  <c r="AH24" i="2"/>
  <c r="AA25" i="2"/>
  <c r="Y25" i="2"/>
  <c r="Z25" i="2" s="1"/>
  <c r="AH29" i="2"/>
  <c r="AH40" i="2"/>
  <c r="AF40" i="2"/>
  <c r="AG40" i="2" s="1"/>
  <c r="AG54" i="1"/>
  <c r="K17" i="5"/>
  <c r="AA45" i="2"/>
  <c r="K26" i="5"/>
  <c r="F41" i="5"/>
  <c r="G41" i="5" s="1"/>
  <c r="M48" i="2"/>
  <c r="S48" i="2"/>
  <c r="S49" i="2"/>
  <c r="Y52" i="2"/>
  <c r="Z52" i="2" s="1"/>
  <c r="AA52" i="2"/>
  <c r="Z73" i="1"/>
  <c r="T53" i="2"/>
  <c r="S53" i="2"/>
  <c r="T60" i="2"/>
  <c r="S60" i="2"/>
  <c r="S63" i="2"/>
  <c r="AA65" i="2"/>
  <c r="J34" i="5"/>
  <c r="K34" i="5" s="1"/>
  <c r="AA68" i="2"/>
  <c r="Y69" i="2"/>
  <c r="Z69" i="2" s="1"/>
  <c r="AA69" i="2"/>
  <c r="S72" i="2"/>
  <c r="T72" i="2"/>
  <c r="AF73" i="2"/>
  <c r="AG73" i="2" s="1"/>
  <c r="AG108" i="1"/>
  <c r="M14" i="5"/>
  <c r="AH73" i="2"/>
  <c r="I13" i="5"/>
  <c r="I24" i="5"/>
  <c r="S87" i="2"/>
  <c r="AH96" i="2"/>
  <c r="AF96" i="2"/>
  <c r="AG96" i="2" s="1"/>
  <c r="T113" i="2"/>
  <c r="S164" i="1"/>
  <c r="V164" i="1" s="1"/>
  <c r="S113" i="2"/>
  <c r="T117" i="2"/>
  <c r="S117" i="2"/>
  <c r="S170" i="1"/>
  <c r="V170" i="1" s="1"/>
  <c r="AF127" i="2"/>
  <c r="AG127" i="2" s="1"/>
  <c r="AH127" i="2"/>
  <c r="AF130" i="2"/>
  <c r="AG130" i="2" s="1"/>
  <c r="AG188" i="1"/>
  <c r="AH130" i="2"/>
  <c r="T136" i="2"/>
  <c r="S196" i="1"/>
  <c r="V196" i="1" s="1"/>
  <c r="T137" i="2"/>
  <c r="S137" i="2"/>
  <c r="I35" i="5"/>
  <c r="T141" i="2"/>
  <c r="S203" i="1"/>
  <c r="T142" i="2"/>
  <c r="S142" i="2"/>
  <c r="I12" i="5"/>
  <c r="K13" i="5"/>
  <c r="I14" i="5"/>
  <c r="S18" i="1"/>
  <c r="V18" i="1" s="1"/>
  <c r="T20" i="1"/>
  <c r="U20" i="1" s="1"/>
  <c r="S24" i="1"/>
  <c r="V24" i="1" s="1"/>
  <c r="AG24" i="1"/>
  <c r="AJ26" i="1"/>
  <c r="T27" i="1"/>
  <c r="U27" i="1" s="1"/>
  <c r="AG28" i="1"/>
  <c r="AC54" i="1"/>
  <c r="AC55" i="1"/>
  <c r="L66" i="1"/>
  <c r="S66" i="1"/>
  <c r="V66" i="1" s="1"/>
  <c r="Z68" i="1"/>
  <c r="AG68" i="1"/>
  <c r="S69" i="1"/>
  <c r="AJ75" i="1"/>
  <c r="AJ88" i="1"/>
  <c r="AA101" i="1"/>
  <c r="AB101" i="1" s="1"/>
  <c r="M108" i="1"/>
  <c r="N108" i="1" s="1"/>
  <c r="Z110" i="1"/>
  <c r="AA111" i="1"/>
  <c r="AB111" i="1" s="1"/>
  <c r="S113" i="1"/>
  <c r="V113" i="1" s="1"/>
  <c r="L114" i="1"/>
  <c r="M114" i="1" s="1"/>
  <c r="AC122" i="1"/>
  <c r="Z123" i="1"/>
  <c r="AH140" i="1"/>
  <c r="AI140" i="1" s="1"/>
  <c r="S141" i="1"/>
  <c r="V141" i="1" s="1"/>
  <c r="P143" i="1"/>
  <c r="M150" i="1"/>
  <c r="N150" i="1" s="1"/>
  <c r="O150" i="1"/>
  <c r="AD148" i="1"/>
  <c r="AD155" i="1"/>
  <c r="AD154" i="1" s="1"/>
  <c r="AC156" i="1"/>
  <c r="T160" i="1"/>
  <c r="U160" i="1" s="1"/>
  <c r="AH160" i="1"/>
  <c r="AI160" i="1" s="1"/>
  <c r="AJ160" i="1"/>
  <c r="W163" i="1"/>
  <c r="AC171" i="1"/>
  <c r="AA171" i="1"/>
  <c r="AB171" i="1" s="1"/>
  <c r="T197" i="1"/>
  <c r="U197" i="1" s="1"/>
  <c r="AH197" i="1"/>
  <c r="AI197" i="1" s="1"/>
  <c r="AJ197" i="1"/>
  <c r="AC204" i="1"/>
  <c r="AC206" i="1"/>
  <c r="AA206" i="1"/>
  <c r="AB206" i="1" s="1"/>
  <c r="T212" i="1"/>
  <c r="U212" i="1" s="1"/>
  <c r="K33" i="5"/>
  <c r="J13" i="16"/>
  <c r="Y15" i="2"/>
  <c r="Z15" i="2" s="1"/>
  <c r="AA15" i="2"/>
  <c r="AA18" i="2"/>
  <c r="S20" i="2"/>
  <c r="T21" i="2"/>
  <c r="S21" i="2"/>
  <c r="AA28" i="2"/>
  <c r="Z37" i="1"/>
  <c r="AA29" i="2"/>
  <c r="Y29" i="2"/>
  <c r="Z29" i="2" s="1"/>
  <c r="S35" i="2"/>
  <c r="T35" i="2"/>
  <c r="S46" i="1"/>
  <c r="V46" i="1" s="1"/>
  <c r="S36" i="2"/>
  <c r="S47" i="1"/>
  <c r="V47" i="1" s="1"/>
  <c r="T36" i="2"/>
  <c r="K48" i="2"/>
  <c r="Y65" i="2"/>
  <c r="Z65" i="2" s="1"/>
  <c r="Y68" i="2"/>
  <c r="Z68" i="2" s="1"/>
  <c r="AA75" i="2"/>
  <c r="Y75" i="2"/>
  <c r="Z75" i="2" s="1"/>
  <c r="M76" i="2"/>
  <c r="L112" i="1"/>
  <c r="M112" i="1" s="1"/>
  <c r="AH76" i="2"/>
  <c r="AF76" i="2"/>
  <c r="AG76" i="2" s="1"/>
  <c r="T87" i="2"/>
  <c r="S90" i="2"/>
  <c r="T90" i="2"/>
  <c r="S134" i="1"/>
  <c r="V134" i="1" s="1"/>
  <c r="S92" i="2"/>
  <c r="T92" i="2"/>
  <c r="AF100" i="2"/>
  <c r="AG100" i="2" s="1"/>
  <c r="AG146" i="1"/>
  <c r="AA103" i="2"/>
  <c r="Y103" i="2"/>
  <c r="Z103" i="2" s="1"/>
  <c r="AH106" i="2"/>
  <c r="AF106" i="2"/>
  <c r="AG106" i="2" s="1"/>
  <c r="Y110" i="2"/>
  <c r="Z110" i="2" s="1"/>
  <c r="AA110" i="2"/>
  <c r="T112" i="2"/>
  <c r="S112" i="2"/>
  <c r="S162" i="1"/>
  <c r="V162" i="1" s="1"/>
  <c r="AF126" i="2"/>
  <c r="AG126" i="2" s="1"/>
  <c r="AH126" i="2"/>
  <c r="AG182" i="1"/>
  <c r="AH128" i="2"/>
  <c r="S136" i="2"/>
  <c r="S141" i="2"/>
  <c r="K14" i="5"/>
  <c r="T22" i="2"/>
  <c r="S22" i="2"/>
  <c r="K29" i="2"/>
  <c r="M29" i="2"/>
  <c r="I43" i="5"/>
  <c r="S54" i="2"/>
  <c r="H39" i="5"/>
  <c r="I39" i="5" s="1"/>
  <c r="T58" i="2"/>
  <c r="J19" i="5"/>
  <c r="K19" i="5" s="1"/>
  <c r="J39" i="5"/>
  <c r="K39" i="5" s="1"/>
  <c r="L39" i="5"/>
  <c r="M39" i="5" s="1"/>
  <c r="L19" i="5"/>
  <c r="M19" i="5" s="1"/>
  <c r="AF58" i="2"/>
  <c r="AG58" i="2" s="1"/>
  <c r="K44" i="5"/>
  <c r="AA59" i="2"/>
  <c r="AF63" i="2"/>
  <c r="AG63" i="2" s="1"/>
  <c r="AH63" i="2"/>
  <c r="T69" i="2"/>
  <c r="S69" i="2"/>
  <c r="AA73" i="2"/>
  <c r="Y73" i="2"/>
  <c r="Z73" i="2" s="1"/>
  <c r="L122" i="1"/>
  <c r="M122" i="1" s="1"/>
  <c r="Y86" i="2"/>
  <c r="Z86" i="2" s="1"/>
  <c r="AA86" i="2"/>
  <c r="M98" i="2"/>
  <c r="Y98" i="2"/>
  <c r="Z98" i="2" s="1"/>
  <c r="Z144" i="1"/>
  <c r="AA100" i="2"/>
  <c r="Y100" i="2"/>
  <c r="Z100" i="2" s="1"/>
  <c r="K103" i="2"/>
  <c r="M103" i="2"/>
  <c r="K104" i="2"/>
  <c r="M104" i="2"/>
  <c r="AF108" i="2"/>
  <c r="AG108" i="2" s="1"/>
  <c r="AG158" i="1"/>
  <c r="S114" i="2"/>
  <c r="T114" i="2"/>
  <c r="Y117" i="2"/>
  <c r="Z117" i="2" s="1"/>
  <c r="AA117" i="2"/>
  <c r="Y120" i="2"/>
  <c r="Z120" i="2" s="1"/>
  <c r="Z175" i="1"/>
  <c r="AA123" i="2"/>
  <c r="Z178" i="1"/>
  <c r="Y124" i="2"/>
  <c r="Z124" i="2" s="1"/>
  <c r="Z179" i="1"/>
  <c r="Y128" i="2"/>
  <c r="Z128" i="2" s="1"/>
  <c r="AA128" i="2"/>
  <c r="AF131" i="2"/>
  <c r="AG131" i="2" s="1"/>
  <c r="AH131" i="2"/>
  <c r="AF136" i="2"/>
  <c r="AG136" i="2" s="1"/>
  <c r="AH136" i="2"/>
  <c r="S145" i="2"/>
  <c r="T145" i="2"/>
  <c r="AA146" i="2"/>
  <c r="K10" i="5"/>
  <c r="Y146" i="2"/>
  <c r="Z146" i="2" s="1"/>
  <c r="Z208" i="1"/>
  <c r="Z207" i="1" s="1"/>
  <c r="H19" i="5"/>
  <c r="I19" i="5" s="1"/>
  <c r="Z116" i="1"/>
  <c r="AG116" i="1"/>
  <c r="AH125" i="1"/>
  <c r="AI125" i="1" s="1"/>
  <c r="T130" i="1"/>
  <c r="U130" i="1" s="1"/>
  <c r="S140" i="1"/>
  <c r="V140" i="1" s="1"/>
  <c r="L144" i="1"/>
  <c r="S144" i="1"/>
  <c r="V144" i="1" s="1"/>
  <c r="Z146" i="1"/>
  <c r="AA151" i="1"/>
  <c r="AB151" i="1" s="1"/>
  <c r="S158" i="1"/>
  <c r="V158" i="1" s="1"/>
  <c r="Z158" i="1"/>
  <c r="T161" i="1"/>
  <c r="U161" i="1" s="1"/>
  <c r="AG163" i="1"/>
  <c r="AH164" i="1"/>
  <c r="AI164" i="1" s="1"/>
  <c r="AH165" i="1"/>
  <c r="AI165" i="1" s="1"/>
  <c r="T169" i="1"/>
  <c r="U169" i="1" s="1"/>
  <c r="S177" i="1"/>
  <c r="V177" i="1" s="1"/>
  <c r="AG177" i="1"/>
  <c r="AH178" i="1"/>
  <c r="AI178" i="1" s="1"/>
  <c r="T181" i="1"/>
  <c r="U181" i="1" s="1"/>
  <c r="S182" i="1"/>
  <c r="V182" i="1" s="1"/>
  <c r="T187" i="1"/>
  <c r="U187" i="1" s="1"/>
  <c r="Z188" i="1"/>
  <c r="AH191" i="1"/>
  <c r="AI191" i="1" s="1"/>
  <c r="AH192" i="1"/>
  <c r="AI192" i="1" s="1"/>
  <c r="AG196" i="1"/>
  <c r="T199" i="1"/>
  <c r="U199" i="1" s="1"/>
  <c r="AH209" i="1"/>
  <c r="AI209" i="1" s="1"/>
  <c r="AF21" i="2"/>
  <c r="AG21" i="2" s="1"/>
  <c r="AH21" i="2"/>
  <c r="S25" i="2"/>
  <c r="K36" i="5"/>
  <c r="AA27" i="2"/>
  <c r="AH28" i="2"/>
  <c r="AH35" i="2"/>
  <c r="AF35" i="2"/>
  <c r="AG35" i="2" s="1"/>
  <c r="T41" i="2"/>
  <c r="I26" i="5"/>
  <c r="I17" i="5"/>
  <c r="Y49" i="2"/>
  <c r="Z49" i="2" s="1"/>
  <c r="AA49" i="2"/>
  <c r="T54" i="2"/>
  <c r="S58" i="2"/>
  <c r="I44" i="5"/>
  <c r="T59" i="2"/>
  <c r="Y59" i="2"/>
  <c r="Z59" i="2" s="1"/>
  <c r="AH60" i="2"/>
  <c r="L34" i="5"/>
  <c r="M34" i="5" s="1"/>
  <c r="AF68" i="2"/>
  <c r="AG68" i="2" s="1"/>
  <c r="AH68" i="2"/>
  <c r="K73" i="2"/>
  <c r="M73" i="2"/>
  <c r="Z76" i="2"/>
  <c r="AA77" i="2"/>
  <c r="Z77" i="2"/>
  <c r="AH77" i="2"/>
  <c r="Y79" i="2"/>
  <c r="Z79" i="2" s="1"/>
  <c r="AF83" i="2"/>
  <c r="AG83" i="2" s="1"/>
  <c r="AF89" i="2"/>
  <c r="AG89" i="2" s="1"/>
  <c r="AH90" i="2"/>
  <c r="AF90" i="2"/>
  <c r="AG90" i="2" s="1"/>
  <c r="AF94" i="2"/>
  <c r="AG94" i="2" s="1"/>
  <c r="K98" i="2"/>
  <c r="S98" i="2"/>
  <c r="S99" i="2"/>
  <c r="S108" i="2"/>
  <c r="S109" i="2"/>
  <c r="T110" i="2"/>
  <c r="T116" i="2"/>
  <c r="Y118" i="2"/>
  <c r="Z118" i="2" s="1"/>
  <c r="AA118" i="2"/>
  <c r="T120" i="2"/>
  <c r="S120" i="2"/>
  <c r="AA120" i="2"/>
  <c r="S122" i="2"/>
  <c r="Y122" i="2"/>
  <c r="Z122" i="2" s="1"/>
  <c r="Y123" i="2"/>
  <c r="Z123" i="2" s="1"/>
  <c r="AA124" i="2"/>
  <c r="S126" i="2"/>
  <c r="T127" i="2"/>
  <c r="S127" i="2"/>
  <c r="T130" i="2"/>
  <c r="S130" i="2"/>
  <c r="AA130" i="2"/>
  <c r="AF132" i="2"/>
  <c r="AG132" i="2" s="1"/>
  <c r="AH132" i="2"/>
  <c r="K35" i="5"/>
  <c r="AA141" i="2"/>
  <c r="AH142" i="2"/>
  <c r="AD208" i="1"/>
  <c r="H23" i="5"/>
  <c r="M33" i="5"/>
  <c r="H13" i="16"/>
  <c r="AB26" i="2"/>
  <c r="J15" i="5"/>
  <c r="T57" i="2"/>
  <c r="AH87" i="2"/>
  <c r="N97" i="2"/>
  <c r="AA104" i="2"/>
  <c r="Y104" i="2"/>
  <c r="Z104" i="2" s="1"/>
  <c r="Y109" i="2"/>
  <c r="Z109" i="2" s="1"/>
  <c r="AA109" i="2"/>
  <c r="M114" i="2"/>
  <c r="K114" i="2"/>
  <c r="U119" i="2"/>
  <c r="AF123" i="2"/>
  <c r="AG123" i="2" s="1"/>
  <c r="AH123" i="2"/>
  <c r="T128" i="2"/>
  <c r="S128" i="2"/>
  <c r="K27" i="5"/>
  <c r="K18" i="5"/>
  <c r="M35" i="5"/>
  <c r="AF141" i="2"/>
  <c r="AG141" i="2" s="1"/>
  <c r="AH141" i="2"/>
  <c r="H32" i="5"/>
  <c r="I32" i="5" s="1"/>
  <c r="S150" i="2"/>
  <c r="I10" i="5"/>
  <c r="I18" i="5"/>
  <c r="L25" i="5"/>
  <c r="M25" i="5" s="1"/>
  <c r="I27" i="5"/>
  <c r="I36" i="5"/>
  <c r="M41" i="5"/>
  <c r="M43" i="5"/>
  <c r="K24" i="5"/>
  <c r="K102" i="2"/>
  <c r="H38" i="5"/>
  <c r="I38" i="5" s="1"/>
  <c r="T144" i="2"/>
  <c r="L38" i="5"/>
  <c r="M38" i="5" s="1"/>
  <c r="AF144" i="2"/>
  <c r="AG144" i="2" s="1"/>
  <c r="T152" i="2"/>
  <c r="H42" i="5"/>
  <c r="I42" i="5" s="1"/>
  <c r="AF152" i="2"/>
  <c r="AG152" i="2" s="1"/>
  <c r="L42" i="5"/>
  <c r="M42" i="5" s="1"/>
  <c r="D9" i="5"/>
  <c r="D65" i="5" s="1"/>
  <c r="P11" i="1" l="1"/>
  <c r="H7" i="2"/>
  <c r="AG11" i="1"/>
  <c r="Z11" i="1"/>
  <c r="Z8" i="1"/>
  <c r="X9" i="2"/>
  <c r="V13" i="1"/>
  <c r="E5" i="7"/>
  <c r="T13" i="1"/>
  <c r="AD11" i="1"/>
  <c r="F9" i="5"/>
  <c r="J9" i="2"/>
  <c r="J6" i="2" s="1"/>
  <c r="W10" i="1"/>
  <c r="K9" i="6"/>
  <c r="O13" i="1"/>
  <c r="C5" i="7"/>
  <c r="M13" i="1"/>
  <c r="AC12" i="1"/>
  <c r="G6" i="7"/>
  <c r="AA12" i="1"/>
  <c r="W11" i="1"/>
  <c r="AJ13" i="1"/>
  <c r="I5" i="7"/>
  <c r="AH13" i="1"/>
  <c r="AD10" i="1"/>
  <c r="W9" i="1"/>
  <c r="AC13" i="1"/>
  <c r="G5" i="7"/>
  <c r="AA13" i="1"/>
  <c r="O12" i="1"/>
  <c r="C6" i="7"/>
  <c r="M12" i="1"/>
  <c r="J11" i="1"/>
  <c r="AJ12" i="1"/>
  <c r="I6" i="7"/>
  <c r="AH12" i="1"/>
  <c r="E9" i="6"/>
  <c r="P10" i="1"/>
  <c r="S11" i="1"/>
  <c r="H8" i="1"/>
  <c r="H6" i="1" s="1"/>
  <c r="D11" i="10"/>
  <c r="L6" i="7" s="1"/>
  <c r="C12" i="6"/>
  <c r="E12" i="6" s="1"/>
  <c r="B6" i="7"/>
  <c r="V12" i="1"/>
  <c r="E6" i="7"/>
  <c r="T12" i="1"/>
  <c r="S8" i="1"/>
  <c r="C13" i="6"/>
  <c r="E13" i="6" s="1"/>
  <c r="D12" i="10"/>
  <c r="L5" i="7" s="1"/>
  <c r="B5" i="7"/>
  <c r="AD8" i="1"/>
  <c r="H9" i="5"/>
  <c r="I9" i="5" s="1"/>
  <c r="Q9" i="2"/>
  <c r="Q6" i="2" s="1"/>
  <c r="AE9" i="2"/>
  <c r="AE6" i="2" s="1"/>
  <c r="L9" i="5"/>
  <c r="L7" i="5" s="1"/>
  <c r="J9" i="5"/>
  <c r="J81" i="1"/>
  <c r="AA81" i="1"/>
  <c r="AB81" i="1" s="1"/>
  <c r="AH81" i="1"/>
  <c r="AI81" i="1" s="1"/>
  <c r="T81" i="1"/>
  <c r="J85" i="1"/>
  <c r="J84" i="1" s="1"/>
  <c r="I71" i="5"/>
  <c r="J107" i="1"/>
  <c r="J106" i="1" s="1"/>
  <c r="E20" i="6" s="1"/>
  <c r="D49" i="6" s="1"/>
  <c r="V203" i="1"/>
  <c r="S202" i="1"/>
  <c r="V202" i="1" s="1"/>
  <c r="H107" i="1"/>
  <c r="H106" i="1" s="1"/>
  <c r="AD107" i="1"/>
  <c r="AD106" i="1" s="1"/>
  <c r="D23" i="5"/>
  <c r="B21" i="5"/>
  <c r="D21" i="5" s="1"/>
  <c r="P107" i="1"/>
  <c r="P106" i="1" s="1"/>
  <c r="K20" i="6" s="1"/>
  <c r="S107" i="1"/>
  <c r="V107" i="1" s="1"/>
  <c r="W107" i="1"/>
  <c r="W106" i="1" s="1"/>
  <c r="P20" i="6" s="1"/>
  <c r="Z107" i="1"/>
  <c r="AG107" i="1"/>
  <c r="H40" i="1"/>
  <c r="H39" i="1" s="1"/>
  <c r="C17" i="6" s="1"/>
  <c r="B46" i="6" s="1"/>
  <c r="I46" i="6" s="1"/>
  <c r="AL39" i="2"/>
  <c r="AL37" i="2"/>
  <c r="AL31" i="2"/>
  <c r="AL34" i="2"/>
  <c r="AL38" i="2"/>
  <c r="AL32" i="2"/>
  <c r="K37" i="2"/>
  <c r="L37" i="2" s="1"/>
  <c r="L48" i="1"/>
  <c r="M37" i="2"/>
  <c r="AF37" i="2"/>
  <c r="AG37" i="2" s="1"/>
  <c r="AG48" i="1"/>
  <c r="AH37" i="2"/>
  <c r="R37" i="2"/>
  <c r="S37" i="2" s="1"/>
  <c r="S48" i="1"/>
  <c r="T37" i="2"/>
  <c r="Z48" i="1"/>
  <c r="Y37" i="2"/>
  <c r="Z37" i="2" s="1"/>
  <c r="AA37" i="2"/>
  <c r="J41" i="1"/>
  <c r="J143" i="1"/>
  <c r="L45" i="1"/>
  <c r="O45" i="1" s="1"/>
  <c r="L51" i="1"/>
  <c r="O51" i="1" s="1"/>
  <c r="L43" i="1"/>
  <c r="O43" i="1" s="1"/>
  <c r="K31" i="2"/>
  <c r="N7" i="16"/>
  <c r="N6" i="16"/>
  <c r="N9" i="16"/>
  <c r="AD91" i="1"/>
  <c r="AD80" i="1" s="1"/>
  <c r="U19" i="6" s="1"/>
  <c r="W91" i="1"/>
  <c r="W80" i="1" s="1"/>
  <c r="P19" i="6" s="1"/>
  <c r="H80" i="1"/>
  <c r="P91" i="1"/>
  <c r="P80" i="1" s="1"/>
  <c r="K19" i="6" s="1"/>
  <c r="D10" i="10"/>
  <c r="L7" i="7" s="1"/>
  <c r="AH33" i="1"/>
  <c r="AI33" i="1" s="1"/>
  <c r="M12" i="5"/>
  <c r="H9" i="16"/>
  <c r="I9" i="16" s="1"/>
  <c r="H7" i="16"/>
  <c r="I7" i="16" s="1"/>
  <c r="M15" i="5"/>
  <c r="H6" i="16"/>
  <c r="I6" i="16" s="1"/>
  <c r="J7" i="16"/>
  <c r="K12" i="5"/>
  <c r="J9" i="16"/>
  <c r="K9" i="16" s="1"/>
  <c r="K15" i="5"/>
  <c r="J6" i="16"/>
  <c r="V69" i="1"/>
  <c r="T69" i="1"/>
  <c r="U69" i="1" s="1"/>
  <c r="H21" i="5"/>
  <c r="V110" i="1"/>
  <c r="J133" i="1"/>
  <c r="J132" i="1" s="1"/>
  <c r="J156" i="1"/>
  <c r="J154" i="1" s="1"/>
  <c r="J153" i="1" s="1"/>
  <c r="AD185" i="1"/>
  <c r="W185" i="1"/>
  <c r="H185" i="1"/>
  <c r="H153" i="1"/>
  <c r="H142" i="1" s="1"/>
  <c r="C22" i="6" s="1"/>
  <c r="B51" i="6" s="1"/>
  <c r="I51" i="6" s="1"/>
  <c r="J185" i="1"/>
  <c r="V186" i="1"/>
  <c r="P185" i="1"/>
  <c r="O138" i="1"/>
  <c r="M138" i="1"/>
  <c r="N138" i="1" s="1"/>
  <c r="P77" i="1"/>
  <c r="P76" i="1" s="1"/>
  <c r="T31" i="2"/>
  <c r="AH31" i="2"/>
  <c r="Y7" i="2"/>
  <c r="Z7" i="2" s="1"/>
  <c r="D11" i="5"/>
  <c r="D67" i="5" s="1"/>
  <c r="S190" i="1"/>
  <c r="V190" i="1" s="1"/>
  <c r="V191" i="1"/>
  <c r="T124" i="1"/>
  <c r="U124" i="1" s="1"/>
  <c r="V124" i="1"/>
  <c r="T34" i="2"/>
  <c r="AG50" i="1"/>
  <c r="AJ50" i="1" s="1"/>
  <c r="AF38" i="2"/>
  <c r="AG38" i="2" s="1"/>
  <c r="R97" i="2"/>
  <c r="S97" i="2" s="1"/>
  <c r="T32" i="2"/>
  <c r="S43" i="1"/>
  <c r="V43" i="1" s="1"/>
  <c r="R31" i="2"/>
  <c r="S31" i="2" s="1"/>
  <c r="Q30" i="2"/>
  <c r="L42" i="1"/>
  <c r="O42" i="1" s="1"/>
  <c r="S51" i="1"/>
  <c r="V51" i="1" s="1"/>
  <c r="M20" i="1"/>
  <c r="N20" i="1" s="1"/>
  <c r="O20" i="1"/>
  <c r="T39" i="2"/>
  <c r="S34" i="2"/>
  <c r="M32" i="2"/>
  <c r="AF31" i="2"/>
  <c r="AG31" i="2" s="1"/>
  <c r="K32" i="2"/>
  <c r="S45" i="1"/>
  <c r="V45" i="1" s="1"/>
  <c r="S50" i="1"/>
  <c r="V50" i="1" s="1"/>
  <c r="H31" i="5"/>
  <c r="I31" i="5" s="1"/>
  <c r="T38" i="2"/>
  <c r="J49" i="1"/>
  <c r="M34" i="2"/>
  <c r="J127" i="1"/>
  <c r="K38" i="2"/>
  <c r="L50" i="1"/>
  <c r="X30" i="2"/>
  <c r="AL30" i="2" s="1"/>
  <c r="Y31" i="2"/>
  <c r="Z31" i="2" s="1"/>
  <c r="Z42" i="1"/>
  <c r="AA31" i="2"/>
  <c r="M39" i="2"/>
  <c r="M38" i="2"/>
  <c r="AE30" i="2"/>
  <c r="AG42" i="1"/>
  <c r="AF39" i="2"/>
  <c r="AG39" i="2" s="1"/>
  <c r="AH39" i="2"/>
  <c r="AG51" i="1"/>
  <c r="AG43" i="1"/>
  <c r="AF32" i="2"/>
  <c r="AG32" i="2" s="1"/>
  <c r="AH32" i="2"/>
  <c r="J31" i="5"/>
  <c r="K31" i="5" s="1"/>
  <c r="K39" i="2"/>
  <c r="AA38" i="2"/>
  <c r="Y38" i="2"/>
  <c r="Z38" i="2" s="1"/>
  <c r="Z50" i="1"/>
  <c r="J30" i="2"/>
  <c r="M31" i="2"/>
  <c r="AH34" i="2"/>
  <c r="AG45" i="1"/>
  <c r="K34" i="2"/>
  <c r="L31" i="5"/>
  <c r="M31" i="5" s="1"/>
  <c r="AA32" i="2"/>
  <c r="Y32" i="2"/>
  <c r="Z32" i="2" s="1"/>
  <c r="Z43" i="1"/>
  <c r="S42" i="1"/>
  <c r="Y39" i="2"/>
  <c r="Z39" i="2" s="1"/>
  <c r="Z51" i="1"/>
  <c r="AA39" i="2"/>
  <c r="Y34" i="2"/>
  <c r="Z34" i="2" s="1"/>
  <c r="AA34" i="2"/>
  <c r="Z45" i="1"/>
  <c r="AD207" i="1"/>
  <c r="U24" i="6" s="1"/>
  <c r="J207" i="1"/>
  <c r="E24" i="6" s="1"/>
  <c r="D53" i="6" s="1"/>
  <c r="P207" i="1"/>
  <c r="K24" i="6" s="1"/>
  <c r="AA159" i="1"/>
  <c r="AB159" i="1" s="1"/>
  <c r="AJ65" i="1"/>
  <c r="J64" i="1"/>
  <c r="E18" i="6" s="1"/>
  <c r="D47" i="6" s="1"/>
  <c r="J173" i="1"/>
  <c r="AH159" i="1"/>
  <c r="AI159" i="1" s="1"/>
  <c r="T159" i="1"/>
  <c r="U159" i="1" s="1"/>
  <c r="J23" i="1"/>
  <c r="J15" i="1" s="1"/>
  <c r="D9" i="6"/>
  <c r="AJ121" i="1"/>
  <c r="D19" i="6"/>
  <c r="C48" i="6" s="1"/>
  <c r="AA156" i="1"/>
  <c r="AB156" i="1" s="1"/>
  <c r="H173" i="1"/>
  <c r="AA100" i="1"/>
  <c r="AB100" i="1" s="1"/>
  <c r="AH156" i="1"/>
  <c r="AI156" i="1" s="1"/>
  <c r="T156" i="1"/>
  <c r="U156" i="1" s="1"/>
  <c r="D15" i="6"/>
  <c r="C44" i="6" s="1"/>
  <c r="T148" i="1"/>
  <c r="U148" i="1" s="1"/>
  <c r="D40" i="5"/>
  <c r="AH72" i="1"/>
  <c r="AI72" i="1" s="1"/>
  <c r="I11" i="5"/>
  <c r="K23" i="5"/>
  <c r="M23" i="5"/>
  <c r="D20" i="6"/>
  <c r="C49" i="6" s="1"/>
  <c r="D22" i="6"/>
  <c r="C51" i="6" s="1"/>
  <c r="O25" i="6"/>
  <c r="N151" i="1"/>
  <c r="N88" i="1"/>
  <c r="N22" i="1"/>
  <c r="M11" i="5"/>
  <c r="H23" i="1"/>
  <c r="H15" i="1" s="1"/>
  <c r="AC9" i="1"/>
  <c r="T9" i="6" s="1"/>
  <c r="G7" i="7"/>
  <c r="K11" i="5"/>
  <c r="AH77" i="1"/>
  <c r="AI77" i="1" s="1"/>
  <c r="AA9" i="1"/>
  <c r="H7" i="7" s="1"/>
  <c r="E7" i="7"/>
  <c r="C9" i="6"/>
  <c r="B7" i="7"/>
  <c r="AC17" i="1"/>
  <c r="Q9" i="6"/>
  <c r="O9" i="1"/>
  <c r="C7" i="7"/>
  <c r="H126" i="1"/>
  <c r="C21" i="6" s="1"/>
  <c r="B50" i="6" s="1"/>
  <c r="I50" i="6" s="1"/>
  <c r="Z52" i="1"/>
  <c r="AA52" i="1" s="1"/>
  <c r="AB52" i="1" s="1"/>
  <c r="T94" i="1"/>
  <c r="U94" i="1" s="1"/>
  <c r="H64" i="1"/>
  <c r="AA154" i="1"/>
  <c r="AB154" i="1" s="1"/>
  <c r="AA76" i="1"/>
  <c r="AB76" i="1" s="1"/>
  <c r="D18" i="6"/>
  <c r="C47" i="6" s="1"/>
  <c r="D17" i="6"/>
  <c r="C46" i="6" s="1"/>
  <c r="T9" i="1"/>
  <c r="W133" i="1"/>
  <c r="W132" i="1" s="1"/>
  <c r="W126" i="1" s="1"/>
  <c r="P21" i="6" s="1"/>
  <c r="AH17" i="1"/>
  <c r="AI17" i="1" s="1"/>
  <c r="L9" i="6"/>
  <c r="G9" i="6"/>
  <c r="M9" i="1"/>
  <c r="D7" i="7" s="1"/>
  <c r="AC33" i="1"/>
  <c r="AH121" i="1"/>
  <c r="AI121" i="1" s="1"/>
  <c r="AA53" i="1"/>
  <c r="AB53" i="1" s="1"/>
  <c r="AA129" i="1"/>
  <c r="AB129" i="1" s="1"/>
  <c r="L25" i="6"/>
  <c r="P173" i="1"/>
  <c r="W64" i="1"/>
  <c r="P18" i="6" s="1"/>
  <c r="AD126" i="1"/>
  <c r="U21" i="6" s="1"/>
  <c r="W40" i="1"/>
  <c r="W39" i="1" s="1"/>
  <c r="P17" i="6" s="1"/>
  <c r="AA77" i="1"/>
  <c r="AB77" i="1" s="1"/>
  <c r="AA56" i="1"/>
  <c r="AB56" i="1" s="1"/>
  <c r="S76" i="1"/>
  <c r="V76" i="1" s="1"/>
  <c r="O79" i="1"/>
  <c r="N79" i="1" s="1"/>
  <c r="H97" i="2"/>
  <c r="AJ77" i="1"/>
  <c r="AH65" i="1"/>
  <c r="AI65" i="1" s="1"/>
  <c r="AD64" i="1"/>
  <c r="U18" i="6" s="1"/>
  <c r="AA17" i="1"/>
  <c r="AB17" i="1" s="1"/>
  <c r="AD153" i="1"/>
  <c r="AD142" i="1" s="1"/>
  <c r="U22" i="6" s="1"/>
  <c r="W23" i="1"/>
  <c r="W15" i="1" s="1"/>
  <c r="O149" i="1"/>
  <c r="N149" i="1" s="1"/>
  <c r="P23" i="1"/>
  <c r="P15" i="1" s="1"/>
  <c r="W173" i="1"/>
  <c r="P40" i="1"/>
  <c r="P39" i="1" s="1"/>
  <c r="T211" i="1"/>
  <c r="AD40" i="1"/>
  <c r="AD39" i="1" s="1"/>
  <c r="U17" i="6" s="1"/>
  <c r="AA211" i="1"/>
  <c r="AB211" i="1" s="1"/>
  <c r="S25" i="6" s="1"/>
  <c r="P153" i="1"/>
  <c r="P142" i="1" s="1"/>
  <c r="K22" i="6" s="1"/>
  <c r="AC211" i="1"/>
  <c r="T25" i="6" s="1"/>
  <c r="M96" i="1"/>
  <c r="N96" i="1" s="1"/>
  <c r="T77" i="1"/>
  <c r="U77" i="1" s="1"/>
  <c r="T38" i="1"/>
  <c r="U38" i="1" s="1"/>
  <c r="AD173" i="1"/>
  <c r="T154" i="1"/>
  <c r="U154" i="1" s="1"/>
  <c r="W153" i="1"/>
  <c r="W142" i="1" s="1"/>
  <c r="P22" i="6" s="1"/>
  <c r="AD23" i="1"/>
  <c r="AD15" i="1" s="1"/>
  <c r="Q26" i="6"/>
  <c r="AC213" i="1"/>
  <c r="T26" i="6" s="1"/>
  <c r="V9" i="6"/>
  <c r="AH9" i="1"/>
  <c r="J7" i="7" s="1"/>
  <c r="AJ9" i="1"/>
  <c r="Y9" i="6" s="1"/>
  <c r="AH190" i="1"/>
  <c r="AI190" i="1" s="1"/>
  <c r="AH89" i="1"/>
  <c r="AI89" i="1" s="1"/>
  <c r="AJ89" i="1"/>
  <c r="AG76" i="1"/>
  <c r="AJ76" i="1" s="1"/>
  <c r="AG16" i="1"/>
  <c r="AJ16" i="1" s="1"/>
  <c r="AH154" i="1"/>
  <c r="AI154" i="1" s="1"/>
  <c r="AH124" i="1"/>
  <c r="AI124" i="1" s="1"/>
  <c r="AJ17" i="1"/>
  <c r="AJ81" i="1"/>
  <c r="L40" i="5"/>
  <c r="M40" i="5" s="1"/>
  <c r="AH56" i="1"/>
  <c r="AI56" i="1" s="1"/>
  <c r="AG14" i="2"/>
  <c r="AB213" i="1"/>
  <c r="S26" i="6" s="1"/>
  <c r="R26" i="6"/>
  <c r="AA190" i="1"/>
  <c r="AB190" i="1" s="1"/>
  <c r="AC190" i="1"/>
  <c r="AA166" i="1"/>
  <c r="AB166" i="1" s="1"/>
  <c r="AC166" i="1"/>
  <c r="AC139" i="1"/>
  <c r="AA139" i="1"/>
  <c r="AB139" i="1" s="1"/>
  <c r="Z127" i="1"/>
  <c r="AC129" i="1"/>
  <c r="AC124" i="1"/>
  <c r="AA124" i="1"/>
  <c r="AB124" i="1" s="1"/>
  <c r="AA92" i="1"/>
  <c r="AB92" i="1" s="1"/>
  <c r="AC77" i="1"/>
  <c r="AC76" i="1"/>
  <c r="AC16" i="1"/>
  <c r="AA16" i="1"/>
  <c r="AB16" i="1" s="1"/>
  <c r="T213" i="1"/>
  <c r="U213" i="1" s="1"/>
  <c r="L26" i="6"/>
  <c r="T110" i="1"/>
  <c r="U110" i="1" s="1"/>
  <c r="T19" i="1"/>
  <c r="U19" i="1" s="1"/>
  <c r="M199" i="1"/>
  <c r="N199" i="1" s="1"/>
  <c r="O22" i="1"/>
  <c r="O147" i="1"/>
  <c r="M147" i="1"/>
  <c r="N147" i="1" s="1"/>
  <c r="M72" i="1"/>
  <c r="N72" i="1" s="1"/>
  <c r="O88" i="1"/>
  <c r="M103" i="1"/>
  <c r="N103" i="1" s="1"/>
  <c r="O206" i="1"/>
  <c r="M206" i="1"/>
  <c r="N206" i="1" s="1"/>
  <c r="M156" i="1"/>
  <c r="S36" i="1"/>
  <c r="T21" i="1"/>
  <c r="U21" i="1" s="1"/>
  <c r="T22" i="1"/>
  <c r="U22" i="1" s="1"/>
  <c r="T55" i="1"/>
  <c r="U55" i="1" s="1"/>
  <c r="T57" i="1"/>
  <c r="U57" i="1" s="1"/>
  <c r="S56" i="1"/>
  <c r="V56" i="1" s="1"/>
  <c r="T29" i="1"/>
  <c r="U29" i="1" s="1"/>
  <c r="S28" i="1"/>
  <c r="O156" i="1"/>
  <c r="T33" i="1"/>
  <c r="U33" i="1" s="1"/>
  <c r="O203" i="1"/>
  <c r="M203" i="1"/>
  <c r="N203" i="1" s="1"/>
  <c r="M145" i="1"/>
  <c r="N145" i="1" s="1"/>
  <c r="M198" i="1"/>
  <c r="N198" i="1" s="1"/>
  <c r="O198" i="1"/>
  <c r="P32" i="1"/>
  <c r="K16" i="6" s="1"/>
  <c r="M101" i="1"/>
  <c r="N101" i="1" s="1"/>
  <c r="O101" i="1"/>
  <c r="M86" i="1"/>
  <c r="O86" i="1"/>
  <c r="S26" i="2"/>
  <c r="T26" i="2"/>
  <c r="I23" i="5"/>
  <c r="T182" i="1"/>
  <c r="U182" i="1" s="1"/>
  <c r="S180" i="1"/>
  <c r="V180" i="1" s="1"/>
  <c r="T177" i="1"/>
  <c r="U177" i="1" s="1"/>
  <c r="S174" i="1"/>
  <c r="V174" i="1" s="1"/>
  <c r="AJ163" i="1"/>
  <c r="AH163" i="1"/>
  <c r="AI163" i="1" s="1"/>
  <c r="S157" i="1"/>
  <c r="V157" i="1" s="1"/>
  <c r="T158" i="1"/>
  <c r="U158" i="1" s="1"/>
  <c r="T144" i="1"/>
  <c r="U144" i="1" s="1"/>
  <c r="S143" i="1"/>
  <c r="V143" i="1" s="1"/>
  <c r="U83" i="1"/>
  <c r="AA179" i="1"/>
  <c r="AB179" i="1" s="1"/>
  <c r="AC179" i="1"/>
  <c r="Z174" i="1"/>
  <c r="AC175" i="1"/>
  <c r="AA175" i="1"/>
  <c r="AB175" i="1" s="1"/>
  <c r="AG157" i="1"/>
  <c r="AH158" i="1"/>
  <c r="AI158" i="1" s="1"/>
  <c r="AJ158" i="1"/>
  <c r="Z143" i="1"/>
  <c r="AA144" i="1"/>
  <c r="AB144" i="1" s="1"/>
  <c r="AC144" i="1"/>
  <c r="O112" i="1"/>
  <c r="T46" i="1"/>
  <c r="U46" i="1" s="1"/>
  <c r="T113" i="1"/>
  <c r="U113" i="1" s="1"/>
  <c r="Z67" i="1"/>
  <c r="AC68" i="1"/>
  <c r="AA68" i="1"/>
  <c r="AB68" i="1" s="1"/>
  <c r="AG35" i="1"/>
  <c r="AJ36" i="1"/>
  <c r="AH36" i="1"/>
  <c r="AI36" i="1" s="1"/>
  <c r="AH24" i="1"/>
  <c r="AI24" i="1" s="1"/>
  <c r="AJ24" i="1"/>
  <c r="AG23" i="1"/>
  <c r="T203" i="1"/>
  <c r="U203" i="1" s="1"/>
  <c r="AH188" i="1"/>
  <c r="AI188" i="1" s="1"/>
  <c r="AJ188" i="1"/>
  <c r="AG186" i="1"/>
  <c r="AA96" i="1"/>
  <c r="AB96" i="1" s="1"/>
  <c r="AC96" i="1"/>
  <c r="Z72" i="1"/>
  <c r="AC73" i="1"/>
  <c r="AA73" i="1"/>
  <c r="AB73" i="1" s="1"/>
  <c r="AC60" i="1"/>
  <c r="Z58" i="1"/>
  <c r="AA60" i="1"/>
  <c r="AB60" i="1" s="1"/>
  <c r="AG53" i="1"/>
  <c r="AJ54" i="1"/>
  <c r="AH54" i="1"/>
  <c r="AI54" i="1" s="1"/>
  <c r="AJ179" i="1"/>
  <c r="AH179" i="1"/>
  <c r="AI179" i="1" s="1"/>
  <c r="T93" i="1"/>
  <c r="U93" i="1" s="1"/>
  <c r="AA195" i="1"/>
  <c r="AB195" i="1" s="1"/>
  <c r="AC195" i="1"/>
  <c r="T121" i="1"/>
  <c r="U121" i="1" s="1"/>
  <c r="S120" i="1"/>
  <c r="V120" i="1" s="1"/>
  <c r="T73" i="1"/>
  <c r="U73" i="1" s="1"/>
  <c r="S72" i="1"/>
  <c r="V72" i="1" s="1"/>
  <c r="T54" i="1"/>
  <c r="U54" i="1" s="1"/>
  <c r="S53" i="1"/>
  <c r="V53" i="1" s="1"/>
  <c r="AA165" i="1"/>
  <c r="AB165" i="1" s="1"/>
  <c r="AC165" i="1"/>
  <c r="M21" i="1"/>
  <c r="N21" i="1" s="1"/>
  <c r="O21" i="1"/>
  <c r="AA113" i="1"/>
  <c r="AB113" i="1" s="1"/>
  <c r="AC113" i="1"/>
  <c r="K22" i="5"/>
  <c r="J21" i="5"/>
  <c r="T119" i="2"/>
  <c r="S119" i="2"/>
  <c r="Y26" i="2"/>
  <c r="Z26" i="2" s="1"/>
  <c r="AA26" i="2"/>
  <c r="AH196" i="1"/>
  <c r="AI196" i="1" s="1"/>
  <c r="AG195" i="1"/>
  <c r="AJ196" i="1"/>
  <c r="AC188" i="1"/>
  <c r="AA188" i="1"/>
  <c r="AB188" i="1" s="1"/>
  <c r="Z186" i="1"/>
  <c r="Z185" i="1" s="1"/>
  <c r="O144" i="1"/>
  <c r="M144" i="1"/>
  <c r="AH116" i="1"/>
  <c r="AI116" i="1" s="1"/>
  <c r="AJ116" i="1"/>
  <c r="AA145" i="2"/>
  <c r="Y145" i="2"/>
  <c r="Z145" i="2" s="1"/>
  <c r="Y97" i="2"/>
  <c r="Z97" i="2" s="1"/>
  <c r="AA97" i="2"/>
  <c r="AA72" i="2"/>
  <c r="Y72" i="2"/>
  <c r="Z72" i="2" s="1"/>
  <c r="AA119" i="2"/>
  <c r="Y119" i="2"/>
  <c r="Z119" i="2" s="1"/>
  <c r="Z36" i="1"/>
  <c r="AA37" i="1"/>
  <c r="AB37" i="1" s="1"/>
  <c r="AC37" i="1"/>
  <c r="AH92" i="1"/>
  <c r="AI92" i="1" s="1"/>
  <c r="AJ92" i="1"/>
  <c r="AC85" i="1"/>
  <c r="AA85" i="1"/>
  <c r="AB85" i="1" s="1"/>
  <c r="T66" i="1"/>
  <c r="U66" i="1" s="1"/>
  <c r="S65" i="1"/>
  <c r="AJ28" i="1"/>
  <c r="AH28" i="1"/>
  <c r="AI28" i="1" s="1"/>
  <c r="T24" i="1"/>
  <c r="U24" i="1" s="1"/>
  <c r="T18" i="1"/>
  <c r="U18" i="1" s="1"/>
  <c r="S17" i="1"/>
  <c r="V17" i="1" s="1"/>
  <c r="S195" i="1"/>
  <c r="V195" i="1" s="1"/>
  <c r="T196" i="1"/>
  <c r="U196" i="1" s="1"/>
  <c r="AJ113" i="1"/>
  <c r="AH113" i="1"/>
  <c r="AI113" i="1" s="1"/>
  <c r="AH110" i="1"/>
  <c r="AI110" i="1" s="1"/>
  <c r="AJ110" i="1"/>
  <c r="AH85" i="1"/>
  <c r="AI85" i="1" s="1"/>
  <c r="AJ85" i="1"/>
  <c r="AH74" i="1"/>
  <c r="AI74" i="1" s="1"/>
  <c r="AJ74" i="1"/>
  <c r="AA27" i="1"/>
  <c r="AB27" i="1" s="1"/>
  <c r="AC27" i="1"/>
  <c r="AF119" i="2"/>
  <c r="AG119" i="2" s="1"/>
  <c r="AH119" i="2"/>
  <c r="T179" i="1"/>
  <c r="U179" i="1" s="1"/>
  <c r="AA145" i="1"/>
  <c r="AB145" i="1" s="1"/>
  <c r="AC145" i="1"/>
  <c r="AH26" i="2"/>
  <c r="AF26" i="2"/>
  <c r="AG26" i="2" s="1"/>
  <c r="Z132" i="1"/>
  <c r="AC133" i="1"/>
  <c r="AA133" i="1"/>
  <c r="AB133" i="1" s="1"/>
  <c r="M22" i="5"/>
  <c r="AA169" i="1"/>
  <c r="AB169" i="1" s="1"/>
  <c r="Z168" i="1"/>
  <c r="AC169" i="1"/>
  <c r="AH151" i="1"/>
  <c r="AI151" i="1" s="1"/>
  <c r="AJ151" i="1"/>
  <c r="AJ213" i="1"/>
  <c r="Y26" i="6" s="1"/>
  <c r="V26" i="6"/>
  <c r="AH213" i="1"/>
  <c r="AJ207" i="1"/>
  <c r="Y24" i="6" s="1"/>
  <c r="V24" i="6"/>
  <c r="AH207" i="1"/>
  <c r="AG148" i="1"/>
  <c r="S151" i="2"/>
  <c r="T56" i="2"/>
  <c r="T207" i="1"/>
  <c r="U207" i="1" s="1"/>
  <c r="L24" i="6"/>
  <c r="AA146" i="1"/>
  <c r="AB146" i="1" s="1"/>
  <c r="AC146" i="1"/>
  <c r="T140" i="1"/>
  <c r="U140" i="1" s="1"/>
  <c r="S139" i="1"/>
  <c r="V139" i="1" s="1"/>
  <c r="AC116" i="1"/>
  <c r="AA116" i="1"/>
  <c r="AB116" i="1" s="1"/>
  <c r="AA208" i="1"/>
  <c r="AB208" i="1" s="1"/>
  <c r="AC208" i="1"/>
  <c r="AA178" i="1"/>
  <c r="AB178" i="1" s="1"/>
  <c r="AC178" i="1"/>
  <c r="O122" i="1"/>
  <c r="AH182" i="1"/>
  <c r="AI182" i="1" s="1"/>
  <c r="AG180" i="1"/>
  <c r="AJ182" i="1"/>
  <c r="T162" i="1"/>
  <c r="U162" i="1" s="1"/>
  <c r="AH146" i="1"/>
  <c r="AI146" i="1" s="1"/>
  <c r="AG143" i="1"/>
  <c r="AJ146" i="1"/>
  <c r="S133" i="1"/>
  <c r="V133" i="1" s="1"/>
  <c r="T134" i="1"/>
  <c r="U134" i="1" s="1"/>
  <c r="T47" i="1"/>
  <c r="U47" i="1" s="1"/>
  <c r="AF14" i="2"/>
  <c r="AH14" i="2"/>
  <c r="AJ120" i="1"/>
  <c r="AH120" i="1"/>
  <c r="AI120" i="1" s="1"/>
  <c r="AC110" i="1"/>
  <c r="AA110" i="1"/>
  <c r="AB110" i="1" s="1"/>
  <c r="S68" i="1"/>
  <c r="V68" i="1" s="1"/>
  <c r="L65" i="1"/>
  <c r="O66" i="1"/>
  <c r="M66" i="1"/>
  <c r="N66" i="1" s="1"/>
  <c r="AJ108" i="1"/>
  <c r="AH108" i="1"/>
  <c r="AI108" i="1" s="1"/>
  <c r="AA103" i="1"/>
  <c r="AB103" i="1" s="1"/>
  <c r="AC103" i="1"/>
  <c r="AH202" i="1"/>
  <c r="AI202" i="1" s="1"/>
  <c r="AG201" i="1"/>
  <c r="AJ202" i="1"/>
  <c r="AC183" i="1"/>
  <c r="AA183" i="1"/>
  <c r="AB183" i="1" s="1"/>
  <c r="AJ139" i="1"/>
  <c r="AH139" i="1"/>
  <c r="AI139" i="1" s="1"/>
  <c r="T89" i="1"/>
  <c r="U89" i="1" s="1"/>
  <c r="T74" i="1"/>
  <c r="U74" i="1" s="1"/>
  <c r="T59" i="1"/>
  <c r="U59" i="1" s="1"/>
  <c r="S58" i="1"/>
  <c r="V58" i="1" s="1"/>
  <c r="Y149" i="2"/>
  <c r="Z149" i="2" s="1"/>
  <c r="AA149" i="2"/>
  <c r="AC182" i="1"/>
  <c r="AA182" i="1"/>
  <c r="AB182" i="1" s="1"/>
  <c r="Z180" i="1"/>
  <c r="AA162" i="1"/>
  <c r="AB162" i="1" s="1"/>
  <c r="AC162" i="1"/>
  <c r="AH130" i="1"/>
  <c r="AI130" i="1" s="1"/>
  <c r="AG129" i="1"/>
  <c r="AJ130" i="1"/>
  <c r="AH96" i="1"/>
  <c r="AI96" i="1" s="1"/>
  <c r="AJ38" i="1"/>
  <c r="AH38" i="1"/>
  <c r="AI38" i="1" s="1"/>
  <c r="AA14" i="2"/>
  <c r="Y14" i="2"/>
  <c r="Z14" i="2" s="1"/>
  <c r="AH168" i="1"/>
  <c r="AI168" i="1" s="1"/>
  <c r="AJ168" i="1"/>
  <c r="T191" i="1"/>
  <c r="U191" i="1" s="1"/>
  <c r="Z163" i="1"/>
  <c r="AA164" i="1"/>
  <c r="AB164" i="1" s="1"/>
  <c r="AC164" i="1"/>
  <c r="T101" i="1"/>
  <c r="U101" i="1" s="1"/>
  <c r="Z65" i="1"/>
  <c r="AA66" i="1"/>
  <c r="AB66" i="1" s="1"/>
  <c r="AC66" i="1"/>
  <c r="K41" i="5"/>
  <c r="J40" i="5"/>
  <c r="K40" i="5" s="1"/>
  <c r="Z28" i="1"/>
  <c r="AC30" i="1"/>
  <c r="AA30" i="1"/>
  <c r="AB30" i="1" s="1"/>
  <c r="W25" i="6"/>
  <c r="AI211" i="1"/>
  <c r="X25" i="6" s="1"/>
  <c r="P133" i="1"/>
  <c r="P132" i="1" s="1"/>
  <c r="P126" i="1" s="1"/>
  <c r="AJ177" i="1"/>
  <c r="AH177" i="1"/>
  <c r="AI177" i="1" s="1"/>
  <c r="AG174" i="1"/>
  <c r="AA158" i="1"/>
  <c r="AB158" i="1" s="1"/>
  <c r="Z157" i="1"/>
  <c r="AC158" i="1"/>
  <c r="T97" i="2"/>
  <c r="AF97" i="2"/>
  <c r="AG97" i="2" s="1"/>
  <c r="AH97" i="2"/>
  <c r="T14" i="2"/>
  <c r="S14" i="2"/>
  <c r="Z201" i="1"/>
  <c r="AA202" i="1"/>
  <c r="AB202" i="1" s="1"/>
  <c r="AC202" i="1"/>
  <c r="T141" i="1"/>
  <c r="U141" i="1" s="1"/>
  <c r="AC123" i="1"/>
  <c r="Z121" i="1"/>
  <c r="AA123" i="1"/>
  <c r="AB123" i="1" s="1"/>
  <c r="O114" i="1"/>
  <c r="N114" i="1"/>
  <c r="AH68" i="1"/>
  <c r="AI68" i="1" s="1"/>
  <c r="AG67" i="1"/>
  <c r="AJ68" i="1"/>
  <c r="T170" i="1"/>
  <c r="U170" i="1" s="1"/>
  <c r="S168" i="1"/>
  <c r="V168" i="1" s="1"/>
  <c r="T164" i="1"/>
  <c r="U164" i="1" s="1"/>
  <c r="S163" i="1"/>
  <c r="V163" i="1" s="1"/>
  <c r="T86" i="2"/>
  <c r="S86" i="2"/>
  <c r="AH72" i="2"/>
  <c r="AF72" i="2"/>
  <c r="AG72" i="2" s="1"/>
  <c r="T87" i="1"/>
  <c r="U87" i="1" s="1"/>
  <c r="T7" i="2"/>
  <c r="S7" i="2"/>
  <c r="T186" i="1"/>
  <c r="U186" i="1" s="1"/>
  <c r="AH166" i="1"/>
  <c r="AI166" i="1" s="1"/>
  <c r="AJ166" i="1"/>
  <c r="T70" i="1"/>
  <c r="U70" i="1" s="1"/>
  <c r="T131" i="1"/>
  <c r="U131" i="1" s="1"/>
  <c r="S129" i="1"/>
  <c r="V129" i="1" s="1"/>
  <c r="AH10" i="2"/>
  <c r="AF10" i="2"/>
  <c r="AG10" i="2" s="1"/>
  <c r="AH56" i="2"/>
  <c r="I41" i="5"/>
  <c r="H40" i="5"/>
  <c r="I40" i="5" s="1"/>
  <c r="S10" i="2"/>
  <c r="T10" i="2"/>
  <c r="T166" i="1"/>
  <c r="U166" i="1" s="1"/>
  <c r="AC148" i="1"/>
  <c r="AA148" i="1"/>
  <c r="AB148" i="1" s="1"/>
  <c r="AC75" i="1"/>
  <c r="AA75" i="1"/>
  <c r="AB75" i="1" s="1"/>
  <c r="Z74" i="1"/>
  <c r="AH145" i="2"/>
  <c r="AF145" i="2"/>
  <c r="AG145" i="2" s="1"/>
  <c r="AJ103" i="1"/>
  <c r="AH103" i="1"/>
  <c r="AI103" i="1" s="1"/>
  <c r="AA10" i="2"/>
  <c r="Y10" i="2"/>
  <c r="Z10" i="2" s="1"/>
  <c r="AH58" i="1"/>
  <c r="AI58" i="1" s="1"/>
  <c r="AJ58" i="1"/>
  <c r="Z24" i="1"/>
  <c r="P6" i="1" l="1"/>
  <c r="X6" i="2"/>
  <c r="AN7" i="2"/>
  <c r="AG10" i="1"/>
  <c r="AD6" i="1"/>
  <c r="Z10" i="1"/>
  <c r="Z6" i="1" s="1"/>
  <c r="S10" i="1"/>
  <c r="S6" i="1" s="1"/>
  <c r="W6" i="1"/>
  <c r="AI12" i="1"/>
  <c r="J6" i="7"/>
  <c r="AB12" i="1"/>
  <c r="H6" i="7"/>
  <c r="P9" i="6"/>
  <c r="J8" i="1"/>
  <c r="N13" i="1"/>
  <c r="D5" i="7"/>
  <c r="U12" i="1"/>
  <c r="F6" i="7"/>
  <c r="N12" i="1"/>
  <c r="D6" i="7"/>
  <c r="J5" i="7"/>
  <c r="AI13" i="1"/>
  <c r="U13" i="1"/>
  <c r="F5" i="7"/>
  <c r="H5" i="7"/>
  <c r="AB13" i="1"/>
  <c r="AA6" i="2"/>
  <c r="Y6" i="2"/>
  <c r="Z6" i="2" s="1"/>
  <c r="U14" i="16"/>
  <c r="K6" i="16"/>
  <c r="L9" i="16"/>
  <c r="P9" i="16" s="1"/>
  <c r="K7" i="16"/>
  <c r="L7" i="16" s="1"/>
  <c r="J142" i="1"/>
  <c r="U10" i="6"/>
  <c r="P10" i="6"/>
  <c r="AC48" i="1"/>
  <c r="AA48" i="1"/>
  <c r="AB48" i="1" s="1"/>
  <c r="AJ48" i="1"/>
  <c r="AH48" i="1"/>
  <c r="AI48" i="1" s="1"/>
  <c r="V48" i="1"/>
  <c r="T48" i="1"/>
  <c r="U48" i="1" s="1"/>
  <c r="O48" i="1"/>
  <c r="M48" i="1"/>
  <c r="N48" i="1" s="1"/>
  <c r="K10" i="6"/>
  <c r="P11" i="6"/>
  <c r="V42" i="1"/>
  <c r="S41" i="1"/>
  <c r="Z41" i="1"/>
  <c r="AG41" i="1"/>
  <c r="M42" i="1"/>
  <c r="N42" i="1" s="1"/>
  <c r="M43" i="1"/>
  <c r="N43" i="1" s="1"/>
  <c r="M45" i="1"/>
  <c r="N45" i="1" s="1"/>
  <c r="M51" i="1"/>
  <c r="N51" i="1" s="1"/>
  <c r="K11" i="6"/>
  <c r="E11" i="6"/>
  <c r="D8" i="10"/>
  <c r="AF30" i="2"/>
  <c r="AG30" i="2" s="1"/>
  <c r="T30" i="2"/>
  <c r="B64" i="5"/>
  <c r="I64" i="5" s="1"/>
  <c r="C18" i="6"/>
  <c r="B47" i="6" s="1"/>
  <c r="I47" i="6" s="1"/>
  <c r="P64" i="1"/>
  <c r="K18" i="6" s="1"/>
  <c r="M6" i="16"/>
  <c r="M7" i="16"/>
  <c r="M9" i="16"/>
  <c r="K9" i="5"/>
  <c r="J14" i="16"/>
  <c r="M9" i="5"/>
  <c r="H14" i="16"/>
  <c r="J126" i="1"/>
  <c r="E21" i="6" s="1"/>
  <c r="D50" i="6" s="1"/>
  <c r="H172" i="1"/>
  <c r="C23" i="6" s="1"/>
  <c r="B52" i="6" s="1"/>
  <c r="I52" i="6" s="1"/>
  <c r="I67" i="5"/>
  <c r="S185" i="1"/>
  <c r="AG185" i="1"/>
  <c r="AH9" i="2"/>
  <c r="AF9" i="2"/>
  <c r="AG9" i="2" s="1"/>
  <c r="R9" i="2"/>
  <c r="S9" i="2" s="1"/>
  <c r="T9" i="2"/>
  <c r="AA9" i="2"/>
  <c r="Y9" i="2"/>
  <c r="Z9" i="2" s="1"/>
  <c r="V65" i="1"/>
  <c r="D7" i="10"/>
  <c r="T43" i="1"/>
  <c r="U43" i="1" s="1"/>
  <c r="AH50" i="1"/>
  <c r="AI50" i="1" s="1"/>
  <c r="S35" i="1"/>
  <c r="V35" i="1" s="1"/>
  <c r="V36" i="1"/>
  <c r="M25" i="6"/>
  <c r="U211" i="1"/>
  <c r="N25" i="6" s="1"/>
  <c r="T51" i="1"/>
  <c r="U51" i="1" s="1"/>
  <c r="S23" i="1"/>
  <c r="V23" i="1" s="1"/>
  <c r="V28" i="1"/>
  <c r="F7" i="7"/>
  <c r="U9" i="1"/>
  <c r="N9" i="6" s="1"/>
  <c r="R30" i="2"/>
  <c r="S30" i="2" s="1"/>
  <c r="T45" i="1"/>
  <c r="U45" i="1" s="1"/>
  <c r="S49" i="1"/>
  <c r="V49" i="1" s="1"/>
  <c r="H7" i="5"/>
  <c r="J40" i="1"/>
  <c r="T50" i="1"/>
  <c r="U50" i="1" s="1"/>
  <c r="H30" i="5"/>
  <c r="AA30" i="2"/>
  <c r="Y30" i="2"/>
  <c r="Z30" i="2" s="1"/>
  <c r="L30" i="5"/>
  <c r="AH51" i="1"/>
  <c r="AI51" i="1" s="1"/>
  <c r="AJ51" i="1"/>
  <c r="AG49" i="1"/>
  <c r="AJ49" i="1" s="1"/>
  <c r="AH30" i="2"/>
  <c r="AC45" i="1"/>
  <c r="AA45" i="1"/>
  <c r="AB45" i="1" s="1"/>
  <c r="AA51" i="1"/>
  <c r="AB51" i="1" s="1"/>
  <c r="AC51" i="1"/>
  <c r="AC43" i="1"/>
  <c r="AA43" i="1"/>
  <c r="AB43" i="1" s="1"/>
  <c r="AC42" i="1"/>
  <c r="AA42" i="1"/>
  <c r="AB42" i="1" s="1"/>
  <c r="O50" i="1"/>
  <c r="L49" i="1"/>
  <c r="M50" i="1"/>
  <c r="N50" i="1" s="1"/>
  <c r="T42" i="1"/>
  <c r="U42" i="1" s="1"/>
  <c r="J7" i="5"/>
  <c r="J30" i="5"/>
  <c r="AJ45" i="1"/>
  <c r="AH45" i="1"/>
  <c r="AI45" i="1" s="1"/>
  <c r="Z49" i="1"/>
  <c r="AC50" i="1"/>
  <c r="AA50" i="1"/>
  <c r="AB50" i="1" s="1"/>
  <c r="AJ43" i="1"/>
  <c r="AH43" i="1"/>
  <c r="AI43" i="1" s="1"/>
  <c r="AJ42" i="1"/>
  <c r="AH42" i="1"/>
  <c r="AI42" i="1" s="1"/>
  <c r="E15" i="6"/>
  <c r="D44" i="6" s="1"/>
  <c r="C15" i="6"/>
  <c r="R9" i="6"/>
  <c r="AB9" i="1"/>
  <c r="S9" i="6" s="1"/>
  <c r="M9" i="6"/>
  <c r="C20" i="6"/>
  <c r="B49" i="6" s="1"/>
  <c r="I49" i="6" s="1"/>
  <c r="O24" i="6"/>
  <c r="N24" i="6"/>
  <c r="O26" i="6"/>
  <c r="O9" i="6"/>
  <c r="N86" i="1"/>
  <c r="N144" i="1"/>
  <c r="N122" i="1"/>
  <c r="N112" i="1"/>
  <c r="N156" i="1"/>
  <c r="J9" i="6"/>
  <c r="N9" i="1"/>
  <c r="I9" i="6" s="1"/>
  <c r="D8" i="6"/>
  <c r="K17" i="6"/>
  <c r="AC52" i="1"/>
  <c r="H9" i="6"/>
  <c r="AD172" i="1"/>
  <c r="U23" i="6" s="1"/>
  <c r="D21" i="6"/>
  <c r="C50" i="6" s="1"/>
  <c r="T76" i="1"/>
  <c r="U76" i="1" s="1"/>
  <c r="I21" i="5"/>
  <c r="K21" i="5"/>
  <c r="W172" i="1"/>
  <c r="P23" i="6" s="1"/>
  <c r="P172" i="1"/>
  <c r="K23" i="6" s="1"/>
  <c r="AG15" i="1"/>
  <c r="P15" i="6"/>
  <c r="AH16" i="1"/>
  <c r="AI16" i="1" s="1"/>
  <c r="U8" i="6"/>
  <c r="K15" i="6"/>
  <c r="U15" i="6"/>
  <c r="R25" i="6"/>
  <c r="P8" i="6"/>
  <c r="W9" i="6"/>
  <c r="AI9" i="1"/>
  <c r="X9" i="6" s="1"/>
  <c r="AH76" i="1"/>
  <c r="AI76" i="1" s="1"/>
  <c r="U20" i="6"/>
  <c r="U11" i="6"/>
  <c r="AC127" i="1"/>
  <c r="AA127" i="1"/>
  <c r="AB127" i="1" s="1"/>
  <c r="N26" i="6"/>
  <c r="M26" i="6"/>
  <c r="T36" i="1"/>
  <c r="U36" i="1" s="1"/>
  <c r="T56" i="1"/>
  <c r="U56" i="1" s="1"/>
  <c r="T28" i="1"/>
  <c r="U28" i="1" s="1"/>
  <c r="M85" i="1"/>
  <c r="O85" i="1"/>
  <c r="M100" i="1"/>
  <c r="O100" i="1"/>
  <c r="Z23" i="1"/>
  <c r="AC24" i="1"/>
  <c r="AA24" i="1"/>
  <c r="AB24" i="1" s="1"/>
  <c r="T163" i="1"/>
  <c r="U163" i="1" s="1"/>
  <c r="AJ174" i="1"/>
  <c r="AG173" i="1"/>
  <c r="AH174" i="1"/>
  <c r="AI174" i="1" s="1"/>
  <c r="K21" i="6"/>
  <c r="K8" i="6"/>
  <c r="AC163" i="1"/>
  <c r="AA163" i="1"/>
  <c r="AB163" i="1" s="1"/>
  <c r="T58" i="1"/>
  <c r="U58" i="1" s="1"/>
  <c r="O65" i="1"/>
  <c r="M65" i="1"/>
  <c r="N65" i="1" s="1"/>
  <c r="S132" i="1"/>
  <c r="V132" i="1" s="1"/>
  <c r="T133" i="1"/>
  <c r="U133" i="1" s="1"/>
  <c r="AH180" i="1"/>
  <c r="AI180" i="1" s="1"/>
  <c r="AJ180" i="1"/>
  <c r="S106" i="1"/>
  <c r="T107" i="1"/>
  <c r="U107" i="1" s="1"/>
  <c r="AC186" i="1"/>
  <c r="AA186" i="1"/>
  <c r="AB186" i="1" s="1"/>
  <c r="AH195" i="1"/>
  <c r="AI195" i="1" s="1"/>
  <c r="AJ195" i="1"/>
  <c r="T72" i="1"/>
  <c r="U72" i="1" s="1"/>
  <c r="T180" i="1"/>
  <c r="U180" i="1" s="1"/>
  <c r="AC28" i="1"/>
  <c r="AA28" i="1"/>
  <c r="AB28" i="1" s="1"/>
  <c r="T100" i="1"/>
  <c r="U100" i="1" s="1"/>
  <c r="AJ94" i="1"/>
  <c r="AH94" i="1"/>
  <c r="AI94" i="1" s="1"/>
  <c r="AA107" i="1"/>
  <c r="AB107" i="1" s="1"/>
  <c r="AC107" i="1"/>
  <c r="M24" i="6"/>
  <c r="AC132" i="1"/>
  <c r="AA132" i="1"/>
  <c r="AB132" i="1" s="1"/>
  <c r="Z126" i="1"/>
  <c r="T17" i="1"/>
  <c r="U17" i="1" s="1"/>
  <c r="S16" i="1"/>
  <c r="V16" i="1" s="1"/>
  <c r="T65" i="1"/>
  <c r="U65" i="1" s="1"/>
  <c r="AC36" i="1"/>
  <c r="Z35" i="1"/>
  <c r="AA36" i="1"/>
  <c r="AB36" i="1" s="1"/>
  <c r="S52" i="1"/>
  <c r="V52" i="1" s="1"/>
  <c r="T53" i="1"/>
  <c r="U53" i="1" s="1"/>
  <c r="T92" i="1"/>
  <c r="U92" i="1" s="1"/>
  <c r="AA58" i="1"/>
  <c r="AB58" i="1" s="1"/>
  <c r="AC58" i="1"/>
  <c r="AA94" i="1"/>
  <c r="AB94" i="1" s="1"/>
  <c r="AC94" i="1"/>
  <c r="Z80" i="1"/>
  <c r="AJ23" i="1"/>
  <c r="AH23" i="1"/>
  <c r="AI23" i="1" s="1"/>
  <c r="AA67" i="1"/>
  <c r="AB67" i="1" s="1"/>
  <c r="AC67" i="1"/>
  <c r="AC174" i="1"/>
  <c r="Z173" i="1"/>
  <c r="AA174" i="1"/>
  <c r="AB174" i="1" s="1"/>
  <c r="T174" i="1"/>
  <c r="U174" i="1" s="1"/>
  <c r="S173" i="1"/>
  <c r="V173" i="1" s="1"/>
  <c r="AA74" i="1"/>
  <c r="AB74" i="1" s="1"/>
  <c r="AC74" i="1"/>
  <c r="T129" i="1"/>
  <c r="U129" i="1" s="1"/>
  <c r="S127" i="1"/>
  <c r="V127" i="1" s="1"/>
  <c r="T85" i="1"/>
  <c r="U85" i="1" s="1"/>
  <c r="T168" i="1"/>
  <c r="U168" i="1" s="1"/>
  <c r="AA157" i="1"/>
  <c r="AB157" i="1" s="1"/>
  <c r="AC157" i="1"/>
  <c r="Z153" i="1"/>
  <c r="AA65" i="1"/>
  <c r="AB65" i="1" s="1"/>
  <c r="AC65" i="1"/>
  <c r="Z64" i="1"/>
  <c r="T190" i="1"/>
  <c r="U190" i="1" s="1"/>
  <c r="AJ201" i="1"/>
  <c r="AH201" i="1"/>
  <c r="AI201" i="1" s="1"/>
  <c r="AC102" i="1"/>
  <c r="AJ107" i="1"/>
  <c r="AH107" i="1"/>
  <c r="AI107" i="1" s="1"/>
  <c r="AG106" i="1"/>
  <c r="S67" i="1"/>
  <c r="T68" i="1"/>
  <c r="U68" i="1" s="1"/>
  <c r="Q24" i="6"/>
  <c r="AA207" i="1"/>
  <c r="AC207" i="1"/>
  <c r="T24" i="6" s="1"/>
  <c r="AJ148" i="1"/>
  <c r="AH148" i="1"/>
  <c r="AI148" i="1" s="1"/>
  <c r="W26" i="6"/>
  <c r="AI213" i="1"/>
  <c r="X26" i="6" s="1"/>
  <c r="AA168" i="1"/>
  <c r="AB168" i="1" s="1"/>
  <c r="AC168" i="1"/>
  <c r="AH35" i="1"/>
  <c r="AI35" i="1" s="1"/>
  <c r="AJ35" i="1"/>
  <c r="AG32" i="1"/>
  <c r="AH157" i="1"/>
  <c r="AI157" i="1" s="1"/>
  <c r="AJ157" i="1"/>
  <c r="AG153" i="1"/>
  <c r="AG142" i="1" s="1"/>
  <c r="T143" i="1"/>
  <c r="U143" i="1" s="1"/>
  <c r="S153" i="1"/>
  <c r="V153" i="1" s="1"/>
  <c r="T157" i="1"/>
  <c r="U157" i="1" s="1"/>
  <c r="AJ102" i="1"/>
  <c r="AJ67" i="1"/>
  <c r="AH67" i="1"/>
  <c r="AI67" i="1" s="1"/>
  <c r="AG64" i="1"/>
  <c r="Z120" i="1"/>
  <c r="AC121" i="1"/>
  <c r="AA121" i="1"/>
  <c r="AB121" i="1" s="1"/>
  <c r="AC201" i="1"/>
  <c r="AA201" i="1"/>
  <c r="AB201" i="1" s="1"/>
  <c r="AH129" i="1"/>
  <c r="AI129" i="1" s="1"/>
  <c r="AG127" i="1"/>
  <c r="AJ129" i="1"/>
  <c r="AC180" i="1"/>
  <c r="AA180" i="1"/>
  <c r="AB180" i="1" s="1"/>
  <c r="AJ143" i="1"/>
  <c r="AH143" i="1"/>
  <c r="AI143" i="1" s="1"/>
  <c r="T139" i="1"/>
  <c r="U139" i="1" s="1"/>
  <c r="W24" i="6"/>
  <c r="AI207" i="1"/>
  <c r="X24" i="6" s="1"/>
  <c r="AJ84" i="1"/>
  <c r="AH84" i="1"/>
  <c r="AI84" i="1" s="1"/>
  <c r="T195" i="1"/>
  <c r="U195" i="1" s="1"/>
  <c r="AA84" i="1"/>
  <c r="AB84" i="1" s="1"/>
  <c r="AC84" i="1"/>
  <c r="T120" i="1"/>
  <c r="U120" i="1" s="1"/>
  <c r="AJ53" i="1"/>
  <c r="AG52" i="1"/>
  <c r="AH53" i="1"/>
  <c r="AI53" i="1" s="1"/>
  <c r="AC72" i="1"/>
  <c r="AA72" i="1"/>
  <c r="AB72" i="1" s="1"/>
  <c r="AH186" i="1"/>
  <c r="AI186" i="1" s="1"/>
  <c r="AJ186" i="1"/>
  <c r="T202" i="1"/>
  <c r="U202" i="1" s="1"/>
  <c r="S201" i="1"/>
  <c r="V201" i="1" s="1"/>
  <c r="AC143" i="1"/>
  <c r="AA143" i="1"/>
  <c r="AB143" i="1" s="1"/>
  <c r="U81" i="1"/>
  <c r="C6" i="6" l="1"/>
  <c r="B44" i="6"/>
  <c r="I44" i="6" s="1"/>
  <c r="L6" i="16"/>
  <c r="P6" i="16" s="1"/>
  <c r="K14" i="16"/>
  <c r="L14" i="16" s="1"/>
  <c r="P14" i="16" s="1"/>
  <c r="P6" i="6"/>
  <c r="U6" i="6"/>
  <c r="K6" i="6"/>
  <c r="B9" i="7"/>
  <c r="N13" i="16"/>
  <c r="K13" i="16"/>
  <c r="L13" i="16" s="1"/>
  <c r="P7" i="16"/>
  <c r="I13" i="16"/>
  <c r="M13" i="16"/>
  <c r="D9" i="10"/>
  <c r="L10" i="7" s="1"/>
  <c r="E8" i="6"/>
  <c r="J16" i="16"/>
  <c r="M14" i="16"/>
  <c r="H16" i="16"/>
  <c r="H3" i="16" s="1"/>
  <c r="I14" i="16"/>
  <c r="T35" i="1"/>
  <c r="U35" i="1" s="1"/>
  <c r="J39" i="1"/>
  <c r="T23" i="1"/>
  <c r="U23" i="1" s="1"/>
  <c r="L9" i="7"/>
  <c r="AG40" i="1"/>
  <c r="S32" i="1"/>
  <c r="V32" i="1" s="1"/>
  <c r="S64" i="1"/>
  <c r="V64" i="1" s="1"/>
  <c r="V67" i="1"/>
  <c r="V11" i="1"/>
  <c r="V106" i="1"/>
  <c r="T185" i="1"/>
  <c r="U185" i="1" s="1"/>
  <c r="V185" i="1"/>
  <c r="S40" i="1"/>
  <c r="V41" i="1"/>
  <c r="T6" i="2"/>
  <c r="T49" i="1"/>
  <c r="U49" i="1" s="1"/>
  <c r="B8" i="7"/>
  <c r="L8" i="7"/>
  <c r="AH49" i="1"/>
  <c r="AI49" i="1" s="1"/>
  <c r="AA49" i="1"/>
  <c r="AB49" i="1" s="1"/>
  <c r="AC49" i="1"/>
  <c r="AJ41" i="1"/>
  <c r="AH41" i="1"/>
  <c r="AI41" i="1" s="1"/>
  <c r="O49" i="1"/>
  <c r="M49" i="1"/>
  <c r="N49" i="1" s="1"/>
  <c r="T41" i="1"/>
  <c r="U41" i="1" s="1"/>
  <c r="AC41" i="1"/>
  <c r="Z40" i="1"/>
  <c r="AA41" i="1"/>
  <c r="AB41" i="1" s="1"/>
  <c r="C11" i="6"/>
  <c r="AJ15" i="1"/>
  <c r="Y15" i="6" s="1"/>
  <c r="C8" i="6"/>
  <c r="N100" i="1"/>
  <c r="N85" i="1"/>
  <c r="V15" i="6"/>
  <c r="AH15" i="1"/>
  <c r="AI15" i="1" s="1"/>
  <c r="X15" i="6" s="1"/>
  <c r="E22" i="6"/>
  <c r="D51" i="6" s="1"/>
  <c r="S80" i="1"/>
  <c r="V80" i="1" s="1"/>
  <c r="O84" i="1"/>
  <c r="M84" i="1"/>
  <c r="T67" i="1"/>
  <c r="U67" i="1" s="1"/>
  <c r="AA91" i="1"/>
  <c r="AB91" i="1" s="1"/>
  <c r="AC91" i="1"/>
  <c r="AA185" i="1"/>
  <c r="AB185" i="1" s="1"/>
  <c r="AC185" i="1"/>
  <c r="AJ52" i="1"/>
  <c r="AH52" i="1"/>
  <c r="AI52" i="1" s="1"/>
  <c r="AH91" i="1"/>
  <c r="AI91" i="1" s="1"/>
  <c r="AJ91" i="1"/>
  <c r="AJ127" i="1"/>
  <c r="AH127" i="1"/>
  <c r="AI127" i="1" s="1"/>
  <c r="AH64" i="1"/>
  <c r="AJ64" i="1"/>
  <c r="Y18" i="6" s="1"/>
  <c r="V18" i="6"/>
  <c r="R24" i="6"/>
  <c r="AB207" i="1"/>
  <c r="S24" i="6" s="1"/>
  <c r="V20" i="6"/>
  <c r="AH106" i="1"/>
  <c r="AJ106" i="1"/>
  <c r="Y20" i="6" s="1"/>
  <c r="I9" i="7"/>
  <c r="AC64" i="1"/>
  <c r="T18" i="6" s="1"/>
  <c r="Q18" i="6"/>
  <c r="AA64" i="1"/>
  <c r="AA153" i="1"/>
  <c r="AB153" i="1" s="1"/>
  <c r="AC153" i="1"/>
  <c r="T127" i="1"/>
  <c r="U127" i="1" s="1"/>
  <c r="S126" i="1"/>
  <c r="V126" i="1" s="1"/>
  <c r="T52" i="1"/>
  <c r="U52" i="1" s="1"/>
  <c r="T16" i="1"/>
  <c r="U16" i="1" s="1"/>
  <c r="S15" i="1"/>
  <c r="T132" i="1"/>
  <c r="U132" i="1" s="1"/>
  <c r="Z142" i="1"/>
  <c r="Q19" i="6"/>
  <c r="AC80" i="1"/>
  <c r="T19" i="6" s="1"/>
  <c r="AH142" i="1"/>
  <c r="V22" i="6"/>
  <c r="AJ142" i="1"/>
  <c r="Y22" i="6" s="1"/>
  <c r="AC120" i="1"/>
  <c r="AA120" i="1"/>
  <c r="AB120" i="1" s="1"/>
  <c r="V16" i="6"/>
  <c r="AJ32" i="1"/>
  <c r="Y16" i="6" s="1"/>
  <c r="AH32" i="1"/>
  <c r="T84" i="1"/>
  <c r="U84" i="1" s="1"/>
  <c r="S172" i="1"/>
  <c r="V172" i="1" s="1"/>
  <c r="T173" i="1"/>
  <c r="U173" i="1" s="1"/>
  <c r="Z172" i="1"/>
  <c r="AA173" i="1"/>
  <c r="AB173" i="1" s="1"/>
  <c r="AC173" i="1"/>
  <c r="AA35" i="1"/>
  <c r="AB35" i="1" s="1"/>
  <c r="AC35" i="1"/>
  <c r="Z32" i="1"/>
  <c r="Z106" i="1"/>
  <c r="L20" i="6"/>
  <c r="T106" i="1"/>
  <c r="U106" i="1" s="1"/>
  <c r="AJ185" i="1"/>
  <c r="AH185" i="1"/>
  <c r="AI185" i="1" s="1"/>
  <c r="AG80" i="1"/>
  <c r="T153" i="1"/>
  <c r="U153" i="1" s="1"/>
  <c r="AH153" i="1"/>
  <c r="AI153" i="1" s="1"/>
  <c r="AJ153" i="1"/>
  <c r="T201" i="1"/>
  <c r="U201" i="1" s="1"/>
  <c r="S142" i="1"/>
  <c r="V142" i="1" s="1"/>
  <c r="T91" i="1"/>
  <c r="U91" i="1" s="1"/>
  <c r="Q21" i="6"/>
  <c r="AC126" i="1"/>
  <c r="T21" i="6" s="1"/>
  <c r="AA126" i="1"/>
  <c r="AH173" i="1"/>
  <c r="AI173" i="1" s="1"/>
  <c r="AG172" i="1"/>
  <c r="AJ173" i="1"/>
  <c r="AC23" i="1"/>
  <c r="AA23" i="1"/>
  <c r="AB23" i="1" s="1"/>
  <c r="Z15" i="1"/>
  <c r="D13" i="10" l="1"/>
  <c r="L11" i="7" s="1"/>
  <c r="G10" i="7"/>
  <c r="V40" i="1"/>
  <c r="P13" i="16"/>
  <c r="J3" i="16"/>
  <c r="I10" i="7"/>
  <c r="T32" i="1"/>
  <c r="U32" i="1" s="1"/>
  <c r="N16" i="6" s="1"/>
  <c r="L16" i="6"/>
  <c r="E17" i="6"/>
  <c r="D46" i="6" s="1"/>
  <c r="S39" i="1"/>
  <c r="V39" i="1" s="1"/>
  <c r="AG39" i="1"/>
  <c r="AJ40" i="1"/>
  <c r="AH40" i="1"/>
  <c r="AI40" i="1" s="1"/>
  <c r="L18" i="6"/>
  <c r="T64" i="1"/>
  <c r="U64" i="1" s="1"/>
  <c r="N18" i="6" s="1"/>
  <c r="E9" i="7"/>
  <c r="T40" i="1"/>
  <c r="U40" i="1" s="1"/>
  <c r="V15" i="1"/>
  <c r="B11" i="7"/>
  <c r="Z39" i="1"/>
  <c r="AC40" i="1"/>
  <c r="AA40" i="1"/>
  <c r="AB40" i="1" s="1"/>
  <c r="W15" i="6"/>
  <c r="O20" i="6"/>
  <c r="O16" i="6"/>
  <c r="O19" i="6"/>
  <c r="O18" i="6"/>
  <c r="N84" i="1"/>
  <c r="AC8" i="1"/>
  <c r="T8" i="6" s="1"/>
  <c r="G8" i="7"/>
  <c r="L19" i="6"/>
  <c r="AA8" i="1"/>
  <c r="Q8" i="6"/>
  <c r="N20" i="6"/>
  <c r="M20" i="6"/>
  <c r="Q23" i="6"/>
  <c r="AA172" i="1"/>
  <c r="AC172" i="1"/>
  <c r="T23" i="6" s="1"/>
  <c r="W22" i="6"/>
  <c r="AI142" i="1"/>
  <c r="X22" i="6" s="1"/>
  <c r="AA142" i="1"/>
  <c r="Q22" i="6"/>
  <c r="AC142" i="1"/>
  <c r="T22" i="6" s="1"/>
  <c r="AB64" i="1"/>
  <c r="S18" i="6" s="1"/>
  <c r="R18" i="6"/>
  <c r="W18" i="6"/>
  <c r="AI64" i="1"/>
  <c r="X18" i="6" s="1"/>
  <c r="T142" i="1"/>
  <c r="U142" i="1" s="1"/>
  <c r="L22" i="6"/>
  <c r="Q20" i="6"/>
  <c r="AC106" i="1"/>
  <c r="T20" i="6" s="1"/>
  <c r="AA106" i="1"/>
  <c r="G9" i="7"/>
  <c r="W16" i="6"/>
  <c r="AI32" i="1"/>
  <c r="X16" i="6" s="1"/>
  <c r="W20" i="6"/>
  <c r="AI106" i="1"/>
  <c r="X20" i="6" s="1"/>
  <c r="T11" i="1"/>
  <c r="L11" i="6"/>
  <c r="T172" i="1"/>
  <c r="U172" i="1" s="1"/>
  <c r="L23" i="6"/>
  <c r="Q15" i="6"/>
  <c r="AA15" i="1"/>
  <c r="AC15" i="1"/>
  <c r="T15" i="6" s="1"/>
  <c r="AJ172" i="1"/>
  <c r="Y23" i="6" s="1"/>
  <c r="AH172" i="1"/>
  <c r="V23" i="6"/>
  <c r="AB126" i="1"/>
  <c r="S21" i="6" s="1"/>
  <c r="R21" i="6"/>
  <c r="AJ80" i="1"/>
  <c r="Y19" i="6" s="1"/>
  <c r="V19" i="6"/>
  <c r="Q16" i="6"/>
  <c r="AC32" i="1"/>
  <c r="T16" i="6" s="1"/>
  <c r="AA32" i="1"/>
  <c r="L15" i="6"/>
  <c r="T15" i="1"/>
  <c r="U15" i="1" s="1"/>
  <c r="L21" i="6"/>
  <c r="T126" i="1"/>
  <c r="U126" i="1" s="1"/>
  <c r="AJ11" i="1"/>
  <c r="Y11" i="6" s="1"/>
  <c r="AH11" i="1"/>
  <c r="J9" i="7" s="1"/>
  <c r="V11" i="6"/>
  <c r="V6" i="1" l="1"/>
  <c r="V17" i="6"/>
  <c r="V10" i="1"/>
  <c r="E10" i="7"/>
  <c r="G11" i="7"/>
  <c r="AJ10" i="1"/>
  <c r="Y10" i="6" s="1"/>
  <c r="V10" i="6"/>
  <c r="M16" i="6"/>
  <c r="L17" i="6"/>
  <c r="T39" i="1"/>
  <c r="U39" i="1" s="1"/>
  <c r="N17" i="6" s="1"/>
  <c r="AJ39" i="1"/>
  <c r="Y17" i="6" s="1"/>
  <c r="AH39" i="1"/>
  <c r="AI39" i="1" s="1"/>
  <c r="X17" i="6" s="1"/>
  <c r="M18" i="6"/>
  <c r="E8" i="7"/>
  <c r="V8" i="1"/>
  <c r="F9" i="7"/>
  <c r="U11" i="1"/>
  <c r="N11" i="6" s="1"/>
  <c r="AA39" i="1"/>
  <c r="Q17" i="6"/>
  <c r="AC39" i="1"/>
  <c r="T17" i="6" s="1"/>
  <c r="O23" i="6"/>
  <c r="O21" i="6"/>
  <c r="N21" i="6"/>
  <c r="O15" i="6"/>
  <c r="O22" i="6"/>
  <c r="N22" i="6"/>
  <c r="O17" i="6"/>
  <c r="O11" i="6"/>
  <c r="AB8" i="1"/>
  <c r="S8" i="6" s="1"/>
  <c r="H8" i="7"/>
  <c r="R8" i="6"/>
  <c r="Q10" i="6"/>
  <c r="AC10" i="1"/>
  <c r="T10" i="6" s="1"/>
  <c r="M23" i="6"/>
  <c r="N23" i="6"/>
  <c r="L8" i="6"/>
  <c r="T8" i="1"/>
  <c r="L10" i="6"/>
  <c r="Q11" i="6"/>
  <c r="AA11" i="1"/>
  <c r="H9" i="7" s="1"/>
  <c r="AC11" i="1"/>
  <c r="T11" i="6" s="1"/>
  <c r="W11" i="6"/>
  <c r="AI11" i="1"/>
  <c r="X11" i="6" s="1"/>
  <c r="M21" i="6"/>
  <c r="R16" i="6"/>
  <c r="AB32" i="1"/>
  <c r="S16" i="6" s="1"/>
  <c r="W23" i="6"/>
  <c r="AI172" i="1"/>
  <c r="X23" i="6" s="1"/>
  <c r="R15" i="6"/>
  <c r="AB15" i="1"/>
  <c r="S15" i="6" s="1"/>
  <c r="AB106" i="1"/>
  <c r="S20" i="6" s="1"/>
  <c r="R20" i="6"/>
  <c r="M22" i="6"/>
  <c r="M15" i="6"/>
  <c r="N15" i="6"/>
  <c r="Q6" i="6"/>
  <c r="AC6" i="1"/>
  <c r="T6" i="6" s="1"/>
  <c r="M11" i="6"/>
  <c r="AB142" i="1"/>
  <c r="S22" i="6" s="1"/>
  <c r="R22" i="6"/>
  <c r="R23" i="6"/>
  <c r="AB172" i="1"/>
  <c r="S23" i="6" s="1"/>
  <c r="E11" i="7" l="1"/>
  <c r="L6" i="6"/>
  <c r="M17" i="6"/>
  <c r="W17" i="6"/>
  <c r="F8" i="7"/>
  <c r="U8" i="1"/>
  <c r="N8" i="6" s="1"/>
  <c r="AB39" i="1"/>
  <c r="S17" i="6" s="1"/>
  <c r="R17" i="6"/>
  <c r="O8" i="6"/>
  <c r="O6" i="6"/>
  <c r="O10" i="6"/>
  <c r="M8" i="6"/>
  <c r="R11" i="6"/>
  <c r="AB11" i="1"/>
  <c r="S11" i="6" s="1"/>
  <c r="AH92" i="2" l="1"/>
  <c r="AF92" i="2"/>
  <c r="AG92" i="2" s="1"/>
  <c r="AG136" i="1"/>
  <c r="AG8" i="1" s="1"/>
  <c r="AG6" i="1" s="1"/>
  <c r="M13" i="5" l="1"/>
  <c r="AH7" i="2"/>
  <c r="AF7" i="2"/>
  <c r="AG7" i="2" s="1"/>
  <c r="AJ136" i="1"/>
  <c r="AG133" i="1"/>
  <c r="AH136" i="1"/>
  <c r="AI136" i="1" s="1"/>
  <c r="AH86" i="2"/>
  <c r="AF86" i="2"/>
  <c r="AG86" i="2" s="1"/>
  <c r="M24" i="5"/>
  <c r="L21" i="5"/>
  <c r="M21" i="5" s="1"/>
  <c r="AG132" i="1" l="1"/>
  <c r="AJ133" i="1"/>
  <c r="AH133" i="1"/>
  <c r="AI133" i="1" s="1"/>
  <c r="AH6" i="2"/>
  <c r="AJ132" i="1" l="1"/>
  <c r="AH132" i="1"/>
  <c r="AI132" i="1" s="1"/>
  <c r="AG126" i="1"/>
  <c r="AH126" i="1" l="1"/>
  <c r="V21" i="6"/>
  <c r="AJ126" i="1"/>
  <c r="Y21" i="6" s="1"/>
  <c r="I8" i="7" l="1"/>
  <c r="V8" i="6"/>
  <c r="AJ8" i="1"/>
  <c r="Y8" i="6" s="1"/>
  <c r="AH8" i="1"/>
  <c r="I11" i="7"/>
  <c r="AJ6" i="1"/>
  <c r="Y6" i="6" s="1"/>
  <c r="V6" i="6"/>
  <c r="AI126" i="1"/>
  <c r="X21" i="6" s="1"/>
  <c r="W21" i="6"/>
  <c r="J8" i="7" l="1"/>
  <c r="W8" i="6"/>
  <c r="AI8" i="1"/>
  <c r="X8" i="6" s="1"/>
  <c r="M37" i="5" l="1"/>
  <c r="S71" i="2"/>
  <c r="AF71" i="2"/>
  <c r="AG71" i="2" s="1"/>
  <c r="Y71" i="2"/>
  <c r="Z71" i="2" s="1"/>
  <c r="M16" i="5"/>
  <c r="K71" i="2"/>
  <c r="H71" i="2"/>
  <c r="H9" i="2" s="1"/>
  <c r="H6" i="2" s="1"/>
  <c r="H56" i="2" l="1"/>
  <c r="S56" i="2"/>
  <c r="D37" i="5"/>
  <c r="J105" i="1"/>
  <c r="K16" i="5"/>
  <c r="I37" i="5"/>
  <c r="I7" i="5"/>
  <c r="K37" i="5"/>
  <c r="AH102" i="1"/>
  <c r="AI102" i="1" s="1"/>
  <c r="AA102" i="1"/>
  <c r="AB102" i="1" s="1"/>
  <c r="AH104" i="1"/>
  <c r="AI104" i="1" s="1"/>
  <c r="AA104" i="1"/>
  <c r="AB104" i="1" s="1"/>
  <c r="B30" i="5"/>
  <c r="I16" i="5"/>
  <c r="Y56" i="2"/>
  <c r="Z56" i="2" s="1"/>
  <c r="T104" i="1"/>
  <c r="U104" i="1" s="1"/>
  <c r="AF56" i="2"/>
  <c r="AG56" i="2" s="1"/>
  <c r="D16" i="5"/>
  <c r="D72" i="5" s="1"/>
  <c r="J102" i="1" l="1"/>
  <c r="M7" i="5"/>
  <c r="K7" i="5"/>
  <c r="B10" i="7"/>
  <c r="AH10" i="1"/>
  <c r="C10" i="6"/>
  <c r="AA10" i="1"/>
  <c r="H10" i="7" s="1"/>
  <c r="T10" i="1"/>
  <c r="U10" i="1" s="1"/>
  <c r="M30" i="5"/>
  <c r="K30" i="5"/>
  <c r="I30" i="5"/>
  <c r="AH80" i="1"/>
  <c r="AA80" i="1"/>
  <c r="C19" i="6"/>
  <c r="B48" i="6" s="1"/>
  <c r="T80" i="1"/>
  <c r="U80" i="1" s="1"/>
  <c r="J10" i="7" l="1"/>
  <c r="AI10" i="1"/>
  <c r="I48" i="6"/>
  <c r="B43" i="6"/>
  <c r="I43" i="6" s="1"/>
  <c r="J80" i="1"/>
  <c r="W10" i="6"/>
  <c r="X10" i="6"/>
  <c r="AH6" i="1"/>
  <c r="AA6" i="1"/>
  <c r="T6" i="1"/>
  <c r="U6" i="1" s="1"/>
  <c r="AB80" i="1"/>
  <c r="S19" i="6" s="1"/>
  <c r="R19" i="6"/>
  <c r="AB10" i="1"/>
  <c r="S10" i="6" s="1"/>
  <c r="R10" i="6"/>
  <c r="AI80" i="1"/>
  <c r="X19" i="6" s="1"/>
  <c r="W19" i="6"/>
  <c r="M10" i="6"/>
  <c r="N10" i="6"/>
  <c r="F10" i="7"/>
  <c r="M19" i="6"/>
  <c r="N19" i="6"/>
  <c r="E19" i="6" l="1"/>
  <c r="D48" i="6" s="1"/>
  <c r="N6" i="6"/>
  <c r="M6" i="6"/>
  <c r="F11" i="7"/>
  <c r="AI6" i="1"/>
  <c r="X6" i="6" s="1"/>
  <c r="J11" i="7"/>
  <c r="W6" i="6"/>
  <c r="R6" i="6"/>
  <c r="H11" i="7"/>
  <c r="AB6" i="1"/>
  <c r="S6" i="6" s="1"/>
  <c r="F37" i="5" l="1"/>
  <c r="G37" i="5" s="1"/>
  <c r="L189" i="1"/>
  <c r="K131" i="2"/>
  <c r="M131" i="2"/>
  <c r="M118" i="2"/>
  <c r="L171" i="1"/>
  <c r="K118" i="2"/>
  <c r="L159" i="1"/>
  <c r="K109" i="2"/>
  <c r="M109" i="2"/>
  <c r="M90" i="2"/>
  <c r="K90" i="2"/>
  <c r="L134" i="1"/>
  <c r="K75" i="2"/>
  <c r="L111" i="1"/>
  <c r="M75" i="2"/>
  <c r="L93" i="1"/>
  <c r="M63" i="2"/>
  <c r="K63" i="2"/>
  <c r="M42" i="2"/>
  <c r="L57" i="1"/>
  <c r="K42" i="2"/>
  <c r="L214" i="1"/>
  <c r="K152" i="2"/>
  <c r="J151" i="2"/>
  <c r="M151" i="2" s="1"/>
  <c r="F42" i="5"/>
  <c r="M152" i="2"/>
  <c r="L26" i="1"/>
  <c r="M21" i="2"/>
  <c r="M135" i="2"/>
  <c r="K135" i="2"/>
  <c r="G18" i="5"/>
  <c r="L194" i="1"/>
  <c r="G27" i="5"/>
  <c r="K126" i="2"/>
  <c r="M126" i="2"/>
  <c r="L182" i="1"/>
  <c r="M117" i="2"/>
  <c r="L170" i="1"/>
  <c r="K117" i="2"/>
  <c r="L158" i="1"/>
  <c r="K108" i="2"/>
  <c r="M108" i="2"/>
  <c r="M89" i="2"/>
  <c r="L131" i="1"/>
  <c r="K89" i="2"/>
  <c r="J72" i="2"/>
  <c r="M74" i="2"/>
  <c r="L109" i="1"/>
  <c r="K74" i="2"/>
  <c r="L75" i="1"/>
  <c r="L62" i="1"/>
  <c r="G26" i="5"/>
  <c r="M45" i="2"/>
  <c r="K45" i="2"/>
  <c r="L55" i="1"/>
  <c r="M41" i="2"/>
  <c r="K41" i="2"/>
  <c r="L46" i="1"/>
  <c r="M35" i="2"/>
  <c r="K35" i="2"/>
  <c r="J149" i="2"/>
  <c r="K150" i="2"/>
  <c r="M150" i="2"/>
  <c r="L212" i="1"/>
  <c r="F32" i="5"/>
  <c r="G32" i="5" s="1"/>
  <c r="K24" i="2"/>
  <c r="L30" i="1"/>
  <c r="M24" i="2"/>
  <c r="K20" i="2"/>
  <c r="L25" i="1"/>
  <c r="M20" i="2"/>
  <c r="F31" i="5"/>
  <c r="L204" i="1"/>
  <c r="L202" i="1" s="1"/>
  <c r="M142" i="2"/>
  <c r="G35" i="5"/>
  <c r="K142" i="2"/>
  <c r="L192" i="1"/>
  <c r="K133" i="2"/>
  <c r="M133" i="2"/>
  <c r="M129" i="2"/>
  <c r="L187" i="1"/>
  <c r="K129" i="2"/>
  <c r="K125" i="2"/>
  <c r="L181" i="1"/>
  <c r="M125" i="2"/>
  <c r="M121" i="2"/>
  <c r="K121" i="2"/>
  <c r="L176" i="1"/>
  <c r="K116" i="2"/>
  <c r="L169" i="1"/>
  <c r="M116" i="2"/>
  <c r="M111" i="2"/>
  <c r="K111" i="2"/>
  <c r="L161" i="1"/>
  <c r="K106" i="2"/>
  <c r="L155" i="1"/>
  <c r="M106" i="2"/>
  <c r="K95" i="2"/>
  <c r="M95" i="2"/>
  <c r="L140" i="1"/>
  <c r="M88" i="2"/>
  <c r="K88" i="2"/>
  <c r="L130" i="1"/>
  <c r="M79" i="2"/>
  <c r="L116" i="1"/>
  <c r="L104" i="1"/>
  <c r="L102" i="1" s="1"/>
  <c r="M70" i="2"/>
  <c r="K70" i="2"/>
  <c r="L83" i="1"/>
  <c r="M83" i="1" s="1"/>
  <c r="M58" i="2"/>
  <c r="F39" i="5"/>
  <c r="G39" i="5" s="1"/>
  <c r="F19" i="5"/>
  <c r="G19" i="5" s="1"/>
  <c r="L71" i="1"/>
  <c r="L61" i="1"/>
  <c r="K44" i="2"/>
  <c r="G17" i="5"/>
  <c r="M44" i="2"/>
  <c r="M40" i="2"/>
  <c r="K40" i="2"/>
  <c r="L54" i="1"/>
  <c r="G16" i="5"/>
  <c r="M28" i="2"/>
  <c r="K28" i="2"/>
  <c r="L37" i="1"/>
  <c r="L209" i="1"/>
  <c r="M147" i="2"/>
  <c r="K23" i="2"/>
  <c r="L29" i="1"/>
  <c r="M23" i="2"/>
  <c r="M16" i="2"/>
  <c r="K16" i="2"/>
  <c r="L19" i="1"/>
  <c r="K136" i="2"/>
  <c r="M136" i="2"/>
  <c r="L196" i="1"/>
  <c r="K127" i="2"/>
  <c r="L183" i="1"/>
  <c r="M127" i="2"/>
  <c r="M123" i="2"/>
  <c r="L178" i="1"/>
  <c r="K123" i="2"/>
  <c r="L164" i="1"/>
  <c r="K113" i="2"/>
  <c r="M113" i="2"/>
  <c r="J97" i="2"/>
  <c r="K100" i="2"/>
  <c r="M100" i="2"/>
  <c r="L146" i="1"/>
  <c r="K85" i="2"/>
  <c r="L125" i="1"/>
  <c r="M85" i="2"/>
  <c r="L78" i="1"/>
  <c r="G43" i="5"/>
  <c r="M49" i="2"/>
  <c r="K49" i="2"/>
  <c r="L69" i="1"/>
  <c r="K36" i="2"/>
  <c r="L47" i="1"/>
  <c r="M36" i="2"/>
  <c r="L31" i="1"/>
  <c r="M25" i="2"/>
  <c r="K25" i="2"/>
  <c r="G11" i="5"/>
  <c r="K15" i="2"/>
  <c r="J14" i="2"/>
  <c r="M15" i="2"/>
  <c r="L18" i="1"/>
  <c r="G33" i="5"/>
  <c r="M130" i="2"/>
  <c r="L188" i="1"/>
  <c r="K130" i="2"/>
  <c r="M122" i="2"/>
  <c r="L177" i="1"/>
  <c r="K122" i="2"/>
  <c r="M112" i="2"/>
  <c r="K112" i="2"/>
  <c r="L162" i="1"/>
  <c r="M96" i="2"/>
  <c r="K96" i="2"/>
  <c r="L141" i="1"/>
  <c r="M84" i="2"/>
  <c r="K84" i="2"/>
  <c r="L123" i="1"/>
  <c r="L90" i="1"/>
  <c r="M62" i="2"/>
  <c r="K62" i="2"/>
  <c r="G44" i="5"/>
  <c r="L197" i="1"/>
  <c r="M137" i="2"/>
  <c r="K137" i="2"/>
  <c r="K132" i="2"/>
  <c r="L191" i="1"/>
  <c r="O191" i="1" s="1"/>
  <c r="M132" i="2"/>
  <c r="K128" i="2"/>
  <c r="M128" i="2"/>
  <c r="L184" i="1"/>
  <c r="M124" i="2"/>
  <c r="L179" i="1"/>
  <c r="K124" i="2"/>
  <c r="L175" i="1"/>
  <c r="K120" i="2"/>
  <c r="J119" i="2"/>
  <c r="M120" i="2"/>
  <c r="M115" i="2"/>
  <c r="L167" i="1"/>
  <c r="K115" i="2"/>
  <c r="K110" i="2"/>
  <c r="M110" i="2"/>
  <c r="L160" i="1"/>
  <c r="K105" i="2"/>
  <c r="M105" i="2"/>
  <c r="F23" i="5"/>
  <c r="G23" i="5" s="1"/>
  <c r="L152" i="1"/>
  <c r="L136" i="1"/>
  <c r="M92" i="2"/>
  <c r="K92" i="2"/>
  <c r="M87" i="2"/>
  <c r="K87" i="2"/>
  <c r="L128" i="1"/>
  <c r="J86" i="2"/>
  <c r="G13" i="5"/>
  <c r="G24" i="5"/>
  <c r="L115" i="1"/>
  <c r="K78" i="2"/>
  <c r="M78" i="2"/>
  <c r="L95" i="1"/>
  <c r="M64" i="2"/>
  <c r="K64" i="2"/>
  <c r="L82" i="1"/>
  <c r="M82" i="1" s="1"/>
  <c r="M57" i="2"/>
  <c r="K50" i="2"/>
  <c r="L70" i="1"/>
  <c r="M50" i="2"/>
  <c r="K43" i="2"/>
  <c r="F15" i="5"/>
  <c r="G15" i="5" s="1"/>
  <c r="L59" i="1"/>
  <c r="M43" i="2"/>
  <c r="F25" i="5"/>
  <c r="G25" i="5" s="1"/>
  <c r="M27" i="2"/>
  <c r="G36" i="5"/>
  <c r="L34" i="1"/>
  <c r="L33" i="1" s="1"/>
  <c r="G14" i="5"/>
  <c r="J26" i="2"/>
  <c r="M146" i="2"/>
  <c r="G10" i="5"/>
  <c r="L208" i="1"/>
  <c r="K146" i="2"/>
  <c r="L27" i="1"/>
  <c r="K22" i="2"/>
  <c r="L22" i="2" s="1"/>
  <c r="L8" i="1" l="1"/>
  <c r="L77" i="1"/>
  <c r="L11" i="1"/>
  <c r="L10" i="1"/>
  <c r="L41" i="1"/>
  <c r="L60" i="1"/>
  <c r="L58" i="1" s="1"/>
  <c r="L207" i="1"/>
  <c r="M207" i="1" s="1"/>
  <c r="L190" i="1"/>
  <c r="M160" i="1"/>
  <c r="N160" i="1" s="1"/>
  <c r="O160" i="1"/>
  <c r="L166" i="1"/>
  <c r="M167" i="1"/>
  <c r="N167" i="1" s="1"/>
  <c r="O167" i="1"/>
  <c r="O162" i="1"/>
  <c r="M162" i="1"/>
  <c r="N162" i="1" s="1"/>
  <c r="O177" i="1"/>
  <c r="M177" i="1"/>
  <c r="N177" i="1" s="1"/>
  <c r="K14" i="2"/>
  <c r="M14" i="2"/>
  <c r="M10" i="2"/>
  <c r="K10" i="2"/>
  <c r="K97" i="2"/>
  <c r="M97" i="2"/>
  <c r="M183" i="1"/>
  <c r="O183" i="1"/>
  <c r="M71" i="1"/>
  <c r="N71" i="1" s="1"/>
  <c r="O71" i="1"/>
  <c r="O104" i="1"/>
  <c r="M104" i="1"/>
  <c r="N104" i="1" s="1"/>
  <c r="M130" i="1"/>
  <c r="L129" i="1"/>
  <c r="L127" i="1" s="1"/>
  <c r="O130" i="1"/>
  <c r="L211" i="1"/>
  <c r="O212" i="1"/>
  <c r="M212" i="1"/>
  <c r="N212" i="1" s="1"/>
  <c r="O75" i="1"/>
  <c r="L74" i="1"/>
  <c r="M75" i="1"/>
  <c r="N75" i="1" s="1"/>
  <c r="K151" i="2"/>
  <c r="L151" i="2" s="1"/>
  <c r="M57" i="1"/>
  <c r="N57" i="1" s="1"/>
  <c r="L56" i="1"/>
  <c r="O57" i="1"/>
  <c r="L92" i="1"/>
  <c r="O93" i="1"/>
  <c r="M93" i="1"/>
  <c r="N93" i="1" s="1"/>
  <c r="L133" i="1"/>
  <c r="M134" i="1"/>
  <c r="N134" i="1" s="1"/>
  <c r="O134" i="1"/>
  <c r="M208" i="1"/>
  <c r="N208" i="1" s="1"/>
  <c r="O208" i="1"/>
  <c r="O34" i="1"/>
  <c r="M34" i="1"/>
  <c r="N34" i="1" s="1"/>
  <c r="M7" i="2"/>
  <c r="K7" i="2"/>
  <c r="K86" i="2"/>
  <c r="M86" i="2"/>
  <c r="O175" i="1"/>
  <c r="M175" i="1"/>
  <c r="N175" i="1" s="1"/>
  <c r="L174" i="1"/>
  <c r="O184" i="1"/>
  <c r="M184" i="1"/>
  <c r="N184" i="1" s="1"/>
  <c r="M191" i="1"/>
  <c r="N191" i="1" s="1"/>
  <c r="M197" i="1"/>
  <c r="N197" i="1" s="1"/>
  <c r="O197" i="1"/>
  <c r="L89" i="1"/>
  <c r="O90" i="1"/>
  <c r="M90" i="1"/>
  <c r="N90" i="1" s="1"/>
  <c r="O141" i="1"/>
  <c r="M141" i="1"/>
  <c r="N141" i="1" s="1"/>
  <c r="O31" i="1"/>
  <c r="M31" i="1"/>
  <c r="N31" i="1" s="1"/>
  <c r="L68" i="1"/>
  <c r="O69" i="1"/>
  <c r="M69" i="1"/>
  <c r="N69" i="1" s="1"/>
  <c r="O78" i="1"/>
  <c r="M78" i="1"/>
  <c r="N78" i="1" s="1"/>
  <c r="M146" i="1"/>
  <c r="N146" i="1" s="1"/>
  <c r="L143" i="1"/>
  <c r="O146" i="1"/>
  <c r="O178" i="1"/>
  <c r="M178" i="1"/>
  <c r="N178" i="1" s="1"/>
  <c r="M19" i="1"/>
  <c r="N19" i="1" s="1"/>
  <c r="O19" i="1"/>
  <c r="O29" i="1"/>
  <c r="M29" i="1"/>
  <c r="N29" i="1" s="1"/>
  <c r="L28" i="1"/>
  <c r="M209" i="1"/>
  <c r="N209" i="1" s="1"/>
  <c r="O209" i="1"/>
  <c r="O61" i="1"/>
  <c r="M61" i="1"/>
  <c r="N61" i="1" s="1"/>
  <c r="O83" i="1"/>
  <c r="N83" i="1"/>
  <c r="M116" i="1"/>
  <c r="O116" i="1"/>
  <c r="M161" i="1"/>
  <c r="O161" i="1"/>
  <c r="M169" i="1"/>
  <c r="N169" i="1" s="1"/>
  <c r="O169" i="1"/>
  <c r="L168" i="1"/>
  <c r="F7" i="5"/>
  <c r="G7" i="5" s="1"/>
  <c r="G9" i="5"/>
  <c r="O30" i="1"/>
  <c r="M30" i="1"/>
  <c r="N30" i="1" s="1"/>
  <c r="K72" i="2"/>
  <c r="M72" i="2"/>
  <c r="O170" i="1"/>
  <c r="M170" i="1"/>
  <c r="N170" i="1" s="1"/>
  <c r="M26" i="1"/>
  <c r="N26" i="1" s="1"/>
  <c r="O26" i="1"/>
  <c r="M159" i="1"/>
  <c r="N159" i="1" s="1"/>
  <c r="O159" i="1"/>
  <c r="G22" i="5"/>
  <c r="F21" i="5"/>
  <c r="G21" i="5" s="1"/>
  <c r="L81" i="1"/>
  <c r="M81" i="1" s="1"/>
  <c r="N82" i="1"/>
  <c r="O82" i="1"/>
  <c r="L148" i="1"/>
  <c r="M152" i="1"/>
  <c r="N152" i="1" s="1"/>
  <c r="O152" i="1"/>
  <c r="K26" i="2"/>
  <c r="M26" i="2"/>
  <c r="O59" i="1"/>
  <c r="M59" i="1"/>
  <c r="N59" i="1" s="1"/>
  <c r="L113" i="1"/>
  <c r="M115" i="1"/>
  <c r="N115" i="1" s="1"/>
  <c r="O115" i="1"/>
  <c r="O128" i="1"/>
  <c r="M128" i="1"/>
  <c r="N128" i="1" s="1"/>
  <c r="M123" i="1"/>
  <c r="N123" i="1" s="1"/>
  <c r="O123" i="1"/>
  <c r="L121" i="1"/>
  <c r="M18" i="1"/>
  <c r="N18" i="1" s="1"/>
  <c r="L17" i="1"/>
  <c r="L16" i="1" s="1"/>
  <c r="M16" i="1" s="1"/>
  <c r="O18" i="1"/>
  <c r="O196" i="1"/>
  <c r="M196" i="1"/>
  <c r="N196" i="1" s="1"/>
  <c r="L195" i="1"/>
  <c r="O37" i="1"/>
  <c r="L36" i="1"/>
  <c r="M37" i="1"/>
  <c r="N37" i="1" s="1"/>
  <c r="O187" i="1"/>
  <c r="M187" i="1"/>
  <c r="N187" i="1" s="1"/>
  <c r="L186" i="1"/>
  <c r="O192" i="1"/>
  <c r="M192" i="1"/>
  <c r="N192" i="1" s="1"/>
  <c r="O204" i="1"/>
  <c r="M204" i="1"/>
  <c r="N204" i="1" s="1"/>
  <c r="O25" i="1"/>
  <c r="L24" i="1"/>
  <c r="M25" i="1"/>
  <c r="N25" i="1" s="1"/>
  <c r="O46" i="1"/>
  <c r="M46" i="1"/>
  <c r="N46" i="1" s="1"/>
  <c r="O55" i="1"/>
  <c r="M55" i="1"/>
  <c r="N55" i="1" s="1"/>
  <c r="O62" i="1"/>
  <c r="M62" i="1"/>
  <c r="N62" i="1" s="1"/>
  <c r="L213" i="1"/>
  <c r="M214" i="1"/>
  <c r="N214" i="1" s="1"/>
  <c r="O214" i="1"/>
  <c r="M111" i="1"/>
  <c r="O111" i="1"/>
  <c r="L110" i="1"/>
  <c r="M27" i="1"/>
  <c r="N27" i="1" s="1"/>
  <c r="O27" i="1"/>
  <c r="M145" i="2"/>
  <c r="K145" i="2"/>
  <c r="O70" i="1"/>
  <c r="M70" i="1"/>
  <c r="N70" i="1" s="1"/>
  <c r="L94" i="1"/>
  <c r="O95" i="1"/>
  <c r="M95" i="1"/>
  <c r="N95" i="1" s="1"/>
  <c r="O136" i="1"/>
  <c r="M136" i="1"/>
  <c r="N136" i="1" s="1"/>
  <c r="K119" i="2"/>
  <c r="M119" i="2"/>
  <c r="O179" i="1"/>
  <c r="M179" i="1"/>
  <c r="N179" i="1" s="1"/>
  <c r="O188" i="1"/>
  <c r="M188" i="1"/>
  <c r="N188" i="1" s="1"/>
  <c r="M47" i="1"/>
  <c r="N47" i="1" s="1"/>
  <c r="O47" i="1"/>
  <c r="L124" i="1"/>
  <c r="M125" i="1"/>
  <c r="N125" i="1" s="1"/>
  <c r="O125" i="1"/>
  <c r="L163" i="1"/>
  <c r="M164" i="1"/>
  <c r="N164" i="1" s="1"/>
  <c r="O164" i="1"/>
  <c r="M54" i="1"/>
  <c r="O54" i="1"/>
  <c r="L53" i="1"/>
  <c r="L139" i="1"/>
  <c r="O140" i="1"/>
  <c r="M140" i="1"/>
  <c r="N140" i="1" s="1"/>
  <c r="O155" i="1"/>
  <c r="L154" i="1"/>
  <c r="M155" i="1"/>
  <c r="N155" i="1" s="1"/>
  <c r="M176" i="1"/>
  <c r="O176" i="1"/>
  <c r="L180" i="1"/>
  <c r="O181" i="1"/>
  <c r="M181" i="1"/>
  <c r="N181" i="1" s="1"/>
  <c r="G31" i="5"/>
  <c r="F30" i="5"/>
  <c r="G30" i="5" s="1"/>
  <c r="K149" i="2"/>
  <c r="M149" i="2"/>
  <c r="M30" i="2"/>
  <c r="K30" i="2"/>
  <c r="M109" i="1"/>
  <c r="N109" i="1" s="1"/>
  <c r="O109" i="1"/>
  <c r="M131" i="1"/>
  <c r="N131" i="1" s="1"/>
  <c r="O131" i="1"/>
  <c r="O158" i="1"/>
  <c r="M158" i="1"/>
  <c r="N158" i="1" s="1"/>
  <c r="L157" i="1"/>
  <c r="O182" i="1"/>
  <c r="M182" i="1"/>
  <c r="N182" i="1" s="1"/>
  <c r="M194" i="1"/>
  <c r="N194" i="1" s="1"/>
  <c r="O194" i="1"/>
  <c r="G42" i="5"/>
  <c r="F40" i="5"/>
  <c r="G40" i="5" s="1"/>
  <c r="M171" i="1"/>
  <c r="N171" i="1" s="1"/>
  <c r="O171" i="1"/>
  <c r="M189" i="1"/>
  <c r="N189" i="1" s="1"/>
  <c r="O189" i="1"/>
  <c r="L6" i="1" l="1"/>
  <c r="L107" i="1"/>
  <c r="L91" i="1"/>
  <c r="L185" i="1"/>
  <c r="K9" i="2"/>
  <c r="L9" i="2" s="1"/>
  <c r="M9" i="2"/>
  <c r="M6" i="2"/>
  <c r="L7" i="2"/>
  <c r="N54" i="1"/>
  <c r="N111" i="1"/>
  <c r="N176" i="1"/>
  <c r="N161" i="1"/>
  <c r="N116" i="1"/>
  <c r="O53" i="1"/>
  <c r="L52" i="1"/>
  <c r="M53" i="1"/>
  <c r="N53" i="1" s="1"/>
  <c r="O124" i="1"/>
  <c r="M124" i="1"/>
  <c r="N124" i="1" s="1"/>
  <c r="M110" i="1"/>
  <c r="N110" i="1" s="1"/>
  <c r="O110" i="1"/>
  <c r="O202" i="1"/>
  <c r="L201" i="1"/>
  <c r="M202" i="1"/>
  <c r="N202" i="1" s="1"/>
  <c r="O127" i="1"/>
  <c r="M127" i="1"/>
  <c r="N127" i="1" s="1"/>
  <c r="M58" i="1"/>
  <c r="O58" i="1"/>
  <c r="O190" i="1"/>
  <c r="M190" i="1"/>
  <c r="N190" i="1" s="1"/>
  <c r="O33" i="1"/>
  <c r="M33" i="1"/>
  <c r="N33" i="1" s="1"/>
  <c r="O133" i="1"/>
  <c r="L132" i="1"/>
  <c r="L126" i="1" s="1"/>
  <c r="M133" i="1"/>
  <c r="N133" i="1" s="1"/>
  <c r="M129" i="1"/>
  <c r="N129" i="1" s="1"/>
  <c r="O129" i="1"/>
  <c r="O102" i="1"/>
  <c r="M102" i="1"/>
  <c r="N102" i="1" s="1"/>
  <c r="O163" i="1"/>
  <c r="M163" i="1"/>
  <c r="N163" i="1" s="1"/>
  <c r="O94" i="1"/>
  <c r="M94" i="1"/>
  <c r="N94" i="1" s="1"/>
  <c r="O213" i="1"/>
  <c r="J26" i="6" s="1"/>
  <c r="M213" i="1"/>
  <c r="G26" i="6"/>
  <c r="O186" i="1"/>
  <c r="M186" i="1"/>
  <c r="N186" i="1" s="1"/>
  <c r="L35" i="1"/>
  <c r="L32" i="1" s="1"/>
  <c r="M36" i="1"/>
  <c r="N36" i="1" s="1"/>
  <c r="O36" i="1"/>
  <c r="M121" i="1"/>
  <c r="N121" i="1" s="1"/>
  <c r="L120" i="1"/>
  <c r="O121" i="1"/>
  <c r="M113" i="1"/>
  <c r="N113" i="1" s="1"/>
  <c r="O113" i="1"/>
  <c r="M168" i="1"/>
  <c r="N168" i="1" s="1"/>
  <c r="O168" i="1"/>
  <c r="L76" i="1"/>
  <c r="O77" i="1"/>
  <c r="M77" i="1"/>
  <c r="N77" i="1" s="1"/>
  <c r="M89" i="1"/>
  <c r="O89" i="1"/>
  <c r="O174" i="1"/>
  <c r="L173" i="1"/>
  <c r="M174" i="1"/>
  <c r="N174" i="1" s="1"/>
  <c r="O207" i="1"/>
  <c r="J24" i="6" s="1"/>
  <c r="G24" i="6"/>
  <c r="M56" i="1"/>
  <c r="O56" i="1"/>
  <c r="O166" i="1"/>
  <c r="M166" i="1"/>
  <c r="N166" i="1" s="1"/>
  <c r="M41" i="1"/>
  <c r="L40" i="1"/>
  <c r="O41" i="1"/>
  <c r="M24" i="1"/>
  <c r="N24" i="1" s="1"/>
  <c r="O24" i="1"/>
  <c r="L23" i="1"/>
  <c r="O81" i="1"/>
  <c r="N81" i="1"/>
  <c r="O60" i="1"/>
  <c r="M60" i="1"/>
  <c r="N60" i="1" s="1"/>
  <c r="M68" i="1"/>
  <c r="N68" i="1" s="1"/>
  <c r="L67" i="1"/>
  <c r="O68" i="1"/>
  <c r="O74" i="1"/>
  <c r="M74" i="1"/>
  <c r="N74" i="1" s="1"/>
  <c r="O211" i="1"/>
  <c r="J25" i="6" s="1"/>
  <c r="M211" i="1"/>
  <c r="G25" i="6"/>
  <c r="O157" i="1"/>
  <c r="M157" i="1"/>
  <c r="N157" i="1" s="1"/>
  <c r="O180" i="1"/>
  <c r="M180" i="1"/>
  <c r="N180" i="1" s="1"/>
  <c r="M154" i="1"/>
  <c r="N154" i="1" s="1"/>
  <c r="O154" i="1"/>
  <c r="L153" i="1"/>
  <c r="L142" i="1" s="1"/>
  <c r="M139" i="1"/>
  <c r="N139" i="1" s="1"/>
  <c r="O139" i="1"/>
  <c r="M195" i="1"/>
  <c r="N195" i="1" s="1"/>
  <c r="O195" i="1"/>
  <c r="O17" i="1"/>
  <c r="M17" i="1"/>
  <c r="N17" i="1" s="1"/>
  <c r="M148" i="1"/>
  <c r="O148" i="1"/>
  <c r="O28" i="1"/>
  <c r="M28" i="1"/>
  <c r="N28" i="1" s="1"/>
  <c r="M143" i="1"/>
  <c r="N143" i="1" s="1"/>
  <c r="O143" i="1"/>
  <c r="M92" i="1"/>
  <c r="N92" i="1" s="1"/>
  <c r="O92" i="1"/>
  <c r="N130" i="1"/>
  <c r="N183" i="1"/>
  <c r="O107" i="1" l="1"/>
  <c r="M107" i="1"/>
  <c r="N107" i="1" s="1"/>
  <c r="N56" i="1"/>
  <c r="N89" i="1"/>
  <c r="L106" i="1"/>
  <c r="O106" i="1" s="1"/>
  <c r="J20" i="6" s="1"/>
  <c r="N41" i="1"/>
  <c r="N58" i="1"/>
  <c r="N148" i="1"/>
  <c r="O16" i="1"/>
  <c r="N16" i="1"/>
  <c r="L15" i="1"/>
  <c r="N207" i="1"/>
  <c r="I24" i="6" s="1"/>
  <c r="H24" i="6"/>
  <c r="N213" i="1"/>
  <c r="I26" i="6" s="1"/>
  <c r="H26" i="6"/>
  <c r="M91" i="1"/>
  <c r="N91" i="1" s="1"/>
  <c r="O91" i="1"/>
  <c r="M32" i="1"/>
  <c r="G16" i="6"/>
  <c r="O32" i="1"/>
  <c r="J16" i="6" s="1"/>
  <c r="O126" i="1"/>
  <c r="J21" i="6" s="1"/>
  <c r="M126" i="1"/>
  <c r="G21" i="6"/>
  <c r="O201" i="1"/>
  <c r="M201" i="1"/>
  <c r="N201" i="1" s="1"/>
  <c r="G22" i="6"/>
  <c r="M142" i="1"/>
  <c r="O142" i="1"/>
  <c r="J22" i="6" s="1"/>
  <c r="H25" i="6"/>
  <c r="N211" i="1"/>
  <c r="I25" i="6" s="1"/>
  <c r="M23" i="1"/>
  <c r="N23" i="1" s="1"/>
  <c r="O23" i="1"/>
  <c r="O40" i="1"/>
  <c r="L39" i="1"/>
  <c r="M40" i="1"/>
  <c r="N40" i="1" s="1"/>
  <c r="O76" i="1"/>
  <c r="M76" i="1"/>
  <c r="N76" i="1" s="1"/>
  <c r="O67" i="1"/>
  <c r="M67" i="1"/>
  <c r="N67" i="1" s="1"/>
  <c r="L64" i="1"/>
  <c r="L80" i="1"/>
  <c r="O185" i="1"/>
  <c r="M185" i="1"/>
  <c r="N185" i="1" s="1"/>
  <c r="O132" i="1"/>
  <c r="M132" i="1"/>
  <c r="N132" i="1" s="1"/>
  <c r="O153" i="1"/>
  <c r="M153" i="1"/>
  <c r="N153" i="1" s="1"/>
  <c r="M173" i="1"/>
  <c r="O173" i="1"/>
  <c r="L172" i="1"/>
  <c r="O120" i="1"/>
  <c r="M120" i="1"/>
  <c r="N120" i="1" s="1"/>
  <c r="M35" i="1"/>
  <c r="N35" i="1" s="1"/>
  <c r="O35" i="1"/>
  <c r="O52" i="1"/>
  <c r="M52" i="1"/>
  <c r="N52" i="1" s="1"/>
  <c r="C9" i="7" l="1"/>
  <c r="C10" i="7"/>
  <c r="O15" i="1"/>
  <c r="J15" i="6" s="1"/>
  <c r="N173" i="1"/>
  <c r="M106" i="1"/>
  <c r="N106" i="1" s="1"/>
  <c r="I20" i="6" s="1"/>
  <c r="G20" i="6"/>
  <c r="G23" i="6"/>
  <c r="O172" i="1"/>
  <c r="J23" i="6" s="1"/>
  <c r="M172" i="1"/>
  <c r="O80" i="1"/>
  <c r="J19" i="6" s="1"/>
  <c r="G19" i="6"/>
  <c r="M80" i="1"/>
  <c r="C8" i="7"/>
  <c r="G8" i="6"/>
  <c r="M8" i="1"/>
  <c r="O8" i="1"/>
  <c r="J8" i="6" s="1"/>
  <c r="H22" i="6"/>
  <c r="N142" i="1"/>
  <c r="I22" i="6" s="1"/>
  <c r="M15" i="1"/>
  <c r="G15" i="6"/>
  <c r="O64" i="1"/>
  <c r="J18" i="6" s="1"/>
  <c r="G18" i="6"/>
  <c r="M64" i="1"/>
  <c r="O39" i="1"/>
  <c r="J17" i="6" s="1"/>
  <c r="G17" i="6"/>
  <c r="M39" i="1"/>
  <c r="N126" i="1"/>
  <c r="I21" i="6" s="1"/>
  <c r="H21" i="6"/>
  <c r="N32" i="1"/>
  <c r="I16" i="6" s="1"/>
  <c r="H16" i="6"/>
  <c r="O11" i="1" l="1"/>
  <c r="J11" i="6" s="1"/>
  <c r="H20" i="6"/>
  <c r="M11" i="1"/>
  <c r="G11" i="6"/>
  <c r="N64" i="1"/>
  <c r="I18" i="6" s="1"/>
  <c r="H18" i="6"/>
  <c r="N39" i="1"/>
  <c r="I17" i="6" s="1"/>
  <c r="H17" i="6"/>
  <c r="O10" i="1"/>
  <c r="J10" i="6" s="1"/>
  <c r="G10" i="6"/>
  <c r="M10" i="1"/>
  <c r="D10" i="7" s="1"/>
  <c r="N80" i="1"/>
  <c r="I19" i="6" s="1"/>
  <c r="H19" i="6"/>
  <c r="H15" i="6"/>
  <c r="N15" i="1"/>
  <c r="I15" i="6" s="1"/>
  <c r="D8" i="7"/>
  <c r="N8" i="1"/>
  <c r="I8" i="6" s="1"/>
  <c r="H8" i="6"/>
  <c r="C11" i="7"/>
  <c r="G6" i="6"/>
  <c r="O6" i="1"/>
  <c r="J6" i="6" s="1"/>
  <c r="M6" i="1"/>
  <c r="N6" i="1" s="1"/>
  <c r="N172" i="1"/>
  <c r="I23" i="6" s="1"/>
  <c r="H23" i="6"/>
  <c r="H11" i="6" l="1"/>
  <c r="N11" i="1"/>
  <c r="I11" i="6" s="1"/>
  <c r="D9" i="7"/>
  <c r="H6" i="6"/>
  <c r="I6" i="6"/>
  <c r="D11" i="7"/>
  <c r="N10" i="1"/>
  <c r="I10" i="6" s="1"/>
  <c r="H10" i="6"/>
  <c r="L104" i="2"/>
  <c r="L118" i="2"/>
  <c r="L8" i="2"/>
  <c r="L69" i="2"/>
  <c r="L66" i="2"/>
  <c r="L116" i="2"/>
  <c r="L106" i="2"/>
  <c r="L21" i="2"/>
  <c r="L43" i="2"/>
  <c r="L58" i="2"/>
  <c r="L23" i="2"/>
  <c r="L105" i="2"/>
  <c r="L115" i="2"/>
  <c r="L131" i="2"/>
  <c r="L97" i="2"/>
  <c r="L34" i="2"/>
  <c r="L95" i="2"/>
  <c r="L70" i="2"/>
  <c r="L49" i="2"/>
  <c r="L93" i="2"/>
  <c r="L65" i="2"/>
  <c r="L146" i="2"/>
  <c r="L36" i="2"/>
  <c r="L84" i="2"/>
  <c r="L74" i="2"/>
  <c r="L61" i="2"/>
  <c r="L145" i="2"/>
  <c r="L35" i="2"/>
  <c r="L121" i="2"/>
  <c r="L57" i="2"/>
  <c r="L126" i="2"/>
  <c r="L114" i="2"/>
  <c r="L111" i="2"/>
  <c r="L88" i="2"/>
  <c r="L135" i="2"/>
  <c r="L130" i="2"/>
  <c r="L75" i="2"/>
  <c r="L149" i="2"/>
  <c r="L107" i="2"/>
  <c r="L127" i="2"/>
  <c r="L144" i="2"/>
  <c r="L79" i="2"/>
  <c r="L77" i="2"/>
  <c r="L24" i="2"/>
  <c r="L83" i="2"/>
  <c r="L17" i="2"/>
  <c r="L132" i="2"/>
  <c r="L138" i="2"/>
  <c r="L45" i="2"/>
  <c r="L60" i="2"/>
  <c r="L62" i="2"/>
  <c r="L125" i="2"/>
  <c r="L136" i="2"/>
  <c r="L41" i="2"/>
  <c r="L123" i="2"/>
  <c r="L28" i="2"/>
  <c r="L18" i="2"/>
  <c r="L15" i="2"/>
  <c r="L101" i="2"/>
  <c r="L99" i="2"/>
  <c r="L98" i="2"/>
  <c r="L119" i="2"/>
  <c r="L63" i="2"/>
  <c r="L44" i="2"/>
  <c r="L120" i="2"/>
  <c r="L141" i="2"/>
  <c r="L102" i="2"/>
  <c r="L19" i="2"/>
  <c r="L71" i="2"/>
  <c r="L38" i="2"/>
  <c r="L27" i="2"/>
  <c r="L137" i="2"/>
  <c r="L122" i="2"/>
  <c r="L26" i="2"/>
  <c r="L92" i="2"/>
  <c r="L64" i="2"/>
  <c r="L32" i="2"/>
  <c r="L25" i="2"/>
  <c r="L16" i="2"/>
  <c r="L91" i="2"/>
  <c r="L152" i="2"/>
  <c r="L113" i="2"/>
  <c r="L73" i="2"/>
  <c r="L20" i="2"/>
  <c r="L14" i="2"/>
  <c r="L10" i="2"/>
  <c r="L72" i="2"/>
  <c r="L124" i="2"/>
  <c r="L142" i="2"/>
  <c r="L90" i="2"/>
  <c r="L133" i="2"/>
  <c r="L100" i="2"/>
  <c r="L89" i="2"/>
  <c r="L29" i="2"/>
  <c r="L139" i="2"/>
  <c r="L108" i="2"/>
  <c r="L86" i="2"/>
  <c r="L31" i="2"/>
  <c r="L112" i="2"/>
  <c r="L128" i="2"/>
  <c r="L59" i="2"/>
  <c r="L30" i="2"/>
  <c r="L40" i="2"/>
  <c r="L50" i="2"/>
  <c r="L87" i="2"/>
  <c r="L48" i="2"/>
  <c r="L129" i="2"/>
  <c r="L103" i="2"/>
  <c r="L68" i="2"/>
  <c r="L42" i="2"/>
  <c r="L117" i="2"/>
  <c r="L39" i="2"/>
  <c r="L78" i="2"/>
  <c r="L150" i="2"/>
  <c r="L96" i="2"/>
  <c r="L85" i="2"/>
  <c r="L109" i="2"/>
  <c r="L110" i="2"/>
  <c r="I206" i="1"/>
  <c r="H119" i="2"/>
  <c r="G119" i="2"/>
  <c r="AL119" i="2" s="1"/>
  <c r="C38" i="5"/>
  <c r="D38" i="5" s="1"/>
  <c r="I201" i="1" l="1"/>
  <c r="I10" i="1"/>
  <c r="I6" i="1" s="1"/>
  <c r="D18" i="5"/>
  <c r="C30" i="5"/>
  <c r="D30" i="5" s="1"/>
  <c r="J206" i="1"/>
  <c r="J10" i="1" s="1"/>
  <c r="J6" i="1" s="1"/>
  <c r="I172" i="1"/>
  <c r="C74" i="5"/>
  <c r="D10" i="16" s="1"/>
  <c r="D10" i="6" l="1"/>
  <c r="D7" i="5"/>
  <c r="D74" i="5"/>
  <c r="D64" i="5" s="1"/>
  <c r="N10" i="16"/>
  <c r="N16" i="16" s="1"/>
  <c r="K10" i="16"/>
  <c r="L10" i="16" s="1"/>
  <c r="M10" i="16"/>
  <c r="M16" i="16" s="1"/>
  <c r="M3" i="16" s="1"/>
  <c r="I10" i="16"/>
  <c r="I16" i="16" s="1"/>
  <c r="I3" i="16" s="1"/>
  <c r="D16" i="16"/>
  <c r="D17" i="16" s="1"/>
  <c r="H18" i="16" s="1"/>
  <c r="J201" i="1"/>
  <c r="C64" i="5"/>
  <c r="F10" i="16"/>
  <c r="Q10" i="16" s="1"/>
  <c r="D23" i="6"/>
  <c r="C52" i="6" s="1"/>
  <c r="C43" i="6" s="1"/>
  <c r="D6" i="6" l="1"/>
  <c r="P10" i="16"/>
  <c r="K18" i="16"/>
  <c r="K16" i="16"/>
  <c r="E10" i="6"/>
  <c r="J172" i="1"/>
  <c r="E6" i="6" s="1"/>
  <c r="F16" i="16"/>
  <c r="Q16" i="16" s="1"/>
  <c r="F17" i="16" l="1"/>
  <c r="L16" i="16"/>
  <c r="L3" i="16" s="1"/>
  <c r="E23" i="6"/>
  <c r="D52" i="6" s="1"/>
  <c r="D43" i="6" s="1"/>
  <c r="P16" i="16" l="1"/>
  <c r="R12" i="2" l="1"/>
  <c r="S12" i="2" s="1"/>
  <c r="Y166" i="2"/>
  <c r="Z166" i="2" s="1"/>
  <c r="AF166" i="2"/>
  <c r="AG166" i="2" s="1"/>
  <c r="R166" i="2"/>
  <c r="S166" i="2" s="1"/>
  <c r="K166" i="2"/>
  <c r="L166" i="2" s="1"/>
  <c r="AL166" i="2"/>
  <c r="Y12" i="2" l="1"/>
  <c r="Z12" i="2" s="1"/>
  <c r="K12" i="2"/>
  <c r="L12" i="2" s="1"/>
  <c r="AF12" i="2"/>
  <c r="AG12" i="2" s="1"/>
  <c r="R6" i="2"/>
  <c r="S6" i="2" s="1"/>
  <c r="G2" i="2"/>
  <c r="K6" i="2"/>
  <c r="L6" i="2" s="1"/>
  <c r="AF6" i="2"/>
  <c r="AG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120" authorId="0" shapeId="0" xr:uid="{00000000-0006-0000-0700-000001000000}">
      <text>
        <r>
          <rPr>
            <b/>
            <sz val="9"/>
            <color indexed="81"/>
            <rFont val="Tahoma"/>
            <family val="2"/>
            <charset val="186"/>
          </rPr>
          <t>Author:</t>
        </r>
        <r>
          <rPr>
            <sz val="9"/>
            <color indexed="81"/>
            <rFont val="Tahoma"/>
            <family val="2"/>
            <charset val="186"/>
          </rPr>
          <t xml:space="preserve">
</t>
        </r>
        <r>
          <rPr>
            <sz val="14"/>
            <color indexed="81"/>
            <rFont val="Tahoma"/>
            <family val="2"/>
            <charset val="186"/>
          </rPr>
          <t>Līdz 17.12. MK sēdei šeit bija rezerve 1186027 euro apmērā.</t>
        </r>
      </text>
    </comment>
    <comment ref="I122" authorId="0" shapeId="0" xr:uid="{00000000-0006-0000-0700-000002000000}">
      <text>
        <r>
          <rPr>
            <b/>
            <sz val="9"/>
            <color indexed="81"/>
            <rFont val="Tahoma"/>
            <family val="2"/>
            <charset val="186"/>
          </rPr>
          <t>Author:</t>
        </r>
        <r>
          <rPr>
            <sz val="9"/>
            <color indexed="81"/>
            <rFont val="Tahoma"/>
            <family val="2"/>
            <charset val="186"/>
          </rPr>
          <t xml:space="preserve">
Līdz 19.05.2020. MK sēdei ;seit bija rezerve 4 250 000 euro</t>
        </r>
      </text>
    </comment>
  </commentList>
</comments>
</file>

<file path=xl/sharedStrings.xml><?xml version="1.0" encoding="utf-8"?>
<sst xmlns="http://schemas.openxmlformats.org/spreadsheetml/2006/main" count="4295" uniqueCount="1617">
  <si>
    <t>1.</t>
  </si>
  <si>
    <t>Pētniecība, tehnoloģiju attīstība un inovācijas</t>
  </si>
  <si>
    <t>Fonds</t>
  </si>
  <si>
    <t>Nr.</t>
  </si>
  <si>
    <t>1.1.</t>
  </si>
  <si>
    <t>Uzlabot P&amp;I infrastruktūru un spēju attīstīt P&amp;I izcilību, kā arī veicināt kompetences centru, it īpaši Eiropas nozīmes centru, izveidi.</t>
  </si>
  <si>
    <t>Palielināt Latvijas zinātnisko institūciju pētniecisko un inovatīvo kapacitāti un spēju piesaistīt ārējo finansējumu, ieguldot cilvēkresursos un infrastruktūrā.</t>
  </si>
  <si>
    <t>1.2.</t>
  </si>
  <si>
    <t>Palielināt privātā sektora investīcijas P&amp;A.</t>
  </si>
  <si>
    <t>Veicināt inovāciju ieviešanu komersantos.</t>
  </si>
  <si>
    <t>2.1.</t>
  </si>
  <si>
    <t>Komentāri</t>
  </si>
  <si>
    <t>2.</t>
  </si>
  <si>
    <t>IKT pieejamība, e-pārvalde un pakalpojumi</t>
  </si>
  <si>
    <t>Paplašināt platjoslas pakalpojumu izvietojumu un sekmējot ātrgaitas tīklu attīstību un atbalstot jauno tehnoloģiju un tīklu ieviešanu digitālās ekonomikas vajadzībām</t>
  </si>
  <si>
    <t>Uzlabot elektroniskās sakaru infrastruktūras pieejamību  lauku teritorijās</t>
  </si>
  <si>
    <t>2.2.</t>
  </si>
  <si>
    <t>Stiprināt IKT lietojumprogrammas e-pārvaldes, e- mācību, eiekļaušanas, e-kultūras un e-veselības jomā</t>
  </si>
  <si>
    <t>3.</t>
  </si>
  <si>
    <t>Mazo un vidējo komersantu konkurētspēja</t>
  </si>
  <si>
    <t>3.1.</t>
  </si>
  <si>
    <t>Veicināt uzņēmējdarbību, jo īpaši atvieglojot jaunu ideju izmantošanu ekonomikā un atbalstot jaunu uzņēmumu izveidi, tostarp ar uzņēmumu inkubatoru palīdzību</t>
  </si>
  <si>
    <t>3.2.</t>
  </si>
  <si>
    <t>3.3.</t>
  </si>
  <si>
    <t>3.4.</t>
  </si>
  <si>
    <t>Valsts pārvaldes profesionālā pilnveide labāka tiesiskā regulējuma izstrādei mazo un vidējo saimnieciskās darbības veicēju  atbalsta, korupcijas novēršanas un ēnu ekonomikas mazināšanas jomās</t>
  </si>
  <si>
    <t>Atbalstīt MVK spēju panākt izaugsmi reģionālos, valsts un starptautiskos tirgos un iesaistīties inovāciju procesos</t>
  </si>
  <si>
    <t>Atbalstīt uzlabotu spēju radīšanu un paplašināšanu produktu un pakalpojumu attīstībai.</t>
  </si>
  <si>
    <t>Investīcijas institucionālajās spējās un efektīvā valsts pārvaldē un publiskajos pakalpojumos valsts,
reģionālajā un vietējā līmenī, lai panāktu reformas, labāku regulējumu un labu pārvaldību.</t>
  </si>
  <si>
    <t>4.</t>
  </si>
  <si>
    <t>Pāreja uz ekonomiku ar zemu oglekļa emisijas līmeni visās nozarēs</t>
  </si>
  <si>
    <t>4.1.</t>
  </si>
  <si>
    <t>4.2.</t>
  </si>
  <si>
    <t>4.5.</t>
  </si>
  <si>
    <t>Veicināt energoefektivitātes paaugstināšanu valsts un dzīvojamās ēkās</t>
  </si>
  <si>
    <t xml:space="preserve"> Attīstīt videi draudzīgu sabiedriskā transporta infrastruktūru.</t>
  </si>
  <si>
    <t>Nodrošināt publisko datu atkalizmantošanas pieaugumu un efektīvu publiskās pārvaldes un privātā sektora mijiedarbību</t>
  </si>
  <si>
    <t>Sekmēt MVK izveidi un
Attīstību, īpaši apstrādes rūpniecībā un RIS3 prioritārajās nozarēs</t>
  </si>
  <si>
    <t>Palielināt straujas izaugsmes komersantu skaitu</t>
  </si>
  <si>
    <t xml:space="preserve"> Palielināt augstas pievienotās vērtības produktu un pakalpojumu eksporta proporciju</t>
  </si>
  <si>
    <t>Palielināt privāto investīciju apjomu reģionos, veicot ieguldījumus uzņēmējdarbības attīstībai atbilstoši pašvaldību attīstības programmās noteiktajai teritoriju ekonomiskajai specializācijai un balstoties uz vietējo uzņēmēju vajadzībām</t>
  </si>
  <si>
    <t xml:space="preserve"> Paaugstināt tiesu un tiesībsargājošo institūciju personāla kompetenci komercdarbības vides uzlabošanas sekmēšanai</t>
  </si>
  <si>
    <t>Atbalstīt energoefektivitāti, viedu energovadību un atjaunojamo energoresursu izmantošanu
sabiedriskajā infrastruktūrā, tostarp sabiedriskajās ēkās un mājokļu sektorā.</t>
  </si>
  <si>
    <t>Veicināt energoefektivitāti un atjaunojamo energoresursu izmantošanu uzņēmumos</t>
  </si>
  <si>
    <t xml:space="preserve"> Veicināt efektīvu energoresursu izmantošanu un enerģijas patēriņa samazināšanu un pāreju uz AER apstrādes rūpniecības nozarē</t>
  </si>
  <si>
    <t>4.3.</t>
  </si>
  <si>
    <t>Atbilstoši pašvaldības integrētajiem attīstības programmām sekmēt energoefektivitātes paaugstināšanu un AER izmantošanu pašvaldību ēkās.</t>
  </si>
  <si>
    <t>4.4.</t>
  </si>
  <si>
    <t>Veicināt no atjaunojamiem energoresursiem iegūtas enerģijas ražošanu un sadali.</t>
  </si>
  <si>
    <t>Veicināt energoefektivitāti un vietējo atjaunojamo energoresursu izmantošanu centralizētajā siltumapgādē</t>
  </si>
  <si>
    <t>Veicināt zemu oglekļa emisiju stratēģijas visu veidu teritorijām, jo īpaši pilsētām, tostarp ilgtspējīgu multimodālo mobilitāti pilsētās un ar ietekmes mazināšanu saistītus pielāgošanās pasākumus</t>
  </si>
  <si>
    <t>5.</t>
  </si>
  <si>
    <t>5.1.</t>
  </si>
  <si>
    <t>5.2.</t>
  </si>
  <si>
    <t>5.3.</t>
  </si>
  <si>
    <t>5.4.</t>
  </si>
  <si>
    <t>5.5.</t>
  </si>
  <si>
    <t>5.6.</t>
  </si>
  <si>
    <t xml:space="preserve"> Atbalstīt investīcijas, kas paredzētas, lai pielāgotos klimata pārmaiņām, tostarp izmantojot uz ekosistēmām balstītas pieejas. </t>
  </si>
  <si>
    <t xml:space="preserve">Novērst plūdu un krasta erozijas risku apdraudējumu pilsētu teritorijās. </t>
  </si>
  <si>
    <t>Samazināt plūdu riskus lauku teritorijās</t>
  </si>
  <si>
    <t>Veicināt dažāda veida atkritumu atkārtotu izmantošanu, pārstrādi un reģenerāciju.</t>
  </si>
  <si>
    <t xml:space="preserve">Investēt ūdenssaimniecības nozarē, lai ievērotu Savienības acquis noteiktās prasības vides jomā un nodrošinātu dalībvalstu identificētās investīciju vajadzības, kas pārsniedz minētās prasības. </t>
  </si>
  <si>
    <t xml:space="preserve">Attīstīt un uzlabot ūdensapgādes un kanalizācijas sistēmas pakalpojumu kvalitāti un nodrošināt pieslēgšanas iespējas </t>
  </si>
  <si>
    <t>Aizsargāt un atjaunot bioloģisko daudzveidību un augsni un veicināt ekosistēmu pakalpojumus, tostarp ar Natura 2000 un zaļoinfrastruktūru.</t>
  </si>
  <si>
    <t>Saglabāt un atjaunot bioloģisko daudzveidību un aizsargāt ekosistēmas.</t>
  </si>
  <si>
    <t>Nodrošināt vides monitoringa kontroles sistēmas attīstību un savlaicīgu vides risku novēršanu, kā arī sabiedrības līdzdalību vides pārvaldībā.</t>
  </si>
  <si>
    <t>Saglabāt, aizsargāt, veicināt un attīstīt dabas un kultūras mantojumu</t>
  </si>
  <si>
    <t>Saglabāt, aizsargāt un attīstīt nozīmīgu kultūras un dabas mantojumu, kā arī attīstīt ar to saistītos pakalpojumus</t>
  </si>
  <si>
    <t>Veikt darbības, lai uzlabotu pilsētvidi, revitalizētu pilsētas, atjaunotu un attīrītu pamestas rūpnieciskās
teritorijas (tai skaitā pārveidei paredzētās zonas), samazinātu gaisa piesārņojumu un veicinātu trokšņa mazināšanas pasākumus</t>
  </si>
  <si>
    <t>Teritoriju revitalizācija, reģenerējot degradētās teritorijas atbilstoši pašvaldības integrētajām attīstības programmām.</t>
  </si>
  <si>
    <t>6.</t>
  </si>
  <si>
    <t>6.1.</t>
  </si>
  <si>
    <t>6.2.</t>
  </si>
  <si>
    <t>6.3.</t>
  </si>
  <si>
    <t>Ilgtspējīga transporta sistēma</t>
  </si>
  <si>
    <t>Atbalstīt multimodālu Eiropas vienoto transporta telpu, investējot TEN-T</t>
  </si>
  <si>
    <t>Palielināt ostu drošības līmeni un uzlabot transporta tīkla mobilitāti</t>
  </si>
  <si>
    <t>Palielināt drošību un vides prasību ievērošanu starptautiskajā lidostā “Rīga”</t>
  </si>
  <si>
    <t>Nodrošināt nepieciešamo infrastruktūru uz Rīgas maģistrālajiem pārvadiem un novērst maģistrālo ielu fragmentāro raksturu</t>
  </si>
  <si>
    <t>Pilsētu infrastruktūrassasaiste ar TEN-T tīklu</t>
  </si>
  <si>
    <t>Valsts galveno autoceļu segu pārbūve, nestspējas palielināšana</t>
  </si>
  <si>
    <t>Attīstīt un atjaunot visaptverošu, kvalitatīvu un savstarpēji savietojamu dzelzceļa sistēmu un veicinot trokšņa mazināšanas pasākumus</t>
  </si>
  <si>
    <t xml:space="preserve"> Nodrošināt konkurētspējīgu un videi draudzīgu TEN-T dzelzceļa tīklu, veicinot tā drošību, kvalitāti un kapacitāti.</t>
  </si>
  <si>
    <t>Pastiprināt reģionālo mobilitāti, pievienojot sekundāros un terciāros transporta mezglus, tostarp multimodālos mezglus, TEN-T infrastruktūrai</t>
  </si>
  <si>
    <t>Palielināt reģionālo mobilitāti, uzlabojot valsts reģionālo autoceļu kvalitāti</t>
  </si>
  <si>
    <t>7.</t>
  </si>
  <si>
    <t>7.1.</t>
  </si>
  <si>
    <t>7.2.</t>
  </si>
  <si>
    <t>7.3.</t>
  </si>
  <si>
    <t xml:space="preserve">Nodarbinātības pieejamības nodrošināšana darba meklētājiem un neaktīvām personām, tostarp ilgstošiem bezdarbniekiem un no darba tirgus attālinātām personām, kā arī izmantojot vietējās nodarbinātības iniciatīvas un atbalstu
darbaspēka mobilitātei. </t>
  </si>
  <si>
    <t>Paaugstināt bezdarbnieku kvalifikāciju un prasmes atbilstoši darba tirgus pieprasījumam.</t>
  </si>
  <si>
    <t xml:space="preserve"> Izveidot Darba tirgus apsteidzošo pārkārtojumu sistēmu, nodrošinot tās sasaisti ar Nodarbinātības barometru.</t>
  </si>
  <si>
    <t>Palielināt nodarbinātībā, izglītībā vai apmācībās neiesaistītu jauniešu nodarbinātību un izglītības ieguvi Jauniešu garantijas ietvaros.</t>
  </si>
  <si>
    <t>Darba ņēmēju, uzņēmumu un uzņēmēju pielāgošanās
pārmaiņām.</t>
  </si>
  <si>
    <t xml:space="preserve"> Uzlabot darba drošību, it īpaši bīstamo nozaru uzņēmumos.</t>
  </si>
  <si>
    <t>Paildzināt gados vecāku nodarbināto darbspēju saglabāšanu un nodarbinātību.</t>
  </si>
  <si>
    <t>8.</t>
  </si>
  <si>
    <t>Izglītība, prasmes un mūžizglītība</t>
  </si>
  <si>
    <t>8.1.</t>
  </si>
  <si>
    <t xml:space="preserve"> Investīcijas izglītībā un apmācībā, tostarp profesionālajā apmācībā, lai nodrošinātu prasmju apgūšanu un mūžizglītību, attīstot izglītības un apmācības infrastruktūru</t>
  </si>
  <si>
    <t>Palielināt modernizēto STEM t.sk. medicīnas un radošās industrijas, studiju programmu skaitu</t>
  </si>
  <si>
    <t>Uzlabot vispārējās izglītības iestāžu mācību vidi</t>
  </si>
  <si>
    <t>Palielināt modernizēto profesionālās izglītības iestāžu skaitu.</t>
  </si>
  <si>
    <t>Uzlabot pirmā līmeņa profesionālās augstākās izglītības STEM, t.sk. medicīnas un radošās industrijas, studiju mācību vidi koledžās8.2</t>
  </si>
  <si>
    <t>8.2.</t>
  </si>
  <si>
    <t>Augstākās izglītības vai pielīdzināma līmeņa izglītības kvalitātes, efektivitātes un
pieejamības uzlabošana nolūkā palielināt līdzdalības un sasniegumu līmeni, jo īpaši nelabvēlīgā situācijā esošām grupām.</t>
  </si>
  <si>
    <t>Samazināt studiju programmu fragmentāciju un stiprināt resursu koplietošanu.</t>
  </si>
  <si>
    <t>8.3.</t>
  </si>
  <si>
    <t>Stiprināt augstākās izglītības institūciju akadēmisko personālu stratēģiskās specializācijas jomās</t>
  </si>
  <si>
    <t>Nodrošināt labāku pārvaldību augstākās izglītības institucijās</t>
  </si>
  <si>
    <t>Nodrošināt atbalstu EQAR aģentūrai izvirzīto prasību izpildei</t>
  </si>
  <si>
    <t>Priekšlaicīgas mācību pārtraukšanas samazināšana un novēršana un vienlīdzīgas pieejas veicināšana kvalitatīvai pirmsskolas, pamatskolas un vidusskolas izglītībai, tostarp formālām, neformālām un ikdienējām mācību iespējām, kas ļauj mācības pametušajām personām atsākt izglītības iegūšanu un mācības.</t>
  </si>
  <si>
    <t>Attīstīt kompetenču pieejā balstītu vispārējās izglītības saturu</t>
  </si>
  <si>
    <t>Palielināt atbalstu vispārējās izglītības iestādēm izglītojamo individuālo kompetenču attīstībai</t>
  </si>
  <si>
    <t>Attīstīt NVA nereģistrēto NEET jauniešu prasmes un veicināt to iesaisti izglītībā, NVA īstenotajos pasākumos jauniešu garantijas ietvaros un nevalstisko organizāciju vai jauniešu centru darbībā.</t>
  </si>
  <si>
    <t>Samazināt priekšlaicīgu mācību pārtraukšanu, īstenojot preventīvus un intervences pasākumus</t>
  </si>
  <si>
    <t>Uzlabot pieeju karjeras atbalstam izglītojamajiem vispārējās un profesionālās izglītības iestādēs</t>
  </si>
  <si>
    <t>Ieviest izglītības kvalitātes monitoringa sistēmu</t>
  </si>
  <si>
    <t>8.4.</t>
  </si>
  <si>
    <t>Formālas, neformālas un ikdienējas mūžizglītības vienlīdzīgas pieejamības uzlabošana visām vecuma grupām, darbaspēka zināšanu, prasmju un kompetenču uzlabošana un elastīgu mācību iespēju veicināšana, tostarp ar profesionālo orientāciju un iegūto kompetenču apstiprināšanu</t>
  </si>
  <si>
    <t xml:space="preserve">Pilnveidot nodarbināto personu profesionālo kompetenci </t>
  </si>
  <si>
    <t>8.5.</t>
  </si>
  <si>
    <t>Darba tirgus nozīmes palielināšana izglītības un apmācības sistēmās, pārejas veicināšana no izglītības uz nodarbinātību un profesionālās izglītības un apmācības sistēmu un to kvalitātes uzlabošana, tostarp ar vajadzīgo prasmju prognozēšanas mehānismiem, studiju programmu pielāgošanu un uz darbu balstītu mācību programmu, tostarp duālu mācību programmu un māceklības shēmu,
izstrādi.</t>
  </si>
  <si>
    <t>Palielināt kvalificētu profesionālās izglītības iestāžu audzēkņu skaitu pēc to dalības darba vidē balstītās mācībās vai mācību praksē uzņēmumā</t>
  </si>
  <si>
    <t>Nodrošināt profesionālās izglītības atbilstību Eiropas kvalifikācijas ietvarstruktūrai</t>
  </si>
  <si>
    <t>Nodrošināt profesionālās izglītības iestāžu efektīvu pārvaldību un iesaistītā personāla profesionālās kompetences pilnveidi</t>
  </si>
  <si>
    <t>9.</t>
  </si>
  <si>
    <t>9.1.</t>
  </si>
  <si>
    <t>9.2.</t>
  </si>
  <si>
    <t>Sociālā iekļaušana un nabadzības apkarošana</t>
  </si>
  <si>
    <t>Aktīva iekļaušana ar mērķi veicināt nodarbinātību, tostarp, lai veicinātu vienlīdzīgas iespējas un aktīvu līdzdalību un uzlabotu nodarbinātību.</t>
  </si>
  <si>
    <t>Palielināt nelabvēlīgākā situācijā esošu bezdarbnieku iekļaušanos darba tirgū</t>
  </si>
  <si>
    <t>Palielināt bijušo ieslodzīto integrāciju sabiedrībā un darba tirgū</t>
  </si>
  <si>
    <t>Paaugstināt resocializācijas sistēmas efektivitāti</t>
  </si>
  <si>
    <t>Palielināt diskriminācijas riskiem pakļauto iedzīvotāju integrāciju sabiedrībā un darba tirgū</t>
  </si>
  <si>
    <t>Palielināt kvalitatīvu institucionālai aprūpei alternatīvu sociālo pakalpojumu dzīvesvietā un ģimeniskai videi pietuvinātu pakalpojumu pieejamību personām ar invaliditāti un bērniem.</t>
  </si>
  <si>
    <t xml:space="preserve"> Atbalstīt prioritāro (sirds un asinsvadu, onkoloģijas, perinatālā un neonatālā perioda aprūpes un garīgās veselības) veselības jomu veselības tīklu attīstības vadlīniju un kvalitātes nodrošināšanas sistēmas izstrādi un ieviešanu, jo īpaši sociālās atstumtības un nabadzības riskam pakļauto iedzīvotāju veselības uzlabošanai</t>
  </si>
  <si>
    <t xml:space="preserve">Uzlabot pieejamību veselības veicināšanas un slimību profilakses pakalpojumiem, jo īpaši, nabadzības un sociālās atstumtības riskam pakļautajiem iedzīvotājiem </t>
  </si>
  <si>
    <t>Uzlabot pieejamību ārstniecības un ārstniecības atbalsta personām, kas sniedz pakalpojumus prioritārajās veselības jomās iedzīvotājiem, kas dzīvo ārpus Rīgas</t>
  </si>
  <si>
    <t>Uzlabot ārstniecības un ārstniecības atbalsta personāla kvalifikāciju</t>
  </si>
  <si>
    <t>10.</t>
  </si>
  <si>
    <t>Tehniskā palīdzība  “ESF atbalsts KP fondu ieviešanai un vadībai”</t>
  </si>
  <si>
    <t>Paaugstināt informētību par KP fondiem, sniedzot atbalstu informācijas un komunikācijas pasākumiem</t>
  </si>
  <si>
    <t>11.</t>
  </si>
  <si>
    <t>12.</t>
  </si>
  <si>
    <t>Tehniskā palīdzība “ERAF atbalsts KP fondu ieviešanai un vadībai”</t>
  </si>
  <si>
    <t>Tehniskā palīdzība “KF atbalsts KP fondu ieviešanai un vadībai”</t>
  </si>
  <si>
    <t>Atbalstīt un pilnveidot KP fondu plānošanu, ieviešanu, uzraudzību un kontroli</t>
  </si>
  <si>
    <t>Uzlabot KP fondu plānošanu, ieviešanu, uzraudzību, kontroli, revīziju un atbalstīt e-kohēziju</t>
  </si>
  <si>
    <t>Apstiprinātie projekti</t>
  </si>
  <si>
    <t>Noslēgtie līgumi</t>
  </si>
  <si>
    <t>1.4.</t>
  </si>
  <si>
    <t>1.3.</t>
  </si>
  <si>
    <t>Vispārējā informācija</t>
  </si>
  <si>
    <t>Maksājumi</t>
  </si>
  <si>
    <t>Piešķīrums</t>
  </si>
  <si>
    <t>Prioritārais virziens/Ieguldījumu prioritāte/SAM</t>
  </si>
  <si>
    <t xml:space="preserve">Virssaistības  atbilstoši apst. MK </t>
  </si>
  <si>
    <t xml:space="preserve">Noslēgtie līgumi </t>
  </si>
  <si>
    <t>Noslēgtie līgumi % no piešķiruma</t>
  </si>
  <si>
    <t>Praktiskas ievirzes pētījumi</t>
  </si>
  <si>
    <t>Pēcdoktorantūras pētniecības atbalsts</t>
  </si>
  <si>
    <t>Inovāciju granti studentiem</t>
  </si>
  <si>
    <t>P&amp;A infrastruktūras attīstīšana Viedās specializācijas jomās un zinātnisko institūciju institucionālās kapacitātes stiprināšana</t>
  </si>
  <si>
    <t>Atbalsts starptautiskās sadarbības projektiem pētniecībā un inovācijās</t>
  </si>
  <si>
    <t>Atbalsts jaunu produktu un tehnoloģiju izstrādei kompetences centru ietvaros</t>
  </si>
  <si>
    <t>Atbalsts tehnoloģiju pārneses sistēmas pilnveidošanai</t>
  </si>
  <si>
    <t>Atbalsts jaunu produktu ieviešanai ražošanā</t>
  </si>
  <si>
    <t>Atbalsts nodarbināto apmācībām</t>
  </si>
  <si>
    <t>Inovāciju motivācijas programma</t>
  </si>
  <si>
    <t>Centralizētu publiskās pārvaldes IKT platformu izveide, publiskās pārvaldes procesu optimizēšana un attīstība</t>
  </si>
  <si>
    <t xml:space="preserve">Digitalizācija </t>
  </si>
  <si>
    <t>Aizdevumu garantijas</t>
  </si>
  <si>
    <t>Mezanīna aizdevumi</t>
  </si>
  <si>
    <t>Biznesa enģeļu ko-investīciju fonds</t>
  </si>
  <si>
    <t>Mikrokreditēšana un aizdevumi biznesa uzsācējiem</t>
  </si>
  <si>
    <t>Atbalsts ieguldījumiem ražošanas telpu un infrastruktūras izveidei vai rekonstrukcijai</t>
  </si>
  <si>
    <t>Reģionālie biznesa inkubatori un radošo industriju inkubators</t>
  </si>
  <si>
    <t>Riska kapitāls</t>
  </si>
  <si>
    <t>Tehnoloģiju akselerators</t>
  </si>
  <si>
    <t>Starptautiskās konkurētspējas veicināšana</t>
  </si>
  <si>
    <t>Klasteru programma</t>
  </si>
  <si>
    <t>Veicināt energoefektivitātes paaugstināšanu dzīvojamās ēkās</t>
  </si>
  <si>
    <t>Veicināt energoefektivitātes paaugstināšanu valsts ēkās</t>
  </si>
  <si>
    <t>Attīstīt videi draudzīgu sabiedriskā transporta infrastruktūru (sliežu transporta)</t>
  </si>
  <si>
    <t>Attīstīt videi draudzīgu sabiedriskā transporta infrastruktūru</t>
  </si>
  <si>
    <t>Atkritumu dalītas savākšanas sistēmas attīstība</t>
  </si>
  <si>
    <t>Antropogēno slodzi mazinošas infrastruktūras izbūve un rekonstrukcija Natura 2000 teritorijās</t>
  </si>
  <si>
    <t>Pasākumi biotopu un sugu aizsardzības atjaunošanai un antropogēnas slodzes mazināšanai</t>
  </si>
  <si>
    <t>Bioloģiskās daudzveidības saglabāšanas un ekosistēmu aizsardzības priekšnoteikumi</t>
  </si>
  <si>
    <t>Nodrošināt vides monitoringa un kontroles sistēmas attīstību un savlaicīgu vides risku novēršanu, kā arī sabiedrības līdzdalību vides pārvaldībā</t>
  </si>
  <si>
    <t>Salu tilta kompleksa rekonstrukcija un Raņķa dambja un Vienības gatves, Mūkusalas ielas savienojums</t>
  </si>
  <si>
    <t>Multimodāla transporta mezgla izbūve Torņakalna apkaimē</t>
  </si>
  <si>
    <t>Rīgas ostas un Rīgas pilsētas integrēšana TEN-T tīklā</t>
  </si>
  <si>
    <t>Nacionālas nozīmes attīstības centru integrēšana TEN-T tīklā</t>
  </si>
  <si>
    <t>Latvijas dzelzceļa tīkla elektrifikācija</t>
  </si>
  <si>
    <t>Dzelzceļa infrastruktūras modernizācija un izbūve</t>
  </si>
  <si>
    <t>EURES tīkla darbības nodrošināšana</t>
  </si>
  <si>
    <t>Darba tirgus apsteidzošo pārkārtojumu sistēmas ieviešana</t>
  </si>
  <si>
    <t>Aktīvās darba tirgus politikas pasākumu īstenošana jauniešu bezdarbnieku nodarbinātības veicināšanai (papildus klāt JNI 15 515 561 EUR)*</t>
  </si>
  <si>
    <t>Sākotnējās profesionālās izglītības programmu īstenošana garantijas jauniešiem sistēmas ietvaros(papildus klāt JNI 13 495 078 EUR)*</t>
  </si>
  <si>
    <t>Jauniešu garantijas pasākumu īstenošana pēc 2018.gada</t>
  </si>
  <si>
    <t>Kompetenču pieejā balstīta vispārējās izglītības satura aprobācija</t>
  </si>
  <si>
    <t>Digitālo mācību un metodisko līdzekļu izstrāde</t>
  </si>
  <si>
    <t xml:space="preserve"> Atbalsts nacionāla un starptautiska mēroga pasākumu īstenošanai izglītojamo talantu attīstībai</t>
  </si>
  <si>
    <t>Atbalsts izglītojamo individuālo kompetenču attīstībai</t>
  </si>
  <si>
    <t>Dalība starptautiskos pētījumos un nacionālo izglītības pētījumu veikšana</t>
  </si>
  <si>
    <t>Izglītības kvalitātes monitoringa sistēmas ieviešana</t>
  </si>
  <si>
    <t>Profesionālā rehabilitācija</t>
  </si>
  <si>
    <t>Funkcionēšanas novērtēšanas un asistīvo tehnoloģiju (tehnisko palīglīdzekļu) apmaiņas sistēmas izveide un ieviešana</t>
  </si>
  <si>
    <t>Invaliditātes ekspertīzes pakalpojuma kvalitātes uzlabošana</t>
  </si>
  <si>
    <t>Dažādību veicināšana (diskriminācijas novēršana)</t>
  </si>
  <si>
    <t>Profesionāla sociālā darba attīstība pašvaldībās</t>
  </si>
  <si>
    <t>Iekļaujoša darba tirgus un nabadzības risku pētījumi un monitorings</t>
  </si>
  <si>
    <t>Darbs ar bērniem ar saskarsmes grūtībām un uzvedības traucējumiem, un ar vardarbības ģimenē gadījumiem</t>
  </si>
  <si>
    <t>Deinstitucionalizācija</t>
  </si>
  <si>
    <t>Sociālo pakalpojumu atbalsta sistēmas pilnveide</t>
  </si>
  <si>
    <t>Kompleksi  veselības veicināšanas un slimību profilakses pasākumi</t>
  </si>
  <si>
    <t>Pasākumi vietējās sabiedrības veselības veicināšanai</t>
  </si>
  <si>
    <t>9.3.</t>
  </si>
  <si>
    <t>9.3.1.</t>
  </si>
  <si>
    <t xml:space="preserve">Attīstīt pakalpojumu infrastruktūru bērnu aprūpei ģimeniskā vidē un personu ar invaliditāti neatkarīgai dzīvei un integrācijai sabiedrībā </t>
  </si>
  <si>
    <t>Pakalpojumu infrastruktūras attīstība deinstitucionalizācijas plānu īstenošanai</t>
  </si>
  <si>
    <t>Infrastruktūras attīstība funkcionēšanas novērtēšanas sistēmas un asistīvo tehnoloģiju (tehnisko palīglīdzekļu) apmaiņas fonda izveidei</t>
  </si>
  <si>
    <t>Uzlabot kvalitatīvu veselības aprūpes pakalpojumu pieejamību, jo īpaši sociālās, teritoriālās atstumtības un nabadzības riskam pakļautajiem iedzīvotājiem,  attīstot veselības aprūpes infrastruktūru</t>
  </si>
  <si>
    <t>Prioritārais virziens/Ieguldījumu prioritāte/SAM/pasākums</t>
  </si>
  <si>
    <t xml:space="preserve">Kopā VISI fondi </t>
  </si>
  <si>
    <t>Kopā ESF</t>
  </si>
  <si>
    <t>Kopā ERAF</t>
  </si>
  <si>
    <t>Kopā KF</t>
  </si>
  <si>
    <t xml:space="preserve">Kopā ESF </t>
  </si>
  <si>
    <t xml:space="preserve">Kopā JNI </t>
  </si>
  <si>
    <t>12.1.1</t>
  </si>
  <si>
    <t>11.1.1</t>
  </si>
  <si>
    <t>10.1.2</t>
  </si>
  <si>
    <t>9.3.2</t>
  </si>
  <si>
    <t>9.3.1.2</t>
  </si>
  <si>
    <t>1</t>
  </si>
  <si>
    <t>1.1.1.1</t>
  </si>
  <si>
    <t>1.1.1.2</t>
  </si>
  <si>
    <t>1.1.1.3</t>
  </si>
  <si>
    <t>1.1.1.4</t>
  </si>
  <si>
    <t>1.1.1.5</t>
  </si>
  <si>
    <t>1.2.1.1</t>
  </si>
  <si>
    <t>1.2.1.2</t>
  </si>
  <si>
    <t>1.2.1.4</t>
  </si>
  <si>
    <t>1.2.2.1</t>
  </si>
  <si>
    <t>1.2.2.2</t>
  </si>
  <si>
    <t>2</t>
  </si>
  <si>
    <t>2.1.1</t>
  </si>
  <si>
    <t>2.2.1.1</t>
  </si>
  <si>
    <t>2.2.1.2</t>
  </si>
  <si>
    <t>3</t>
  </si>
  <si>
    <t>3.1.1.1</t>
  </si>
  <si>
    <t>3.1.1.2</t>
  </si>
  <si>
    <t>3.1.1.3</t>
  </si>
  <si>
    <t>3.1.1.4</t>
  </si>
  <si>
    <t>3.1.1.5</t>
  </si>
  <si>
    <t>3.1.1.6</t>
  </si>
  <si>
    <t>3.1.2.1</t>
  </si>
  <si>
    <t>3.1.2.2</t>
  </si>
  <si>
    <t>3.3.1</t>
  </si>
  <si>
    <t>4</t>
  </si>
  <si>
    <t>4.1.1</t>
  </si>
  <si>
    <t>4.2.1.1</t>
  </si>
  <si>
    <t>4.2.1.2</t>
  </si>
  <si>
    <t>4.2.2</t>
  </si>
  <si>
    <t>4.3.1</t>
  </si>
  <si>
    <t>4.4.1</t>
  </si>
  <si>
    <t>4.5.1.1</t>
  </si>
  <si>
    <t>4.5.1.2</t>
  </si>
  <si>
    <t>5</t>
  </si>
  <si>
    <t>5.1.1</t>
  </si>
  <si>
    <t>5.1.2</t>
  </si>
  <si>
    <t>5.2.1.1</t>
  </si>
  <si>
    <t>5.2.1.2</t>
  </si>
  <si>
    <t>5.3.1</t>
  </si>
  <si>
    <t>5.4.1.1</t>
  </si>
  <si>
    <t>5.4.2.1</t>
  </si>
  <si>
    <t>5.4.2.2</t>
  </si>
  <si>
    <t>5.5.1</t>
  </si>
  <si>
    <t>5.6.1</t>
  </si>
  <si>
    <t>5.6.2</t>
  </si>
  <si>
    <t>6</t>
  </si>
  <si>
    <t>6.1.1</t>
  </si>
  <si>
    <t>6.1.2</t>
  </si>
  <si>
    <t>6.1.3.1</t>
  </si>
  <si>
    <t>6.1.3.2</t>
  </si>
  <si>
    <t>6.1.4.1</t>
  </si>
  <si>
    <t>6.1.4.2</t>
  </si>
  <si>
    <t>6.1.5</t>
  </si>
  <si>
    <t>6.2.1.1</t>
  </si>
  <si>
    <t>6.2.1.2</t>
  </si>
  <si>
    <t>6.3.1</t>
  </si>
  <si>
    <t>7</t>
  </si>
  <si>
    <t>7.1.1</t>
  </si>
  <si>
    <t>7.1.2.1</t>
  </si>
  <si>
    <t>7.1.2.2</t>
  </si>
  <si>
    <t>7.2.1.1</t>
  </si>
  <si>
    <t>7.2.1.2</t>
  </si>
  <si>
    <t>7.2.1.3</t>
  </si>
  <si>
    <t>7.3.1</t>
  </si>
  <si>
    <t>7.3.2</t>
  </si>
  <si>
    <t>8</t>
  </si>
  <si>
    <t>8.1.1</t>
  </si>
  <si>
    <t>8.1.3</t>
  </si>
  <si>
    <t>8.1.4</t>
  </si>
  <si>
    <t>8.2.1</t>
  </si>
  <si>
    <t>8.2.2</t>
  </si>
  <si>
    <t>8.2.3</t>
  </si>
  <si>
    <t>8.2.4</t>
  </si>
  <si>
    <t>8.3.1.2</t>
  </si>
  <si>
    <t>8.3.2.1</t>
  </si>
  <si>
    <t>8.3.2.2</t>
  </si>
  <si>
    <t>8.3.3</t>
  </si>
  <si>
    <t>8.3.4</t>
  </si>
  <si>
    <t>8.3.5</t>
  </si>
  <si>
    <t>8.3.6.1</t>
  </si>
  <si>
    <t>8.3.6.2</t>
  </si>
  <si>
    <t>8.5.1</t>
  </si>
  <si>
    <t>8.5.2</t>
  </si>
  <si>
    <t>8.5.3</t>
  </si>
  <si>
    <t>9</t>
  </si>
  <si>
    <t>9.1.1.1</t>
  </si>
  <si>
    <t>9.1.1.2</t>
  </si>
  <si>
    <t>9.1.1.3</t>
  </si>
  <si>
    <t>9.1.2</t>
  </si>
  <si>
    <t>9.1.3</t>
  </si>
  <si>
    <t>9.1.4.1</t>
  </si>
  <si>
    <t>9.1.4.2</t>
  </si>
  <si>
    <t>9.1.4.3</t>
  </si>
  <si>
    <t>9.1.4.4</t>
  </si>
  <si>
    <t>9.2.1.1</t>
  </si>
  <si>
    <t>9.2.1.2</t>
  </si>
  <si>
    <t>9.2.1.3</t>
  </si>
  <si>
    <t>9.2.2.1</t>
  </si>
  <si>
    <t>9.2.2.2</t>
  </si>
  <si>
    <t>9.2.3</t>
  </si>
  <si>
    <t>9.2.4.1</t>
  </si>
  <si>
    <t>9.2.4.2</t>
  </si>
  <si>
    <t>9.2.5</t>
  </si>
  <si>
    <t>9.2.6</t>
  </si>
  <si>
    <t>9.3.1.1</t>
  </si>
  <si>
    <t>ERAF</t>
  </si>
  <si>
    <t>KF</t>
  </si>
  <si>
    <t>ESF</t>
  </si>
  <si>
    <t>SM</t>
  </si>
  <si>
    <t>IZM</t>
  </si>
  <si>
    <t>EM</t>
  </si>
  <si>
    <t>VARAM</t>
  </si>
  <si>
    <t>LM</t>
  </si>
  <si>
    <t>VM</t>
  </si>
  <si>
    <t>TM</t>
  </si>
  <si>
    <t>VK</t>
  </si>
  <si>
    <t>KM</t>
  </si>
  <si>
    <t>FM</t>
  </si>
  <si>
    <t>Uzlabot elektroniskās sakaru infrastruktūras pieejamību lauku teritorijās</t>
  </si>
  <si>
    <t>JNI</t>
  </si>
  <si>
    <t>10.1.1</t>
  </si>
  <si>
    <t>Tehniskā palīdzība „Atbalsts ERAF ieviešanai un vadībai” Atbalstīt un pilnveidot KP fondu plānošanu, ieviešanu, uzraudzību un kontroli</t>
  </si>
  <si>
    <t>Aktīvās darba tirgus politikas pasākumu īstenošana jauniešu bezdarbnieku nodarbinātības veicināšanai (JNI finansējums)</t>
  </si>
  <si>
    <t>Sākotnējās profesionālās izglītības programmu īstenošana garantijas jauniešiem sistēmas ietvaros  (JNI finansējums)</t>
  </si>
  <si>
    <t>Palielināt modernizēto profesionālās izglītības iestāžu skaitu</t>
  </si>
  <si>
    <t>3.2.1.2</t>
  </si>
  <si>
    <t>Ilgstošo bezdarbnieku aktivizācijas pasākumi</t>
  </si>
  <si>
    <t>Atbalsts sociālajai uzņēmējdarbībai</t>
  </si>
  <si>
    <t>Vides aizsardzība un resursu izmantošanas efektivitāte</t>
  </si>
  <si>
    <t>Maksājumi finansējuma saņēmējiem</t>
  </si>
  <si>
    <t xml:space="preserve">Apstiprinātie projekti </t>
  </si>
  <si>
    <t xml:space="preserve">ESF </t>
  </si>
  <si>
    <t xml:space="preserve">JNI </t>
  </si>
  <si>
    <t xml:space="preserve">Kopā visi fondi </t>
  </si>
  <si>
    <t>3.1.=3./2.</t>
  </si>
  <si>
    <t>4.1.=4./2.</t>
  </si>
  <si>
    <t>5.1.=5./2.</t>
  </si>
  <si>
    <t>6.1.=6./2.</t>
  </si>
  <si>
    <t>Sekmēt uzņēmumu investīcijas P&amp;I un veidot saiknes un sinerģiju starp uzņēmumiem, pētniecības un izstrādes centriem un augstākās izglītības nozari, jo īpaši veicināt investīcijas produktu un pakalpojumu (tai skaitā radošu produktu) attīstībā, tehnoloģiju nodošanu, sociālās inovācijas, ekoinovācijas, sabiedrisko pakalpojumu lietotnes, pieprasījuma stimulēšanu, tīklu veidošanu, kopu izveidi un atvērtās inovācijas ar viedās specializācijas palīdzību un atbalstīt tehnoloģisko un lietišķo pētniecību, izmēģinājuma projektus, ražojumu apstiprināšanu to agrīnā izstrādes stadijā, ražošanas spēju palielināšanu un pirmo ražošanu, jo īpaši attiecībā uz svarīgākajām pamattehnoloģijām un universālo tehnoloģiju izplatīšanu</t>
  </si>
  <si>
    <t>Investēt atkritumu apsaimniekošanas nozarē, lai ievērotu Savienības
acquis noteiktās prasības vides jomā un nodrošinātu dalībvalstu identificētās
vajadzības pēc investīcijām, kas pārsniedz minētās prasības; vides saglabāšana
un aizsardzība un resursu efektīvas izmantošanas veicināšana</t>
  </si>
  <si>
    <t>Jauniešu ilgtspējīga integrācija darba tirgū, īpašu uzmanību pievēršot
nodarbinātībā, izglītībā vai apmācībā neiesaistītiem jauniešiem, tostarp
jauniešiem, kuriem ir sociālās atstumtības risks, un jauniešiem no sociāli
atstumtām kopienām, tostarp ar garantijas jauniešiem shēmas īstenošanu
garantijas jauniešiem shēmas īstenošanu</t>
  </si>
  <si>
    <t>Piekļuves uzlabošana cenas ziņā pieejamiem, ilgtspējīgiem un kvalitatīviem pakalpojumiem, tostarp veselības aprūpei un vispārējas nozīmes sociālajiem pakalpojumiem</t>
  </si>
  <si>
    <t>Investējot veselības aprūpes un sociālajā infrastruktūrā, kas sniedz
ieguldījumu valsts, reģionālajā un vietējā attīstībā, mazinot atšķirības veselības stāvokļa ziņā un veicinot sociālo iekļaušanu ar sociālo, kultūras un atpūtas pakalpojumu uzlabotas pieejamības palīdzību, un veicinot pāreju no institucionāliem uz pašvaldību pakalpojumiem</t>
  </si>
  <si>
    <t>Iesniegtie projekti , % no kopējā piešķīruma, ieprieksējā mēneša dati progresa aprēķinam</t>
  </si>
  <si>
    <t>Apstiprinātie projekti , % no kopējā piešķīruma,   ieprieksējā mēneša dati progresa aprēķinam</t>
  </si>
  <si>
    <t>Noslēgtie līgumi , % no kopējā piešķīruma, ieprieksējā mēneša dati progresa aprēķinam</t>
  </si>
  <si>
    <t>Izmaksāts  finansējuma saņēmējam, % no kopējā piešķīruma,   ieprieksējā mēneša dati progresa aprēķinam</t>
  </si>
  <si>
    <t>Progresa dinamika, % pret iepriekšējo periodu</t>
  </si>
  <si>
    <t>Progress, procentpunkti salīdzinot ar iepriekšējo periodu</t>
  </si>
  <si>
    <t xml:space="preserve">Iesniegti  projekti, iepriekšējā mēneša dati
</t>
  </si>
  <si>
    <t xml:space="preserve">Apstiprinātie projekti, iepriekšējā mēneša dati
</t>
  </si>
  <si>
    <t xml:space="preserve">Noslēgtie līgumi,  iepriekšējā mēneša dati
</t>
  </si>
  <si>
    <t>Izmaksāts finansējuma saņēmējiem,  iepriekšējā mēneša dati</t>
  </si>
  <si>
    <t>Darbības programma</t>
  </si>
  <si>
    <t>Kopā:</t>
  </si>
  <si>
    <t>Atbalsts IKT un netehnoloģiskām apmācībām, kā arī apmācībām, lai sekmētu investoru piesaisti</t>
  </si>
  <si>
    <t>1.2.2.3</t>
  </si>
  <si>
    <t>Iesniegtie projekti , % no kopējā piešķīruma, ,  iepriekšējā mēneša dati</t>
  </si>
  <si>
    <t>Apstiprinātie projekti , % no kopējā piešķīruma,  iepriekšējā mēneša dati</t>
  </si>
  <si>
    <t>Noslēgtie līgumi , % no kopējā piešķīruma, iepriekšējā mēneša dati</t>
  </si>
  <si>
    <t>Izmaksāts  finansējuma saņēmējam, % no kopējā piešķīruma,  iepriekšējā mēneša dati</t>
  </si>
  <si>
    <t>ZM</t>
  </si>
  <si>
    <t xml:space="preserve">Kopā </t>
  </si>
  <si>
    <t>Kopā</t>
  </si>
  <si>
    <t>Atkritumu reģenerācijas veicināšana</t>
  </si>
  <si>
    <t>Atkritumu pārstrādes veicināšana</t>
  </si>
  <si>
    <t>5.2.1.3</t>
  </si>
  <si>
    <t xml:space="preserve">Projektu apjoms
</t>
  </si>
  <si>
    <t xml:space="preserve"> % no piešķiruma</t>
  </si>
  <si>
    <t>% no piešķiruma</t>
  </si>
  <si>
    <t>Kopējais piešķīrums (DP+virssaistības)</t>
  </si>
  <si>
    <t>Maksājumu apjoms</t>
  </si>
  <si>
    <t>3.2.1.1</t>
  </si>
  <si>
    <t>Skaits</t>
  </si>
  <si>
    <t>Apstiprināti projekti</t>
  </si>
  <si>
    <t>Noslēgti līgumi</t>
  </si>
  <si>
    <t>Pilnveidot nodarbināto personu profesionālo kompetenci</t>
  </si>
  <si>
    <t>Attīstīt ETL uzlādes infrastruktūru Latvijā</t>
  </si>
  <si>
    <t>3.4.1</t>
  </si>
  <si>
    <t>3.4.2</t>
  </si>
  <si>
    <t xml:space="preserve"> Fondu finansējums </t>
  </si>
  <si>
    <t>Ministriju dalījumā</t>
  </si>
  <si>
    <t xml:space="preserve">Maksājumi, iepriekšējā mēneša dati
</t>
  </si>
  <si>
    <t xml:space="preserve">Noslēgti līgumi, iepriekšējā mēneša dati
</t>
  </si>
  <si>
    <t xml:space="preserve">Apstiprināti projekti, iepriekšējā mēneša dati
</t>
  </si>
  <si>
    <t>Saņemtais finansējums</t>
  </si>
  <si>
    <t>Apjoms</t>
  </si>
  <si>
    <t>Progress*, procentpunkti salīdzinot ar iepriekšējo periodu</t>
  </si>
  <si>
    <t>2.2.=2.+2.1.</t>
  </si>
  <si>
    <t>1.1.1</t>
  </si>
  <si>
    <t>1.2.1</t>
  </si>
  <si>
    <t>1.2.2</t>
  </si>
  <si>
    <t>2.2.1</t>
  </si>
  <si>
    <t>3.1.1</t>
  </si>
  <si>
    <t>3.1.2</t>
  </si>
  <si>
    <t>3.2.1</t>
  </si>
  <si>
    <t>4.2.1</t>
  </si>
  <si>
    <t>4.5.1</t>
  </si>
  <si>
    <t>5.2.1</t>
  </si>
  <si>
    <t>5.4.1</t>
  </si>
  <si>
    <t>5.4.2</t>
  </si>
  <si>
    <t>6.1.3</t>
  </si>
  <si>
    <t>6.1.4</t>
  </si>
  <si>
    <t>6.2.1</t>
  </si>
  <si>
    <t>7.1.2</t>
  </si>
  <si>
    <t>7.2.1</t>
  </si>
  <si>
    <t>8.1.2</t>
  </si>
  <si>
    <t>8.3.1</t>
  </si>
  <si>
    <t>8.3.1.1</t>
  </si>
  <si>
    <t>8.3.2</t>
  </si>
  <si>
    <t>8.3.6</t>
  </si>
  <si>
    <t>8.4.1</t>
  </si>
  <si>
    <t>9.1.1</t>
  </si>
  <si>
    <t>9.1.4</t>
  </si>
  <si>
    <t>9.2.1</t>
  </si>
  <si>
    <t>9.2.2</t>
  </si>
  <si>
    <t>9.2.4</t>
  </si>
  <si>
    <t>Valsts pārvaldes profesionālā pilnveide labāka tiesiska regulējuma izstrādē mazo un vidējo komersantu atbalsta, korupcijas novēršanas un ēnu ekonomikas mazināšanas jomās</t>
  </si>
  <si>
    <t>3.4.2.2</t>
  </si>
  <si>
    <t>3.4.2.1</t>
  </si>
  <si>
    <t>Sociālā dialoga attīstība labāka tiesiska regulējuma izstrādē uzņēmējdarbības atbalsta jomā</t>
  </si>
  <si>
    <t>Progresa dinamika**, % pret iepriekšējo periodu</t>
  </si>
  <si>
    <r>
      <t xml:space="preserve">* Progress, procentpunkti (3.2., 4.2., 5.2. un 6.2. kolonas) tiek aprēķināts kā starpība starp iepriekšējā perioda procentu no piešķīruma un kārtējā perioda procentu no piešķīruma (3.1.,4.1.,5.1. un 6.1. kolonu vērtības). Piemēram, līdz janvāra beigām tika noslēgti līgumi par 20% no piešķirtā finansējuma, bet februārī noslēgto līgumu apjoms sasniedza 25% no piešķirtā finansējuma. </t>
    </r>
    <r>
      <rPr>
        <b/>
        <sz val="14"/>
        <color theme="1"/>
        <rFont val="Times New Roman"/>
        <family val="1"/>
        <charset val="186"/>
      </rPr>
      <t>Progress procentpunktos ir 25%-20%=5%.</t>
    </r>
    <r>
      <rPr>
        <sz val="14"/>
        <color theme="1"/>
        <rFont val="Times New Roman"/>
        <family val="1"/>
        <charset val="186"/>
      </rPr>
      <t xml:space="preserve">
** Progresa dinamika (3.3., 4.3., 5.3. un 6.3. kolonas) tiek aprēķināta kā starpība starp kārtējā un iepriekšējā perioda vērtībām dalīta uz iepriekšējā perioda vērtību, pēc būtības tas ir pieaugums, salīdzinot ar iepriekšējo periodu. Piemēram, līdz janvāra beigām tika noslēgti līgumi par 100 milj.  euro, bet februārī noslēgto līgumu apjoms sasniedza 150 milj. euro. </t>
    </r>
    <r>
      <rPr>
        <b/>
        <sz val="14"/>
        <color theme="1"/>
        <rFont val="Times New Roman"/>
        <family val="1"/>
        <charset val="186"/>
      </rPr>
      <t>Progresa dinamika ir (150-100)/100=0,5, jeb 50%</t>
    </r>
    <r>
      <rPr>
        <sz val="14"/>
        <color theme="1"/>
        <rFont val="Times New Roman"/>
        <family val="1"/>
        <charset val="186"/>
      </rPr>
      <t xml:space="preserve">. Pieaugums salīdzinot ar iepriekšējo periodu, jeb progresa dinamika, ir 50%. 
</t>
    </r>
  </si>
  <si>
    <t>5.6.3</t>
  </si>
  <si>
    <t>Atbildīgā iestāde</t>
  </si>
  <si>
    <t>Atbildīgā iestāde / Fonds</t>
  </si>
  <si>
    <t>Kopējais piešķīrums (piešķirums+
virssaistības)</t>
  </si>
  <si>
    <t>Iepriekšējā perioda beigas:</t>
  </si>
  <si>
    <t>Perioda beigas:</t>
  </si>
  <si>
    <t>Nē</t>
  </si>
  <si>
    <t>Nr</t>
  </si>
  <si>
    <t>Projektu apjoms</t>
  </si>
  <si>
    <t>% no piešķīruma</t>
  </si>
  <si>
    <t>Projektu skaits</t>
  </si>
  <si>
    <t>Apstiprinātie projekti , % no piešķīruma</t>
  </si>
  <si>
    <t>Noslēgtie līgumi % no piešķīruma</t>
  </si>
  <si>
    <t>Maksajumu apjoms</t>
  </si>
  <si>
    <t>Izmaksāts  finansējuma saņēmējam, % no piešķīruma</t>
  </si>
  <si>
    <t>Kopā VISI fondi</t>
  </si>
  <si>
    <t>Kopā JNI</t>
  </si>
  <si>
    <t>Pētniecības, tehnoloģiju attīstība un inovācijas</t>
  </si>
  <si>
    <t>1.1</t>
  </si>
  <si>
    <t>Uzlabojot P&amp;I infrastruktūru un spēju attīstīt P&amp;I izcilību, kā arī veicinot kompetences centru, it īpaši Eiropas nozīmes centru, izveidi</t>
  </si>
  <si>
    <t>Palielināt Latvijas zinātnisko institūciju pētniecisko un inovatīvo kapacitāti un spēju piesaistīt ārējo finansējumu, ieguldot cilvēkresursos un infrastruktūrā</t>
  </si>
  <si>
    <t>Izglītības un zinātnes ministrija</t>
  </si>
  <si>
    <t>1.2</t>
  </si>
  <si>
    <t>Sekmējot uzņēmumu investīcijas P&amp;I un veidot saiknes un sinerģiju starp uzņēmumiem, pētniecības un izstrādes centriem un augstākās izglītības nozari, jo īpaši veicinot investīcijas produktu un pakalpojumu (tai skaitā radošu produktu) attīstībā, tehnoloģiju nodošanu, sociālās inovācijas, ekoinovācijas, sabiedrisko pakalpojumu lietotnes, pieprasījuma stimulēšanu, tīklu veidošanu, kopu izveidi un atvērtās inovācijas ar viedās specializācijas palīdzību un atbalstīt tehnoloģisko un lietišķo pētniecību, izmēģinājuma projektus, ražojumu apstiprināšanu to agrīnā izstrādes stadijā, ražošanas spēju palielināšanu un pirmo ražošanu, jo īpaši attiecībā uz svarīgākajām pamattehnoloģijām un universālo tehnoloģiju izplatīšanu</t>
  </si>
  <si>
    <t>Palielināt privātā sektora investīcijas P&amp;A</t>
  </si>
  <si>
    <t>Ekonomikas ministrija</t>
  </si>
  <si>
    <t>Veicināt inovāciju ieviešanu komersantos</t>
  </si>
  <si>
    <t>2.1</t>
  </si>
  <si>
    <t>Paplašināt platjoslas pakalpojumu izvietojumu un sekmēt ātrgaitas tīklu attīstību un atbalstīt jauno tehnoloģiju un tīklu ieviešanu digitālās ekonomikas vajadzībām</t>
  </si>
  <si>
    <t>Satiksmes ministrija</t>
  </si>
  <si>
    <t>2.2</t>
  </si>
  <si>
    <t>Stiprināt IKT lietojumprogrammas e-pārvaldes, e- mācību, e-iekļaušanas, e-kultūras un e-veselības jomā</t>
  </si>
  <si>
    <t>Kultūras mantojuma digitalizācija</t>
  </si>
  <si>
    <t>3.1</t>
  </si>
  <si>
    <t>Veicināt uzņēmējdarbību, jo īpaši atvieglojot jaunu ideju izmantošanu ekonomikā un jaunu uzņēmumu izveidi, tostarp ar uzņēmējdarbības inkubatoru palīdzību</t>
  </si>
  <si>
    <t>Sekmēt MVK izveidi un attīstību, īpaši apstrādes rūpniecībā un RIS3 prioritārajās nozarēs</t>
  </si>
  <si>
    <t>3.2</t>
  </si>
  <si>
    <t>Palielināt augstas pievienotās vērtības produktu un pakalpojumu eksporta proporciju</t>
  </si>
  <si>
    <t>3.3</t>
  </si>
  <si>
    <t>Atbalstīt uzlabotu spēju radīšanu un paplašināšanu produktu un pakalpojumu attīstībai</t>
  </si>
  <si>
    <t>3.4</t>
  </si>
  <si>
    <t>Investīcijas institucionālajās spējās un efektīvā valsts pārvaldē un publiskajos pakalpojumos valsts, reģionālajā un vietējā līmenī, lai panāktu reformas, labāku regulējumu un labu pārvaldību</t>
  </si>
  <si>
    <t>Paaugstināt tiesu un tiesībsargājošo institūciju personāla kompetenci komercdarbības vides uzlabošanas sekmēšanai</t>
  </si>
  <si>
    <t>Tieslietu ministrija</t>
  </si>
  <si>
    <t>Valsts pārvaldes profesionālā pilnveide labāka tiesiskā regulējuma izstrādē mazo un vidējo komersantu atbalsta, korupcijas novēršanas un ēnu ekonomikas mazināšanas jomās</t>
  </si>
  <si>
    <t>Valsts kanceleja</t>
  </si>
  <si>
    <t>4.1</t>
  </si>
  <si>
    <t>Veicināt efektīvu energoresursu izmantošanu, enerģijas patēriņa samazināšanu un pāreju uz AER apstrādes rūpniecības nozarē</t>
  </si>
  <si>
    <t>4.2</t>
  </si>
  <si>
    <t>Atbalstīt energoefektivitāti, viedu energovadību un atjaunojamo energoresursu izmantošanu sabiedriskajā infrastruktūrā, tostarp sabiedriskajās ēkās un mājokļu sektorā</t>
  </si>
  <si>
    <t>Atbilstoši pašvaldības integrētajām attīstības programmām sekmēt energoefektivitātes paaugstināšanu un AER izmantošanu pašvaldību ēkās</t>
  </si>
  <si>
    <t>4.3</t>
  </si>
  <si>
    <t>Veicināt no atjaunojamiem enerģijas avotiem iegūtas enerģijas ražošanu un sadali</t>
  </si>
  <si>
    <t>Veicināt energoefektivitāti un vietējo AER izmantošanu centralizētajā siltumapgādē</t>
  </si>
  <si>
    <t>4.4</t>
  </si>
  <si>
    <t>Veicināt zemu oglekļa emisiju stratēģijas visu veidu teritorijām, jo īpaši pilsētām, tostarp ilgtspējīgu multimodālo mobilitāti pilsētās un ar ietekmes mazināšanu saistītus pielāgošanās pasākumus (ERAF)</t>
  </si>
  <si>
    <t>4.5</t>
  </si>
  <si>
    <t>Veicināt zemu oglekļa emisiju stratēģijas visu veidu teritorijām, jo īpaši pilsētām, tostarp ilgtspējīgu multimodālo mobilitāti pilsētās un ar ietekmes mazināšanu saistītus pielāgošanās pasākumus (KF)</t>
  </si>
  <si>
    <t>Novērst plūdu un krasta erozijas risku apdraudējumu pilsētu teritorijās</t>
  </si>
  <si>
    <t>Zemkopības ministrija</t>
  </si>
  <si>
    <t>5.2</t>
  </si>
  <si>
    <t>Investēt atkritumu apsaimniekošanas nozarē, lai ievērotu Savienības acquis noteiktās prasības vides jomā un nodrošinātu dalībvalstu identificētās vajadzības pēc investīcijām, kas pārsniedz minētās prasības; vides saglabāšana un aizsardzība un resursu efektīvas izmantošanas veicināšana</t>
  </si>
  <si>
    <t>Veicināt dažāda veida atkritumu atkārtotu izmantošanu, pārstrādi un reģenerāciju</t>
  </si>
  <si>
    <t>5.3</t>
  </si>
  <si>
    <t>Investēt ūdenssaimniecības nozarē, lai ievērotu Savienības acquis noteiktās prasības vides jomā un nodrošinātu dalībvalstu identificētās vajadzības pēc investīcijām, kas pārsniedz minētās prasības</t>
  </si>
  <si>
    <t>Attīstīt un uzlabot ūdensapgādes un kanalizācijas sistēmas pakalpojumu kvalitāti un nodrošināt pieslēgšanas iespējas</t>
  </si>
  <si>
    <t>5.4</t>
  </si>
  <si>
    <t>Aizsargāt un atjaunot bioloģisko daudzveidību un augsni un veicināt ekosistēmu pakalpojumus, tostarp ar izmantojot Natura 2000 un zaļo infrastruktūru</t>
  </si>
  <si>
    <t>Saglabāt un atjaunot bioloģisko daudzveidību un aizsargāt ekosistēmas</t>
  </si>
  <si>
    <t>5.5</t>
  </si>
  <si>
    <t>Kultūras ministrija</t>
  </si>
  <si>
    <t>5.6</t>
  </si>
  <si>
    <t>Veikt darbības, lai uzlabotu pilsētvidi, revitalizētu pilsētas, atjaunotu un attīrītu pamestas rūpnieciskās teritorijas (tai skaitā pārveidei paredzētās zonas), samazinātu gaisa piesārņojumu un veicinātu trokšņa mazināšanas pasākumus</t>
  </si>
  <si>
    <t>Veicināt Rīgas pilsētas revitalizāciju, nodrošinot teritorijas efektīvu sociālekonomisko izmantošanu</t>
  </si>
  <si>
    <t>Teritoriju revitalizācija, reģenerējot degradētās teritorijas atbilstoši pašvaldību integrētajām attīstības programmām</t>
  </si>
  <si>
    <t>Vēsturiski piesārņoto vietu sanācija</t>
  </si>
  <si>
    <t>6.1</t>
  </si>
  <si>
    <t>Atbalstīt multimodālu Eiropas vienoto transporta telpu, investējot TEN-T (KF)</t>
  </si>
  <si>
    <t>Palielināt lielo ostu drošības līmeni un uzlabot transporta tīkla mobilitāti</t>
  </si>
  <si>
    <t>Veicināt drošību un vides prasību ievērošanu starptautiskajā lidostā „Rīga”</t>
  </si>
  <si>
    <t>Rīgas pilsētas integrētas transporta sistēmas attīstība</t>
  </si>
  <si>
    <t>Pilsētu infrastruktūras sasaiste ar TEN-T tīklu</t>
  </si>
  <si>
    <t>6.2</t>
  </si>
  <si>
    <t>Attīstīt un atjaunot visaptverošu, kvalitatīvu un savstarpēji savietojamu dzelzceļa sistēmu un mazinot trokšņa mazināšanas pasākumus (KF)</t>
  </si>
  <si>
    <t>Nodrošināt konkurētspējīgu un videi draudzīgu TEN-T dzelzceļa tīklu, veicinot tā drošību, kvalitāti un kapacitāti</t>
  </si>
  <si>
    <t>6.3</t>
  </si>
  <si>
    <t>Pastiprināt reģionālo mobilitāti, pievienojot sekundāros un terciāros transporta mezglus, tostarp multimodālos mezglus, TEN-T infrastruktūrai (ERAF)</t>
  </si>
  <si>
    <t>Nodarbinātība un darbaspēka mobilitāte</t>
  </si>
  <si>
    <t>7.1</t>
  </si>
  <si>
    <t>Nodarbinātības pieejamības nodrošināšana darba meklētājiem un neaktīvām personām, tostarp ilgstošiem bezdarbniekiem un no darba tirgus attālinātām personām, kā arī izmantojot vietējās nodarbinātības iniciatīvas un atbalstu darbaspēka mobilitātei</t>
  </si>
  <si>
    <t>Paaugstināt bezdarbnieku kvalifikāciju un prasmes atbilstoši darba tirgus pieprasījumam</t>
  </si>
  <si>
    <t>Labklājības ministrija</t>
  </si>
  <si>
    <t>Izveidot Darba tirgus apsteidzošo pārkārtojumu sistēmu, nodrošinot tās sasaisti ar Nodarbinātības barometru</t>
  </si>
  <si>
    <t>7.2</t>
  </si>
  <si>
    <t>Jauniešu ilgtspējīga integrācija darba tirgū, īpašu uzmanību pievēršot nodarbinātībā, izglītībā vai apmācībā neiesaistītiem jauniešiem, tostarp jauniešiem, kuriem ir sociālās atstumtības risks, un jauniešiem no sociāli atstumtām kopienām, tostarp ar garantijas jauniešiem shēmas īstenošanu</t>
  </si>
  <si>
    <t>Palielināt nodarbinātībā, izglītībā vai apmācībās neiesaistītu jauniešu nodarbinātību un izglītības ieguvi Jauniešu garantijas ietvaros</t>
  </si>
  <si>
    <t>ESF/JNI</t>
  </si>
  <si>
    <t>Aktīvās darba tirgus politikas pasākumu īstenošana jauniešu bezdarbnieku nodarbinātības veicināšanai</t>
  </si>
  <si>
    <t>Sākotnējās profesionālās izglītības programmu īstenošana Jauniešu garantijas ietvaros</t>
  </si>
  <si>
    <t>7.3</t>
  </si>
  <si>
    <t>Darba ņēmēju, uzņēmumu un uzņēmēju pielāgošanās pārmaiņām</t>
  </si>
  <si>
    <t>Uzlabot darba drošību, it īpaši bīstamo nozaru uzņēmumos</t>
  </si>
  <si>
    <t>Paildzināt gados vecāku nodarbināto darbspēju saglabāšanu un nodarbinātību</t>
  </si>
  <si>
    <t>8.1</t>
  </si>
  <si>
    <t>Investīcijas izglītībā un apmācībā, tostarp profesionālajā apmācībā, lai nodrošinātu prasmju apgūšanu un mūžizglītību, attīstot izglītības un apmācības infrastruktūru</t>
  </si>
  <si>
    <t>Palielināt modernizēto STEM, tajā skaitā medicīnas un radošās industrijas, studiju programmu skaitu</t>
  </si>
  <si>
    <t>Uzlabot pirmā līmeņa profesionālās augstākās izglītības STEM , t.sk. medicīnas un radošās industrijas, studiju mācību vidi koledžās</t>
  </si>
  <si>
    <t>8.2</t>
  </si>
  <si>
    <t>Augstākās izglītības vai pielīdzināma līmeņa izglītības kvalitātes, efektivitātes un pieejamības uzlabošana nolūkā palielināt līdzdalības un sasniegumu līmeni, jo īpaši nelabvēlīgā situācijā esošām grupām</t>
  </si>
  <si>
    <t>Samazināt studiju programmu fragmentāciju un stiprināt resursu koplietošanu</t>
  </si>
  <si>
    <t>Nodrošināt labāku pārvaldību augstākās izglītības institūcijās</t>
  </si>
  <si>
    <t>8.3</t>
  </si>
  <si>
    <t>Priekšlaicīgas mācību pārtraukšanas samazināšana un novēršana un vienlīdzīgas pieejas veicināšana kvalitatīvai pirmsskolas, pamatskolas un vidusskolas izglītībai, tostarp formālām, neformālām un ikdienējām mācību iespējām, kas ļauj mācības pametušajām personām atsākt izglītības iegūšanu un mācības</t>
  </si>
  <si>
    <t>Kompetenču pieejā balstīta vispārējās izglītības satura aprobācija un ieviešana</t>
  </si>
  <si>
    <t xml:space="preserve">Palielināt atbalstu vispārējās izglītības iestādēm izglītojamo individuālo kompetenču attīstībai </t>
  </si>
  <si>
    <t>Atbalsts nacionāla un starptautiska mēroga pasākumu īstenošanai izglītojamo talantu attīstībai</t>
  </si>
  <si>
    <t>Dalība starptautiskos pētījumos</t>
  </si>
  <si>
    <t>8.4</t>
  </si>
  <si>
    <t>Formālas, neformālas un ikdienējas mācīšanās pieejamības uzlabošana visām vecuma grupām, darbaspēka zināšanu, prasmju un kompetenču uzlabošana un elastīgu mācību iespēju veicināšana, tostarp ar profesionālo orientāciju un iegūto kompetenču apstiprināšanu</t>
  </si>
  <si>
    <t>8.5</t>
  </si>
  <si>
    <t>Darba tirgus nozīmes palielināšana izglītības un apmācības sistēmās, pārejas veicināšana no izglītības uz nodarbinātību un profesionālās izglītības un apmācības sistēmu un to kvalitātes uzlabošana, tostarp ar vajadzīgo prasmju prognozēšanas mehānismiem, studiju programmu pielāgošanu un uz darbu balstītu mācību programmu, tostarp duālu mācību programmu un māceklības shēmu, izstrādi</t>
  </si>
  <si>
    <t>9.1</t>
  </si>
  <si>
    <t>Aktīva iekļaušana ar mērķi veicināt nodarbinātību, tostarp lai veicinātu vienlīdzīgas iespējas un aktīvu līdzdalību un uzlabotu nodarbinātību</t>
  </si>
  <si>
    <t>Subsidētās darba vietas nelabvēlīgākā situācijā esošiem bezdarbniekiem</t>
  </si>
  <si>
    <t>9.2</t>
  </si>
  <si>
    <t>Paaugstināt sociālo dienestu darba efektivitāti un darbinieku profesionalitāti darbam ar riska situācijās esošām personām</t>
  </si>
  <si>
    <t>Palielināt kvalitatīvu institucionālai aprūpei alternatīvu sociālo pakalpojumu dzīvesvietā un ģimeniskai videi pietuvinātu pakalpojumu pieejamību personām ar invaliditāti un bērniem</t>
  </si>
  <si>
    <t>Atbalstīt prioritāro (sirds un asinsvadu, onkoloģijas, perinatālā un neonatālā perioda aprūpes un garīgās veselības) veselības jomu veselības tīklu attīstības vadlīniju un kvalitātes nodrošināšanas sistēmas izstrādi un ieviešanu, jo īpaši sociālās atstumtības un nabadzības riskam pakļauto iedzīvotāju veselības uzlabošanai</t>
  </si>
  <si>
    <t>Veselības ministrija</t>
  </si>
  <si>
    <t>Uzlabot pieejamību veselības veicināšanas un slimību profilakses pakalpojumiem, jo īpaši, nabadzības un sociālās atstumtības riskam pakļautajiem iedzīvotājiem</t>
  </si>
  <si>
    <t>Kompleksi veselības veicināšanas un slimību profilakses pasākumi</t>
  </si>
  <si>
    <t>Pasākumi vietējās sabiedrības veselības veicināšanai un slimību profilaksei</t>
  </si>
  <si>
    <t>9.3</t>
  </si>
  <si>
    <t xml:space="preserve">Investējot veselības aprūpes un sociālajā infrastruktūrā, kas sniedz ieguldījumu valsts, reģionālajā un vietējā attīstībā, mazinot atšķirības veselības stāvokļa ziņā un veicinot sociālo iekļaušanu ar sociālo, kultūras un atpūtas pakalpojumu uzlabotas pieejamības palīdzību, un veicinot pāreju no institucionāliem uz pašvaldību pakalpojumiem </t>
  </si>
  <si>
    <t>9.3.1</t>
  </si>
  <si>
    <t>Attīstīt pakalpojumu infrastruktūru bērnu aprūpei ģimeniskā vidē un personu ar invaliditāti neatkarīgai dzīvei un integrācijai sabiedrībā</t>
  </si>
  <si>
    <t>Uzlabot kvalitatīvu veselības aprūpes pakalpojumu pieejamību, jo īpaši sociālās, teritoriālās atstumtības un nabadzības riskam pakļautajiem iedzīvotājiem, attīstot veselības aprūpes infrastruktūru</t>
  </si>
  <si>
    <t>10</t>
  </si>
  <si>
    <t>Tehniskā palīdzība „ESF atbalsts KP fondu ieviešanai un vadībai”</t>
  </si>
  <si>
    <t>Palielināt KP fondu izvērtēšanas kapacitāti</t>
  </si>
  <si>
    <t>Finanšu ministrija</t>
  </si>
  <si>
    <t>Paaugstināt informētību par Kohēzijas politikas fondiem, sniedzot atbalstu informācijas un komunikācijas pasākumiem</t>
  </si>
  <si>
    <t>11</t>
  </si>
  <si>
    <t>Tehniskā palīdzība „ERAF atbalsts KP fondu ieviešanai un vadībai”</t>
  </si>
  <si>
    <t>12</t>
  </si>
  <si>
    <t>Tehniskā palīdzība “KF atbalsts KP ieviešanai un vadībai”</t>
  </si>
  <si>
    <t>Vides monitoringa un kontroles sistēmas attīstība un sabiedrības līdzdalības vides pārvaldībā veicināšana</t>
  </si>
  <si>
    <t xml:space="preserve">Veicināt Rīgas pilsētas revitalizāciju, nodrošinot teritorijas efektīvu sociālekonomisko izmantošanu </t>
  </si>
  <si>
    <t>Inovācijas granti studentiem</t>
  </si>
  <si>
    <t>Atkritumu pārstrādes un reģenerācijas veicināšana</t>
  </si>
  <si>
    <t>Multimodāla transporta mezgla izbūve Torņkalna apkaimē</t>
  </si>
  <si>
    <t>Ilgstošo bezdarbnieku aktvizācijas pasākumi</t>
  </si>
  <si>
    <t>2.3.</t>
  </si>
  <si>
    <t>Iesniegti projekti (izņemot noraidītus, atsauktus un pārtrauktus)</t>
  </si>
  <si>
    <t xml:space="preserve">https://www.kase.gov.lv/parskati/es-lidzeklu-izmantosana </t>
  </si>
  <si>
    <t xml:space="preserve">Nodarbinātība un darbaspēka mobilitāte </t>
  </si>
  <si>
    <t>Paaugstināt sociālo dienestu darba efektivitāti un darbinieku profesionalitāti darbam ar riska situācijā esošām personām.</t>
  </si>
  <si>
    <t>Jaunā perioda statusu tabula</t>
  </si>
  <si>
    <t>Iepriekšējā perioda sākums:</t>
  </si>
  <si>
    <t>Rādīt projektus:</t>
  </si>
  <si>
    <t>Rādīt veiktos maksājumus un sarēķinātās atgūtās summas:</t>
  </si>
  <si>
    <t>Rādīt EK deklarētos izdevumus:</t>
  </si>
  <si>
    <t>Iesniegtie projekti (izņemot noraidītus un atsauktus)</t>
  </si>
  <si>
    <t>Fondu finansējums</t>
  </si>
  <si>
    <t>Kopējais piešķīrums (finansējums+virssaistības)</t>
  </si>
  <si>
    <t>2.2.=2+2.1</t>
  </si>
  <si>
    <t>3.1.=3/2</t>
  </si>
  <si>
    <t>4.1.=4/2</t>
  </si>
  <si>
    <t>5.1.=5/2</t>
  </si>
  <si>
    <t>6.1.=6/2</t>
  </si>
  <si>
    <t>Atskaites sagatavošanas datums un laiks:</t>
  </si>
  <si>
    <t>Atskaiti sagatavoja:</t>
  </si>
  <si>
    <t>SAM/SAMP informācija</t>
  </si>
  <si>
    <t>Saīsinājumi</t>
  </si>
  <si>
    <t>Nosaukumi: Prioritārais virziens/Ieguldījumu prioritāte/SAM</t>
  </si>
  <si>
    <t>Ministrija</t>
  </si>
  <si>
    <t>Darbības apraksts</t>
  </si>
  <si>
    <t>Īss nosaukums (Latviski)</t>
  </si>
  <si>
    <t>Garš nosaukums (Angliski)</t>
  </si>
  <si>
    <t>Īss nosaukums (Angliski)</t>
  </si>
  <si>
    <t>P&amp;A&amp;I</t>
  </si>
  <si>
    <t xml:space="preserve">Research, technological development and innovation  </t>
  </si>
  <si>
    <t>R&amp;D&amp;I</t>
  </si>
  <si>
    <t>Uzlabot P&amp;I infrastruktūru un attīstīt izcilību</t>
  </si>
  <si>
    <t>Improve the R&amp;I infrastructure and ability to develop R&amp;I excellence,
as well as promote creation of competence centres, especially centres of European importance.</t>
  </si>
  <si>
    <t>Zinātnisko institūciju P&amp;I kapacitāte</t>
  </si>
  <si>
    <t>Improve research and innovation capacity and the ability of Latvian research institutions to attract external funding, by investing in human capital and infrastructure.</t>
  </si>
  <si>
    <t xml:space="preserve">Improve R&amp;I research institutions' capacity </t>
  </si>
  <si>
    <t>Atbalsts pētījumu īstenošanai ar augstu komercializācijas potenciālu, piesaistot zinātniekus, doktorantus un maģistrantus inovatīvu risinājumu izstrādei praktisku tautsaimniecības problēmu risināšanai, tādējādi veicinot sadarbību starp uzņēmumiem un zinātniskajām institūcijām un nodrošinot zināšanu pārnesi viedās specializācijas jomās.</t>
  </si>
  <si>
    <t>Support for applied research</t>
  </si>
  <si>
    <t>Applied research</t>
  </si>
  <si>
    <t>Atbalsts tiek sniegts jaunajiem zinātniekiem pēcdoktorantūras pētījumu īstenošanai viedās specializācijas jomās, uzlabojot jauno zinātnieku karjeras uzsākšanas iespējas zinātniskajās institūcijās un pie komersantiem.</t>
  </si>
  <si>
    <t>Pēcdoktorantūras pētniecība</t>
  </si>
  <si>
    <t>Support for postdoctoral research</t>
  </si>
  <si>
    <t>Postdoctoral research</t>
  </si>
  <si>
    <t>Atbalsts tiks sniegts studentu pētniecības un inovācijas projektu īstenošanai, jaunu produktu un tehnoloģiju izstrādei, inovatīvu risinājumu izstrādei praktisku nozares vai sabiedrības problēmu risināšanai dzīvības zinātņu, tehnoloģiju, inženierzinātņu un matemātikas nozarēs.</t>
  </si>
  <si>
    <t>Innovation grants for students</t>
  </si>
  <si>
    <t>Atbalsts tiks sniegts pētniecības un attīstības infrastruktūras izveidei Viedās specializācijas stratēģijas specializācijas jomās, kā arī  zinātnisko institūciju institucionālās kapacitātes stiprināšanai, ieviešot zinātnisko institūciju darbības kvalitātes ārējā izvērtējuma rekomendācijas konkurētspējas palielināšanai starptautiskā līmenī un mērķtiecīgiem zinātnisko institūciju konsolidācijas pasākumiem.</t>
  </si>
  <si>
    <t>P&amp;A infrastruktūra</t>
  </si>
  <si>
    <t>Support for development of science infrastructure</t>
  </si>
  <si>
    <t>R&amp;D infrastructure</t>
  </si>
  <si>
    <t>Atbalsts tiks sniegts Eiropas Pētniecības telpas bilaterālās un multilaterālās sadarbības projektu izstrādei (tajā skaitā zinātnisko institūciju un komersantu sadarbībai) un dalībai starptautiskos pētniecības, tīklošanās un sadraudzības pasākumos un Eiropas pētniecības infrastruktūru stratēģiskā foruma infrastruktūras objektos, kā arī atbalsts sinerģijas veidošanai ar dalību starptautiskās sadarbības programmu projektos pētniecības un tehnoloģiju jomās.
Papildus atbalsts plānots programmas Apvārsnis 2020 Latvijas Nacionālā kontaktpunkta kapacitātes stiprināšanai.</t>
  </si>
  <si>
    <t>Starptautiskā sadarbība P&amp;I</t>
  </si>
  <si>
    <t xml:space="preserve">Support for international collaboration projects in research and innovation </t>
  </si>
  <si>
    <t>International collaboration in R&amp;I</t>
  </si>
  <si>
    <t>Uzņēmumu P&amp;I un sadarbība ar pētniecības un augstākās izglītības nozarēm.</t>
  </si>
  <si>
    <t>Promoting enterprise investments in R&amp;I and creating links and synergies between businesses, research and development centres and the higher education sector, in particular by promoting investments in product and service (including creative product) development, technology transfer, social innovation, eco-innovation, public service applications, demand stimulation, networking, cluster creation and open innovation with the help of smart specialization and supporting technological and applied research, pilot projects, approval of production in the early design phase, increasing the production capacity and the first production, especially in relation to key enabling technologies and diffusion of general purpose technologies</t>
  </si>
  <si>
    <t>R&amp;I in enterprises and cooperation with research and higher education sector.</t>
  </si>
  <si>
    <t>Privātā sektora P&amp;A</t>
  </si>
  <si>
    <t>To increase investments of private sector in R&amp;D</t>
  </si>
  <si>
    <t>Private sector R&amp;D investments</t>
  </si>
  <si>
    <t xml:space="preserve">Atbalsts kompetences centru darbībai Viedās specializācijas stratēģijas specializācijas jomās. Kompetences centru ietvaros atbalsts plānots jaunu produktu un tehnoloģiju izstrādei,  eksperimentālām izstrādnēm (tajā skaitā demonstrācijas prototipu izstrāde) un rūpnieciskiem pētījumiem. </t>
  </si>
  <si>
    <t>Kompetences centri</t>
  </si>
  <si>
    <t xml:space="preserve">Support for development of new products and technologies within competence centres </t>
  </si>
  <si>
    <t xml:space="preserve">Competence centres </t>
  </si>
  <si>
    <t xml:space="preserve">Atbalsts tehnoloģiju pārneses procesa īstenošanai pētniecības organizācijās, veicot lietišķās pētniecības projektu monitoringu un identificējot komercializācijas iespējas, kā arī izveidojot pētniecības rezultātu komercializācijas fondu ideju patentēšanai, prototipēšanai un testēšanai. Paralēli norit inovāciju vaučeru piešķiršana maziem un vidējiem komersantiem jaunu produktu un tehnoloģiju izstrādei, rūpnieciskā īpašuma tiesību nostiprināšanai un sertificēšanas pakalpojumiem.  </t>
  </si>
  <si>
    <t>Tehnoloģiju pārneses sistēma</t>
  </si>
  <si>
    <t>Support for improvement of technology transfer system</t>
  </si>
  <si>
    <t>Technology transfer system</t>
  </si>
  <si>
    <t xml:space="preserve">Atbalsts tiek sniegts komersantiem jaunu produktu un tehnoloģiju ieviešanai ražošanā un komersantu produktivitātes paaugstināšanai, vienlaikus veicinot komersantu pašu ieguldījumus pētniecībā un attīstībā. </t>
  </si>
  <si>
    <t xml:space="preserve">Jaunu produktu ieviešana </t>
  </si>
  <si>
    <t>Support for new product launch</t>
  </si>
  <si>
    <t>New product launch</t>
  </si>
  <si>
    <t>Inovāciju ieviešana komersantos</t>
  </si>
  <si>
    <t>To facilitate implementation of innovations in enterprises.</t>
  </si>
  <si>
    <t>Innovations in enterprises</t>
  </si>
  <si>
    <t>Atbalsts tiks sniegts nodarbināto personu apmācību organizēšanai, lai nodrošinātu komersantus ar atbilstošas kvalifikācijas darbaspēku, kas sekmētu jaunu vai uzlabotu produktu un tehnoloģiju izstrādi / ieviešanu ražošanā un darba ražīguma pieaugumu.</t>
  </si>
  <si>
    <t>Nodarbināto apmācības</t>
  </si>
  <si>
    <t xml:space="preserve">
Support for employee training  </t>
  </si>
  <si>
    <t xml:space="preserve">
Employee training  </t>
  </si>
  <si>
    <t>Tiks sniegts informatīvs un konsultatīvs atbalsts skolēniem, studentiem, biznesa ideju autoriem, potenciālajiem uzņēmējdarbības uzsācējiem par dažādām ar uzņēmējdarbību un inovācijām saistītām tēmām, lai sabiedrībai radītu izpratni par inovācijām un pilnveidotu uzņēmējdarbības prasmes.</t>
  </si>
  <si>
    <t>Inovāciju motivācija</t>
  </si>
  <si>
    <t xml:space="preserve">Innovation motivation programme </t>
  </si>
  <si>
    <t xml:space="preserve">Innovation motivation </t>
  </si>
  <si>
    <t xml:space="preserve">Atbalsts tiks sniegts nodarbināto personu apmācību organizēšanai, lai uzlabotu to IKT prasmes, prasmes ieviest netehnoloģiskas inovācijas, kā arī apmācības ārvalstu investīciju piesaistei. </t>
  </si>
  <si>
    <t>IKT un netehnoloģiskās apmācības</t>
  </si>
  <si>
    <t>Support for ICT and non-technological training as well for training to facilitate the attraction of investors</t>
  </si>
  <si>
    <t xml:space="preserve">ICT and non-technological training </t>
  </si>
  <si>
    <t>Informāciju un komunikāciju tehnoloģijas (IKT)</t>
  </si>
  <si>
    <t xml:space="preserve">Availability of the ICT, e-government and services  </t>
  </si>
  <si>
    <t>Information and Communication Technologies (ICT)</t>
  </si>
  <si>
    <t>Platjoslu pakalpojumi</t>
  </si>
  <si>
    <t>To extend the deployment of broadband services and the roll-out of high-speed networks and support the adoption of emerging technologies and networks for the digital economy</t>
  </si>
  <si>
    <t xml:space="preserve">Broadband services </t>
  </si>
  <si>
    <t>Elektronisko sakaru infrastruktūras izveide, lai nodrošinātu elektronisko sakaru tīklu pieejamību lietotājiem lauku teritorijās</t>
  </si>
  <si>
    <t>Platjoslas infrastruktūra</t>
  </si>
  <si>
    <t>To improve accessibility of the electronic communication infrastructure in rural areas</t>
  </si>
  <si>
    <t xml:space="preserve">Broadband infrastructure </t>
  </si>
  <si>
    <t>IKT lietojumprogrammu stiprināšana</t>
  </si>
  <si>
    <t>To strengthen ICT applications for e-government, e-learning, e-inclusion, e-culture and e-health</t>
  </si>
  <si>
    <t xml:space="preserve">To strengthen ICT applications </t>
  </si>
  <si>
    <t>IKT un procesu pilnveide</t>
  </si>
  <si>
    <t>To ensure increase in the re-use of public data and efficient interaction of the public administration and the private sector</t>
  </si>
  <si>
    <t>ICT and development of processes</t>
  </si>
  <si>
    <t xml:space="preserve">Centralizētu publiskās pārvaldes Informācijas un komunikācijas tehnoloģiju platformu izveide, vai tām nepieciešamo un ar tām sadarbojošos informācijas sistēmu (t.sk. nozaru) izveide un attīstība, t.sk. esošu saskarņu pārveidošana un jaunu saskarņu izveide; semantiskā un tehnoloģiskā publiskās pārvaldes informācijas sistēmu savietošana. Darbības procesu un pakalpojumu piegādes procesu uzlabošana, kā arī tam nepieciešamā satura digitalizācija, lietojamības pilnveide, datu kvalitātes pilnveide.  Pakalpojumu (t.sk. e-komercija) pielāgošana sadarbībai Eiropas vienotajā tirgū. </t>
  </si>
  <si>
    <t>Establishment of centralized ICT platforms for public administration, development and optimization of operational processes </t>
  </si>
  <si>
    <t>ICT</t>
  </si>
  <si>
    <t>Digitalizācija, dažāda satura informācijas digitalizācija, publiskas pieejamības nodrošināšana. Pasākuma ietvaros plānots īstenot aktivitātes, lai veiktu kultūras mantojuma digitalizēšanu un izveidotu publiski pieejamas digitālās kolekcijas, attīstītu saistītos e-pakalpojumus, kas pēc iespējas plaši nodrošinātu digitālā kultūras mantojuma un kultūras satura resursu pieejamību sabiedrībai.</t>
  </si>
  <si>
    <t xml:space="preserve">Digitization of cultural heritage </t>
  </si>
  <si>
    <t>MVK konkurētspēja</t>
  </si>
  <si>
    <t>Competitiveness of small and medium-sized enterprises </t>
  </si>
  <si>
    <t>SME Competitiveness</t>
  </si>
  <si>
    <t>Uzņēmējdarbības veicināšana</t>
  </si>
  <si>
    <t>Promotion of Entrepreneurship</t>
  </si>
  <si>
    <t>MVK izveide un attīstība</t>
  </si>
  <si>
    <t>Facilitate establishment and development of SME’s in particular in manufacturing and RIS3 priority industries</t>
  </si>
  <si>
    <t>Establishment and development of  SME's</t>
  </si>
  <si>
    <t>Atbalsts garantiju veidā, nodrošinot finansējuma pieejamību saimnieciskās darbības veicējiem situācijās, kad to rīcībā esošais nodrošinājums nav pietiekams kredītresursu piesaistei nepieciešamajā apjomā vai arī darījums ir augsta riska.</t>
  </si>
  <si>
    <t xml:space="preserve">Loan guarantees  </t>
  </si>
  <si>
    <t>Atbalsts subordinētu aizdevumu veidā, nodrošinot finansējuma pieejamību saimnieciskās darbības veicējiem situācijās, kad to pašu kapitāls nav pietiekams kredītresursu piesaistei nepieciešamajā apjomā vai arī darījums ir augsta riska.</t>
  </si>
  <si>
    <t xml:space="preserve">Mezzanine loans  </t>
  </si>
  <si>
    <t>Finansējums augsta izaugsmes potenciāla MVK pirms sēklas, sēklas, agrīnās attīstības vai izaugsmes stadijā kopā ar privātajiem investoriem (biznesa eņģeļiem) vai citiem ne-institucionāliem investoriem.</t>
  </si>
  <si>
    <t>Atbalsts saimnieciskās darbības  veicēju izveidei un attīstībai, sniedzot mikroaizdevumus un augsta riska aizdevumus, kā arī nodrošinot konsultācijas un apmācības.</t>
  </si>
  <si>
    <t>Mikrokredīti un starta aizdevumi</t>
  </si>
  <si>
    <t xml:space="preserve">Microcredits and start-up loans </t>
  </si>
  <si>
    <t>Atbalsts tiks sniegts apstrādes rūpniecības mazo un vidējo komersantu attīstībai, nodrošinot industriālo teritoriju un telpu izveidi un attīstību, prioritāri atbalstot projektus, kas tiek īstenoti Viedās specializācijas jomās.</t>
  </si>
  <si>
    <t>Ražošanas telpas</t>
  </si>
  <si>
    <t xml:space="preserve">Support for development and reconstruction of industrial property and infrastructure </t>
  </si>
  <si>
    <t xml:space="preserve">Industrial premises and infrastructure </t>
  </si>
  <si>
    <t xml:space="preserve">Atbalsts jaunu, dzīvotspējīgu un konkurētspējīgu komersantu izveidei un attīstībai Latvijas reģionos, nodrošinot tos ar uzņēmējdarbībai nepieciešamo vidi, konsultatīvajiem pakalpojumiem un finansējuma pieejamību.
Tiks sniegto biznesa inkubatoru pirmsinkubācijas un inkubācijas pakalpojumi, kā arī granti jaunu produktu attīstībai un ieviešanai ražošanā, tekošo izdevumu segšanai. </t>
  </si>
  <si>
    <t>Biznesa inkubatori</t>
  </si>
  <si>
    <t xml:space="preserve">Regional business incubators and incubator for creative industries </t>
  </si>
  <si>
    <t>Business incubators</t>
  </si>
  <si>
    <t>To increase number of high growth enterprises</t>
  </si>
  <si>
    <t>Increase of high growth enterprises</t>
  </si>
  <si>
    <t>Finansējums straujas izaugsmes MVK un jaunu inovatīvu MVK izveidei, nodrošinot riska kapitāla investīcijas tādos MVK, kuros neiegulda tradicionālie finansētāji pārāk augsta riska dēļ.</t>
  </si>
  <si>
    <t xml:space="preserve">Venture capital   </t>
  </si>
  <si>
    <t>Integrētie mentoringa un finansēšanas pakalpojumi pirms sēklas stadijas investīcijām MVK, lai veiktu projekta ieceres dzīvotspējas pārbaudi, kā arī pēc- investīcijas pēc veiksmīgas akseleratora programmas pabeigšanas.</t>
  </si>
  <si>
    <t xml:space="preserve">Technology accelerators </t>
  </si>
  <si>
    <t xml:space="preserve">MVK konkurētspēju veicināšana starptautisko tirgu apgūšanai </t>
  </si>
  <si>
    <t>Supporting the capacity of SMEs to engage in regional, national and
international markets, and innovation processes</t>
  </si>
  <si>
    <t xml:space="preserve">SMEs international competitiveness and access to external markets </t>
  </si>
  <si>
    <t xml:space="preserve">Augstas pievienotās vērtības produktu eksporta palielināšana </t>
  </si>
  <si>
    <t>To increase export proportion of high value added products and services</t>
  </si>
  <si>
    <t>Export promotion of high value added products</t>
  </si>
  <si>
    <t>Atbalsts klasteru attīstībai, kas ietver pasākumu koordinēšanu, starptautiskās sadarbības veicināšanu, atpazīstamības un mārketinga pasākumus, pakalpojumus klastera dalībniekiem, sadarbību ar izglītības un zinātniskajām institūcijām.</t>
  </si>
  <si>
    <t>Clusters program</t>
  </si>
  <si>
    <t>Atbalsts maziem un vidējiem komersantiem dalībai izstādēs, konferencēs ārvalstīs, dalībai tirdzniecības misijās un atbalsts produkta vai komersantu akreditācijai, sertifikācijai, reģistrācijai.
Konsultācijas un atbalsts komersantiem ārējo tirgu apgūšanai un pasākumi ārvalstu investīciju piesaistei.
Nacionālo stendu organizēšana starptautiskajās tūrisma izstādēs ārvalstīs, kā arī tūrisma mārketinga pasākumu īstenošana Latvijā un ārvalstīs.</t>
  </si>
  <si>
    <t>Starptautiskā konkurētspēja</t>
  </si>
  <si>
    <t xml:space="preserve">Support for international competitiveness  </t>
  </si>
  <si>
    <t xml:space="preserve"> International competitiveness</t>
  </si>
  <si>
    <t>Produktu un pakalpojumu attīstība un  kapacitāte</t>
  </si>
  <si>
    <t>Supporting the creation and the extension of advanced capacities for
product and service development.</t>
  </si>
  <si>
    <t>Development and capacity of product and services</t>
  </si>
  <si>
    <t>Atbalsts industriālo pieslēgumu ierīkošanai un to saistītās jaudas palielināšanai, ceļu satiksmei paredzētās infrastruktūras attīstīšanai, komercdarbības mērķiem paredzēto ēku un to infrastruktūras attīstīšanai, teritorijas labiekārtošanai.</t>
  </si>
  <si>
    <t>Publiskā infrastruktūra uzņēmējdarbībai</t>
  </si>
  <si>
    <t>To increase private investments in regions, by making investments for entrepreneurship development according to economic specialization of territories stated in development programmes of municipalities and based on needs of local entrepreneurs</t>
  </si>
  <si>
    <t>Public infrastructure for business</t>
  </si>
  <si>
    <t>Valsts pārvaldes efektivitāte</t>
  </si>
  <si>
    <t>Investment in institutional capacity and in the efficiency of public administration and public services at the national, regional and local levels with a view to reforms, better regulation and good governance</t>
  </si>
  <si>
    <t>Efficiency of public administration</t>
  </si>
  <si>
    <t>Specifiskā atbalsta mērķa ietvaros paredzēts atbalsts:
-  mācību vajadzību apzināšanai un izvērtēšanai, tajā skaitā dalībnieku apmierinātības aptaujām;
-  profesionālo kompetenču attīstīšanas programmu, mācību moduļu, metodiku, rokasgrāmatu, mācību programmu un materiālu izstrādei un pilnveidošanai, vienotas tiesu prakses piemēru un judikatūras apkopošanai un publicēšanai;
-  tiesu sistēmas izvērtējuma nodrošināšanai;
-  saturisko un valodu apmācību, semināru, konferenču, darba grupu un pieredzes apmaiņas organizēšanai un īstenošanai, tai skaitā ārpus Eiropas Savienības;
-  kompetenču modeļa izstrādei;
-  mācību dokumentu un mācību materiālu vadības sistēmas izveidei un pilnveidošanai un nepieciešamo datubāzu izstrādei, pilnveidošanai un pielāgošanai;</t>
  </si>
  <si>
    <t>Tiesu un tiesībsargājošo institūciju darbinieku apmācība</t>
  </si>
  <si>
    <t>To improve the competence of the staff of courts and law enforcement authorities in order to promote improvement of business environment</t>
  </si>
  <si>
    <r>
      <t>Training for judicial authorities</t>
    </r>
    <r>
      <rPr>
        <strike/>
        <sz val="14"/>
        <rFont val="Times New Roman"/>
        <family val="1"/>
        <charset val="186"/>
      </rPr>
      <t/>
    </r>
  </si>
  <si>
    <t>Valsts pārvaldes profesionālā pilnveide un sociālā dialoga attīstība labāka tiesiskā regulējuma izstrādē mazo un vidējo komersantu atbalsta, korupcijas novēršanas un ēnu ekonomikas mazināšanas jomās</t>
  </si>
  <si>
    <t>Specifiskā atbalsta mērķa ietvaros paredzēts atbalsts:
-  mācību vajadzību apzināšanai un izvērtēšanai;
-  profesionālo kompetenču attīstīšanas programmu, mācību moduļu, metodiku, rokasgrāmatu un materiālu izstrādei un pilnveidošanai, labās prakses piemēru apkopošanai un publicēšanai;
-  apmācību, semināru, konferenču un pieredzes apmaiņas organizēšanai un īstenošanai, tai skaitā ārpus Eiropas Savienības; 
-  apmācību rezultātu izvērtējumu un dalībnieku apmierinātības aptaujām;
-  apmācību nodrošināšanai nepieciešamo datubāzu pilnveidošanai un pielāgošanai;
-  mācību dokumentu un mācību materiālu vadības sistēmas izveidei un pilnveidošanai;
-  izveidoto mācību moduļu un programmu pirmreizējai sertificēšanai un licencēšanai;
-  komersantu, nevalstisko organizāciju un sabiedrības salīdzinošo vērtējumu par valsts pārvaldes profesionālās pilnveides progresu un kapacitāti uzņēmējdarbības vides uzlabošanas, administratīvā sloga mazināšanas un korupcijas un ēnu ekonomikas mazināšanas jomā;</t>
  </si>
  <si>
    <t>Valsts pārvaldes profesionālā pilnveide un sociālā dialoga attīstība</t>
  </si>
  <si>
    <r>
      <t>Professional development of public administration and development of social dialogue</t>
    </r>
    <r>
      <rPr>
        <b/>
        <sz val="14"/>
        <color theme="1"/>
        <rFont val="Times New Roman"/>
        <family val="1"/>
        <charset val="186"/>
      </rPr>
      <t xml:space="preserve"> </t>
    </r>
    <r>
      <rPr>
        <sz val="14"/>
        <color theme="1"/>
        <rFont val="Times New Roman"/>
        <family val="1"/>
        <charset val="186"/>
      </rPr>
      <t>of better
legal regulation in the fields of support to small and medium-sized enterprises, anti-corruption and mitigation of the shadow economy</t>
    </r>
  </si>
  <si>
    <t>Professional development of public administration and facilitation of social dialogue</t>
  </si>
  <si>
    <t>Valsts pārvaldes darbinieku apmācības</t>
  </si>
  <si>
    <t>Training for public administration</t>
  </si>
  <si>
    <t>Sociālā dialoga veidošana</t>
  </si>
  <si>
    <t>Development of social dialogue for better regulation elaboration in business field</t>
  </si>
  <si>
    <t>Social dialogue</t>
  </si>
  <si>
    <t>Videi draudzīga ekonomika</t>
  </si>
  <si>
    <t>Shift towards a low-carbon economy in all sectors </t>
  </si>
  <si>
    <t>Environmentally friendly economy</t>
  </si>
  <si>
    <t>Energoefektivitāte un atjaunojamie energoresursi uzņēmumos</t>
  </si>
  <si>
    <t>To promote energy efficiency and renewable energy use in enterprises</t>
  </si>
  <si>
    <t>Energy efficiency and renewable energy in enterprises</t>
  </si>
  <si>
    <t>Apstrādes rūpniecības komersantu ēku energoefektivitātes uzlabošanas pasākumi, ēku energosertifikācija un būvdarbi energoefektivitātes palielināšanai, jaunu un efektīvu atjaunojamo energoresursu (AER) izmantojošu siltumenerģijas ražošanas un ūdens sildīšanas iekārtu iegādei un uzstādīšanai.</t>
  </si>
  <si>
    <t>Apstrādes rūpniecības uzņēmumu energoefektivitāte</t>
  </si>
  <si>
    <t>To promote effective use of energy resources, reduction of energy consumption and transfer to RES in manufacturing industry.</t>
  </si>
  <si>
    <t xml:space="preserve">Energy efficiency in manufacturing industry </t>
  </si>
  <si>
    <t xml:space="preserve">Dzīvojamo un valsts ēku energoefektivitāte </t>
  </si>
  <si>
    <t xml:space="preserve">Energy efficiency of public and residential buildings </t>
  </si>
  <si>
    <t>Daudzdzīvokļu dzīvojamo ēku energoefektivitātes paaugstināšana un būvdarbi energoefektivitātes palielināšanai, kā arī AER izmantošanai ēkās, ja tiek sasniegti īpaši augsti energoefektivitātes rādītāji un AER iekārtu uzstādīšana līdzās energoefektivitātes pasākumiem ir ekonomiski pamatota.</t>
  </si>
  <si>
    <t xml:space="preserve">Daudzdzīvokļu māju energoefektivitāte </t>
  </si>
  <si>
    <t xml:space="preserve">To promote the increase of energy efficiency in residential buildings  </t>
  </si>
  <si>
    <t>Energy efficiency in multi-apartment buildings</t>
  </si>
  <si>
    <t>Ēku energoefektivitātes paaugstināšana, ēku energosertifikācija un būvdarbiem energoefektivitātes palielināšanai, kā arī AER izmantošanai ēkās, ja tiek sasniegti īpaši augsti energoefektivitātes rādītāji un AER iekārtu uzstādīšana līdzās energoefektivitātes pasākumiem ir ekonomiski pamatota.</t>
  </si>
  <si>
    <t>Valsts ēku energoefektivitāte</t>
  </si>
  <si>
    <t>To promote the increase of energy efficiency in public buildings</t>
  </si>
  <si>
    <t>Energy efficiency in public buildings</t>
  </si>
  <si>
    <t>Atbalsts esošu ēku pārbūvei vai atjaunošanai, tai skaitā būvdarbi ēkas norobežojošajās konstrukcijās, kas nodrošina ēkas energoefektivitātes paaugstināšanu un kas ir paredzēti ēkas energosertifikātā,  lokālās vai autonomās siltumapgādes infrastruktūras pārbūvei vai atjaunošanai, kas ir paredzēta ēkas energosertifikātā, atjaunojamo energoresursus izmantojošu siltumenerģiju ražojošu iekārtu iegādei un uzstādīšanai, kas ir paredzēta ēkas energosertifikātā.</t>
  </si>
  <si>
    <t>Pašvaldību ēku energoefektivitāte</t>
  </si>
  <si>
    <t>According to the integrated development programme of the municipality, to facilitate the increase of energy efficiency in municipal buildings</t>
  </si>
  <si>
    <t>Energy efficiency in municipal buildings</t>
  </si>
  <si>
    <t>Atjaunojamo energoresursu izmantošana</t>
  </si>
  <si>
    <t>To promote the production and distribution of energy derived from renewable sources</t>
  </si>
  <si>
    <t>Use of renewable sources</t>
  </si>
  <si>
    <t>Atbalsts paredzēts siltumavotu pārbūvei energoefektivitātes paaugstināšanai un pārejai uz atjaunojamo energoresursu izmantošanu centrālapkurē, t.sk. tehnoloģisko iekārtu iegādei un uzstādīšanai. Paredzēta siltumenerģijas pārvades un sadales sistēmas energoefektivitātes paaugstināšana.</t>
  </si>
  <si>
    <t xml:space="preserve"> Centralizētās siltumapgādes energoefektivitāte</t>
  </si>
  <si>
    <t>To promote energy efficiency and use of local RES in district heat supply</t>
  </si>
  <si>
    <t xml:space="preserve">Energy efficiency in district heat supply </t>
  </si>
  <si>
    <t>Zemu oglekļa emisiju stratēģijas, īpaši mobilitātei pilsētvidē</t>
  </si>
  <si>
    <t>To promote low-carbon strategies for all types of territories, in particular for urban areas, including the promotion of sustainable multimodal urban mobility and mitigation-relevant adaptation measures (ERDF)</t>
  </si>
  <si>
    <t>Low carbon strategies especially for mobility in urban areas</t>
  </si>
  <si>
    <t>Atbalsts paredzēts nacionāla līmeņa elektrotransportlīdzekļu uzlādes infrastruktūras un to vadības operatoru centra programmatūras izveidei.</t>
  </si>
  <si>
    <t>Elektro transportlīdzekļu infrastruktūra</t>
  </si>
  <si>
    <t>To develop EV charging infrastructure in Latvia</t>
  </si>
  <si>
    <t xml:space="preserve">Electric vehicle infrastructure </t>
  </si>
  <si>
    <t>Promoting of low-carbon strategies for all types of territories, in particular for urban areas, including the promotion of sustainable multimodal urban mobility and mitigation-relevant adaptation measures (CF)</t>
  </si>
  <si>
    <t>Videi draudzīgs sabiedriskais transports</t>
  </si>
  <si>
    <t>To develop the infrastructure of environmentally friendly public transport</t>
  </si>
  <si>
    <t>Environmentally friendly public transport</t>
  </si>
  <si>
    <t>Atbalsts paredzēts Rīgas, Liepājas un Daugavpils tramvaju maršrutu tīklu –  attīstībai (esošo līniju atjaunošana, pagarināšana, jaunu līniju izbūve un saistītā ritošā sastāva iegāde).</t>
  </si>
  <si>
    <t>Attīstīt videi draudzīgu sabiedriskā transporta infrastruktūru (autobusi)</t>
  </si>
  <si>
    <t>Atbalsts paredzēts jaunu videi draudzīgu sabiedriskā transporta autobusu iegāde, esošo sabiedriskā transporta autobusu aprīkošana to darbībai ar atjaunojamajiem energoresursiem.</t>
  </si>
  <si>
    <t>Videi draudzīgi autobusi</t>
  </si>
  <si>
    <t>To develop the infrastructure of environmentally friendly public transport (buses)</t>
  </si>
  <si>
    <t>Environmentally friendly buses</t>
  </si>
  <si>
    <t>Vide un teritoriālā attīstība</t>
  </si>
  <si>
    <t>Protection of environment and effective use of resources </t>
  </si>
  <si>
    <t>Environment &amp; territorial development</t>
  </si>
  <si>
    <t xml:space="preserve">Pielāgošanās klimata pārmaiņām </t>
  </si>
  <si>
    <t>Promotion of climate change adaptation, risk prevention and management including the use of ecosystem – based approaches</t>
  </si>
  <si>
    <t>Adaptation to climate changes</t>
  </si>
  <si>
    <t>Plūdu risku samazināšana blīvi apdzīvotās teritorijās</t>
  </si>
  <si>
    <t>To prevent the threat of flood and coastal erosion risks in urban areas</t>
  </si>
  <si>
    <t>Flood risk prevention in populated areas</t>
  </si>
  <si>
    <t>Atbalsts plānots plūdu draudu novēršanai lauku teritorijās</t>
  </si>
  <si>
    <t>Plūdu risku samazināšana lauku teritorijās</t>
  </si>
  <si>
    <t>Flood risk reduction in rural areas</t>
  </si>
  <si>
    <t>Flood risk management in rural areas</t>
  </si>
  <si>
    <t xml:space="preserve">Investīcijas atkritumu nozarē, lai ievērotu Savienības acquis noteiktās prasības vides jomā </t>
  </si>
  <si>
    <t>To invest in waste management area in order to adhere to EU acquis requirements in the environmental area and to support identified needs of member states for investments exceeding the said requirements; preservation and protection of environment and promotion of effective use of resources</t>
  </si>
  <si>
    <t>Investments in waste management area in order to adhere to EU acquis requirements in the environmental area</t>
  </si>
  <si>
    <t>Atkritumu atkārtota izmantošana, pārstrāde un reģenerācija</t>
  </si>
  <si>
    <t>To increase re-using, recycling and regeneration of various sorts of waste</t>
  </si>
  <si>
    <t xml:space="preserve">Waste re-using, recycling and regeneration </t>
  </si>
  <si>
    <t>Atkritumu dalītas savākšanas sistēmas attīstība, tai skaitā, atkritumu dalītas vākšanas punktu un laukumu izveide un aprīkošana, kā arī sabiedrības informēšanas pasākumi.</t>
  </si>
  <si>
    <t>Atkritumu dalītā vākšana</t>
  </si>
  <si>
    <t>Development of a separate waste collection system</t>
  </si>
  <si>
    <t>Separate waste collection</t>
  </si>
  <si>
    <t>Bioloģiski noārdāmo atkritumu kompostēšanu un anaerobā pārstrāde (t.sk., sagatavošanu pārstrādei, ja nepieciešams pilna cikla darbības nodrošināšanai);
Citu atkritumu veidu pārstrādes jaudu palielināšana (t.sk. sagatavošanu pārstrādei, ja nepieciešams pilna cikla darbības nodrošināšanai );</t>
  </si>
  <si>
    <t xml:space="preserve">Atkritumu pārstrāde </t>
  </si>
  <si>
    <t>Promotion of waste recycling</t>
  </si>
  <si>
    <t>Waste recycling</t>
  </si>
  <si>
    <t>Atkritumu reģenerācijas jaudu palielināšana (t.sk., sagatavošanu reģenerācijai, ja nepieciešams pilna cikla darbības nodrošināšanai)</t>
  </si>
  <si>
    <t>Atkritumu reģenerācija</t>
  </si>
  <si>
    <t>Promotion of waste regeneration</t>
  </si>
  <si>
    <t xml:space="preserve">Waste regeneration </t>
  </si>
  <si>
    <t>Investēt ūdenssaimniecības nozarē, lai ievērotu Savienības acquis noteiktās prasības vides jomā</t>
  </si>
  <si>
    <t>To invest in the water supply and sewerage systems sector in order to adhere to EU acquis requirements in the environmental area and to support identified needs of member states for investments exceeding the said requirements.</t>
  </si>
  <si>
    <t>To invest in the water management system in order to adhere to EU acquis requirements</t>
  </si>
  <si>
    <t>Atbalstāma normatīvajos aktos noteiktajiem ūdenssaimniecības pakalpojumu kvalitātes rādītājiem atbilstošu sabiedrisko ūdenssaimniecības pakalpojumu pieejamības un izmantošanas nodrošināšana</t>
  </si>
  <si>
    <t>Ūdenssaimniecība</t>
  </si>
  <si>
    <t>To develop and improve the quality of water supply and sewerage systems services and to ensure connection options</t>
  </si>
  <si>
    <t>Water management</t>
  </si>
  <si>
    <t>Aizsargāt un atjaunot bioloģisko daudzveidību un augsni un veicināt ekosistēmu pakalpojumus, tostarp ar Natura 2000 un zaļo infrastruktūru.</t>
  </si>
  <si>
    <t>Bioloģiskās daudzveidības atjaunošana un aizsargāšana</t>
  </si>
  <si>
    <t>To protect and restore biodiversity and soil, and to promote ecosystem services, including by using "Natura 2000" network and green infrastructure.</t>
  </si>
  <si>
    <t>Biodiversity protection and restoration</t>
  </si>
  <si>
    <t>Bioloģiskā daudzveidība</t>
  </si>
  <si>
    <t>To preserve and restore biodiversity and to protect ecosystems.</t>
  </si>
  <si>
    <t>Biodiversity</t>
  </si>
  <si>
    <t>Infrastruktūras rekonstrukcija un izbūve, saskaņā ar  Natura 2000 teritoriju Īpaši aizsargājamo dabas teritoriju dabas aizsardzības plāniem.</t>
  </si>
  <si>
    <t>Infrastruktūra Natura 2000 teritorijās</t>
  </si>
  <si>
    <t xml:space="preserve">Anthropogenic load -reducing infrastructure construction and reconstruction in Natura 2000 territories </t>
  </si>
  <si>
    <t>Infrastructure in Natura 2000 sites</t>
  </si>
  <si>
    <t>Vides monitorings un vides risku novēršana</t>
  </si>
  <si>
    <t>To ensure the development of environmental monitoring control system and timely prevention of environmental risks, as well as participation of the society in environmental management.</t>
  </si>
  <si>
    <t>Environmental monitoring control system and prevention of environmental risks</t>
  </si>
  <si>
    <t>Īpaši aizsargājamo biotopu un sugu atjaunošanas pasākumi saskaņā ar Īpaši aizsargājamo dabas teritoriju dabas aizsardzības plāniem, īpaši aizsargājamo sugu un biotopu aizsardzības plāniem.</t>
  </si>
  <si>
    <t>Biotopu un sugu kartēšana</t>
  </si>
  <si>
    <t>Biodiversity conservation and ecosystem protection preconditions </t>
  </si>
  <si>
    <t>Mapping of habitats and species</t>
  </si>
  <si>
    <t>Tiešās pārvaldes iestādes, valsts kapitālsabiedrības un atvasinātas publiskas personas, kas veic vides monitoringu un kontroli, vides informācijas apkopošanu, apstrādi un uzkrāšanu, kā arī sabiedrības informēšanas pasākumus vides investīciju jomā.</t>
  </si>
  <si>
    <t>Vides monitorings</t>
  </si>
  <si>
    <t>Environmental monitoring and control system development and public participation in environmental management promotion</t>
  </si>
  <si>
    <t>Environmental monitoring</t>
  </si>
  <si>
    <t>Dabas un kultūras mantojums</t>
  </si>
  <si>
    <t>Preserve, protect, promote and develop natural and culture heritage</t>
  </si>
  <si>
    <t>Natural and cultural heritage</t>
  </si>
  <si>
    <t>Uz pašvaldību attīstības programmām balstīta, nozīmīgu kultūras un dabas mantojuma objektu un saistītās infrastruktūras atjaunošana, pārbūve un restaurācija, jaunas infrastruktūras būvniecība ar mērķi pilnveidot kultūras un dabas mantojuma objektā nodrošinātos pakalpojumus, kā arī jaunu pakalpojumu izveide, dabas un kultūras mantojuma objektu sasniedzamības uzlabošana un kultūras mantojuma izpēte</t>
  </si>
  <si>
    <t>Kultūras un dabas mantojums</t>
  </si>
  <si>
    <t>To preserve, protect and develop important cultural and natural heritage, as well as to develop related services</t>
  </si>
  <si>
    <t>Pilsētvides uzlabošana</t>
  </si>
  <si>
    <t>Take action to improve the urban environment, to revitalise cities, regenerate and decontaminate brownfield sites (including conversion areas), reduce air pollution and promote noise-reduction measures.</t>
  </si>
  <si>
    <t>Urban revitalization</t>
  </si>
  <si>
    <t xml:space="preserve">SAM: veicināt Rīgas pilsētas revitalizāciju, nodrošinot teritorijas efektīvu sociālekonomisko izmantošanu </t>
  </si>
  <si>
    <t>Atbalsts degradēto teritoriju revitalizēšanai, veikt maza mēroga sabiedrisku, kultūras, sporta un inženierinfrastruktūras objektu izveidi un pārbūvi, kas nodrošina kvalitatīvu un daudzveidīgu pakalpojumu piedāvājumu</t>
  </si>
  <si>
    <t>Rīgas revitalizācija</t>
  </si>
  <si>
    <t>Promotion of revitalisation of urban areas in Riga, ensuring efficient socioeconomic use of the area</t>
  </si>
  <si>
    <t>Revitalization of Riga</t>
  </si>
  <si>
    <t>Atbalsts degradētās teritorijas potenciāla attīstīšanai nepieciešamo industriālo pieslēgumu ierīkošanai un to saistītās jaudas palielināšanai, ceļu satiksmei paredzētās infrastruktūras attīstīšanai, komercdarbības mērķiem paredzēto ēku un to infrastruktūras attīstīšanai degradētajā teritorijā, revitalizācijai vai attīstīšanai paredzētās degradētās teritorijas labiekārtošanai</t>
  </si>
  <si>
    <t>Degradēto teritoriju atjaunošana</t>
  </si>
  <si>
    <t>Revitalisation of territories through regeneration of degraded territories according to municipal integrated development programmes</t>
  </si>
  <si>
    <t>Revitalisation of degraded territories</t>
  </si>
  <si>
    <t>Piesārņoto teritoriju sanācija, likvidējot piesārņojuma avotus, atsūknējot un attīrot piesārņotos pazemes ūdeņus, rekultivējot piesārņotās teritorijas, kā arī utilizējot vai apglabājot sanācijas procesā izņemto piesārņojumu</t>
  </si>
  <si>
    <t>Piesārņoto vietu sanācija</t>
  </si>
  <si>
    <t xml:space="preserve">Remediation of historically contaminated sites </t>
  </si>
  <si>
    <t>Remediation</t>
  </si>
  <si>
    <t>Transports</t>
  </si>
  <si>
    <t>Sustainable transport system </t>
  </si>
  <si>
    <t>Transport</t>
  </si>
  <si>
    <r>
      <rPr>
        <sz val="14"/>
        <rFont val="Times New Roman"/>
        <family val="1"/>
        <charset val="186"/>
      </rPr>
      <t>Investīcijas</t>
    </r>
    <r>
      <rPr>
        <sz val="14"/>
        <color theme="1"/>
        <rFont val="Times New Roman"/>
        <family val="1"/>
        <charset val="186"/>
      </rPr>
      <t xml:space="preserve"> TEN-T tīklā</t>
    </r>
  </si>
  <si>
    <t>supporting a multimodal Single European Transport Area by investing in TEN-T (CF)</t>
  </si>
  <si>
    <t>Investments in TEN-T network</t>
  </si>
  <si>
    <t>Molu un viļņlaužu, krasta nostiprinājumu un piestātņu,pārbūve un atjaunošana, lielo ostu infrastruktūras kompleksam piederošo inženiertīklu būvniecība, autotransporta un dzelzceļa pievadceļu  pārbūve, ar ugunsdzēsības un vides aizsardzības prasību ievērošanu, kā arī ar citu drošības prasību ievērošanu saistītās darbības.</t>
  </si>
  <si>
    <r>
      <t>Lielo ostu</t>
    </r>
    <r>
      <rPr>
        <sz val="14"/>
        <rFont val="Times New Roman"/>
        <family val="1"/>
        <charset val="186"/>
      </rPr>
      <t xml:space="preserve"> attīstība</t>
    </r>
  </si>
  <si>
    <t>Development of large ports</t>
  </si>
  <si>
    <t>Vides un drošības pasākumu uzlabošana starptautiskajā lidostā “Rīga” – manevrēšanas ceļu tīkla uzlabošana un aprīkošana ar ass gaismām, lietus ūdens kanalizācijas sistēmas pārbūve, kā arī energoefektīvākas tehnikas, iekārtu un aprīkojuma iegāde un apgaismojuma infrastruktūras modernizācija.</t>
  </si>
  <si>
    <t>Lidostas "Rīga" attīstība</t>
  </si>
  <si>
    <t>To promote security and compliance with environmental requirements at Riga International Airport</t>
  </si>
  <si>
    <t>Development of Riga Airport</t>
  </si>
  <si>
    <t>Rīgas maģistrālo ielu pārbūve</t>
  </si>
  <si>
    <t>Reconstruction of Riga main streets</t>
  </si>
  <si>
    <t>Rīgas pilsētas transporta infrastruktūras pārbūve un atjaunošana, nodrošinot integrētas transporta sistēmas veidošanu, uzlabojot transporta infrastruktūras tehniskos parametrus un satiksmes drošību un pilsētas centrālās daļas atbrīvošanu no tranzīta satiksmes, kā arī mazinot maģistrālo ielu fragmentāro raksturu.</t>
  </si>
  <si>
    <t>Rīgas tiltu un pārvadu pārbūve</t>
  </si>
  <si>
    <t>Development of integrated transport system in Riga city</t>
  </si>
  <si>
    <t>Sabiedriskā transporta pārsēšanās centra izbūve Daugavas kreisajā krastā.</t>
  </si>
  <si>
    <t>Torņkalna multimodālais transporta mezgls</t>
  </si>
  <si>
    <t>Construction of multimodal transport hub in Tornkalns neighbourhood </t>
  </si>
  <si>
    <t>Multimodal transport hub in Tornkalns</t>
  </si>
  <si>
    <t>To connect infrastructure of major cities with the TEN-T network</t>
  </si>
  <si>
    <t>Jaunu maģistrālo ielu, esošo maršrutu attīstība, kas nodrošina atsevišķu Rīgas pilsētas daļu efektīvu savstarpējo sasaisti un sasaisti ar TEN-T tīklu (alternatīvu kravas ceļu izbūve, pārbūve vai modernizācija)</t>
  </si>
  <si>
    <t>Rīgas pilsētas integrēšana TEN-T tīklā</t>
  </si>
  <si>
    <t>Integration of Riga Port and Riga City in TEN-T network</t>
  </si>
  <si>
    <t>Integration of Riga City in TEN-T network</t>
  </si>
  <si>
    <t>Jaunu maģistrālo ielu, esošo maršrutu attīstība, kas nodrošina atsevišķu pilsētu daļu efektīvu savstarpējo sasaisti un sasaisti ar Eiropas komunikāciju tīklu elementiem (alternatīvu kravas ceļu izbūve, pārbūve vai modernizācija).</t>
  </si>
  <si>
    <t>Lielo pilsētu integrēšana TEN-T tīklā</t>
  </si>
  <si>
    <t>Integration of National Development Centres in the TEN-T network </t>
  </si>
  <si>
    <t>Integration of large cities in TEN-T network</t>
  </si>
  <si>
    <t>Valsts galveno autoceļu TEN-T tīklā pārbūve, virsmas nestspējas stiprināšana, vienlaikus īstenojot ceļu satiksmes drošības uzlabošanu.</t>
  </si>
  <si>
    <t>Galveno autoceļu pārbūve</t>
  </si>
  <si>
    <t>To reconstruct the pavement of state main roads, increasing bearing capacity</t>
  </si>
  <si>
    <t>Reconstruction of state main roads</t>
  </si>
  <si>
    <t>Investīcijas dzelzceļa tīklā</t>
  </si>
  <si>
    <t>Developing and restoration of comprehensive, quality and interoperable railway systems, and promoting noise reduction measures (CF)</t>
  </si>
  <si>
    <t>Investments in railway network</t>
  </si>
  <si>
    <t>Latvijas dzelzceļa tīkla attīstība</t>
  </si>
  <si>
    <t xml:space="preserve"> To ensure a competitive and environmentally friendly TEN-T railway network promoting its safety, quality and capacity</t>
  </si>
  <si>
    <t>Development of Latvian railway network</t>
  </si>
  <si>
    <t xml:space="preserve"> Pasākuma ietvaros tiks īstenots lielais projekts “Latvijas dzelzceļa tīkla elektrifikācija”.</t>
  </si>
  <si>
    <t>Dzelzceļa elektrifikācija</t>
  </si>
  <si>
    <t>Electrification of Latvian railway network  </t>
  </si>
  <si>
    <t>Railway electrification</t>
  </si>
  <si>
    <t>TEN-T pamattīklā esošās dzelzceļa infrastruktūras modernizācija un jaunas izveide, tai skaitā nozīmīgāko dzelzceļa mezglu pārbūve, satiksmes pārvaldības sistēmu ieviešana, dzelzceļa pasažieru infrastruktūras modernizācija un signalizācijas sistēmas modernizācija.</t>
  </si>
  <si>
    <t>Dzelzceļa infrastruktūra</t>
  </si>
  <si>
    <t>Modernization and construction of railway infrastructure  </t>
  </si>
  <si>
    <t xml:space="preserve"> Railway infrastructure  </t>
  </si>
  <si>
    <t>Transporta infrastruktūrā reģionālās mobilitātes uzlabošanai</t>
  </si>
  <si>
    <t>Enhancing regional mobility by connecting secondary and tertiary nodes to TEN-T infrastructure, including multimodal nodes (ERDF)</t>
  </si>
  <si>
    <t>Transport infrastructure enhancing regional mobility</t>
  </si>
  <si>
    <t>Valsts reģionālo autoceļu, kas savieno starptautiskas, nacionālas un reģionālas nozīmes attīstības centrus ar TEN-T autoceļu tīklu, pārbūve</t>
  </si>
  <si>
    <t>Reģionālo autoceļu pārbūve</t>
  </si>
  <si>
    <t>To increase regional mobility through improvement of the quality of state regional roads</t>
  </si>
  <si>
    <t>Reconstruction of regional roads</t>
  </si>
  <si>
    <t>Nodarbinātība</t>
  </si>
  <si>
    <t>Employment and labour mobility </t>
  </si>
  <si>
    <t>Employment</t>
  </si>
  <si>
    <t>Nodarbinātības pieejamība bezdarbniekiem un darbaspēka mobilitāte</t>
  </si>
  <si>
    <t>Access to employment for job-seekers and labour mobility</t>
  </si>
  <si>
    <t>Bezdarbnieku profesionālā apmācība, pārkvalifikācija, kvalifikācijas paaugstināšana, apmācība pie darba devēja; neformālās izglītības programmu apguve; atbalsts bezdarbnieku reģionālajai mobilitātei u.c.</t>
  </si>
  <si>
    <t>Atbalsts bezdarbnieku izglītībai</t>
  </si>
  <si>
    <t>Training of the unemployed</t>
  </si>
  <si>
    <t xml:space="preserve">Darba tirgus prognozēšanas sistēma </t>
  </si>
  <si>
    <t>Informācijas nodrošināšana Eiropas Nodarbinātības dienestu tīkla (EURES) ietvaros darba ņēmējiem, darba meklētājiem un bezdarbniekiem, kā arī darba devējiem, valsts un pašvaldību iestāžu, nevalstiskā sektora pārstāvjiem par Eiropas darba mobilitātes jautājumiem.</t>
  </si>
  <si>
    <t>EURES tīkla darbība Latvijā</t>
  </si>
  <si>
    <t>Operation of EURES network in Latvia</t>
  </si>
  <si>
    <t>EURES network in Latvia</t>
  </si>
  <si>
    <t xml:space="preserve">Darba tirgus apsteidzošo pārkārtojumu sistēmas organizatoriskā ietvara un sadarbības modeļa apzināšana un izveide, Web bāzētas IT platformas izveidei nepieciešamās tehniskās specifikācijas izveide. </t>
  </si>
  <si>
    <t xml:space="preserve">Darba tirgus prognozēšanas sistēmas pilnveide </t>
  </si>
  <si>
    <t>Anticipating labour market needs</t>
  </si>
  <si>
    <t>Jauniešu ilgtspējīga integrācija darba tirgū, īpašu uzmanību pievēršot
nodarbinātībā, izglītībā vai apmācībā neiesaistītiem jauniešiem, tostarp
jauniešiem, kuriem ir sociālās atstumtības risks, un jauniešiem no sociāli
atstumtām kopienām, tostarp ar garantijas jauniešiem shēmas īstenošanu</t>
  </si>
  <si>
    <t>Jauniešu integrācija darba tirgū</t>
  </si>
  <si>
    <t>Sustainable integration into the labour market of young people, in particular those not in employment, education or training, including young people at risk of social exclusion and young people from marginalised communities, including through the implementation of the Youth Guarantee</t>
  </si>
  <si>
    <t>Integration of young people into the labour market</t>
  </si>
  <si>
    <t>Jauniešu garantijas</t>
  </si>
  <si>
    <t>Youth Guarantee</t>
  </si>
  <si>
    <t>Darba meklēšanas atbalsta pasākumi, konkurētspējas paaugstināšanas pasākumi un karjeras konsultācijas; neformālās izglītības programmu īstenošana, tai skaitā mainīgajām darba tirgus prasībām atbilstošu sistematizētu sociālo un profesionālo pamatprasmju apguve, noslēguma pārbaudījumu organizēšana (tai skaitā valsts valodas prasmes pārbaudes un transportlīdzekļu un traktortehnikas vadītāja kvalifikācijas iegūšanas eksāmeni); profesionālās tālākizglītības un profesionālās pilnveides izglītības programmu īstenošana; pirmās darba pieredzes jaunietim ieguve; darbam nepieciešamo iemaņu attīstība nevalstiskajā sektorā; darbnīcas jauniešiem, kas dod iespēju jauniešiem vienā vai vairākās izglītības iestādēs iepazīt kopskaitā trīs profesionālās izglītības programmas; subsidētās darba vietas jauniešiem bezdarbniekiem; atbalsts pašnodarbinātības vai uzņēmējdarbības uzsākšanai, tai skaitā konsultatīvie un finanšu atbalsta pasākumi pašnodarbinātības vai komercdarbības uzsākšanai; atbalsts jauniešu reģionālajai mobilitātei; jauniešu informēšana un piesaiste.</t>
  </si>
  <si>
    <t>Jauniešu garantijas (aktīvās nodarbinātības pasākumi)</t>
  </si>
  <si>
    <t>Youth Guarantee (Active Employment Measures)</t>
  </si>
  <si>
    <t>Sākotnējās profesionālās izglītības programmu otrā un trešā profesionālās kvalifikācijas līmeņa ieguve viena vai pusotra mācību gada laikā, tai skaitā programmu pielāgošana atbilstoši mērķa grupas vajadzībām, un mērķstipendijas piešķiršana, izglītības programmu īstenošana  vispārējo pamatprasmju apguvei, tai skaitā programmu pielāgošana atbilstoši mērķa grupas vajadzībām, profesionālajai tālākizglītībai un profesionālajai pilnveidei, karjeras atbalsta pasākumi, jauniešu informēšana un piesaiste.</t>
  </si>
  <si>
    <t>Jauniešu garantijas (profesionālās izglītības pasākumi)</t>
  </si>
  <si>
    <t xml:space="preserve"> Implementation of initial vocational education programmes within the Youth Guarantee.</t>
  </si>
  <si>
    <t>Youth Guarantee (Vocational Education Measures)</t>
  </si>
  <si>
    <t xml:space="preserve">Implementation of initial vocational education programmes within the Youth Guarantee </t>
  </si>
  <si>
    <t>Jauniešu garantijas (aktīvās nodarbinātības pasākumi) pēc 2018.gada</t>
  </si>
  <si>
    <t>Nodarbināto, uzņēmumu pielāgošanās pārmaiņām</t>
  </si>
  <si>
    <t>Adaptation of workers, enterprises and entrepreneurs to change</t>
  </si>
  <si>
    <t>Adaptation of employees and companies to changes</t>
  </si>
  <si>
    <t>Darba attiecību un darba aizsardzības tiesiskā regulējuma pilnveides un  praktiskās ieviešanas uzraudzības pasākumi, Valsts darba inspekcijas profesionālo spēju pilnveide, atbalsts bīstamo nozaru uzņēmumiem darba drošības jomā, preventīvie un informatīvi izglītojošie pasākumi.</t>
  </si>
  <si>
    <t>Darba drošības uzlabošana</t>
  </si>
  <si>
    <t>To improve labour safety, especially in enterprises of hazardous industries</t>
  </si>
  <si>
    <t>Improving labour safety</t>
  </si>
  <si>
    <t>Gados vecāku nodarbināto spēju, prasmju un veselības stāvokļa novērtēšana, cilvēkresursu attīstības plānošana, informatīvi konsultatīvs atbalsts darba devējiem, lai sekmētu gados vecāku cilvēku ilgāku palikšanu darba tirgū (veselīgas novecošanās, drošu darba metožu, elastīgu darba formu, personāla politikas un karjeras plānošanas u.c. jautājumos), prasmju pilnveidošanas pasākumi, darba vides novērtēšana un darba vietas pielāgošana, starppaaudžu pieredzes nodošanas pasākumi (mentorings).</t>
  </si>
  <si>
    <t>Gados vecāku nodarbināto darbspēju uzlabošana</t>
  </si>
  <si>
    <t>To prolong preservation of capacity for labour and employment of elderly employees</t>
  </si>
  <si>
    <t xml:space="preserve">Prolongation of labour capacity of  elderly employees in labour market </t>
  </si>
  <si>
    <t>Izglītība</t>
  </si>
  <si>
    <t>Education, skills and lifelong learning </t>
  </si>
  <si>
    <t>Education</t>
  </si>
  <si>
    <t>Izglītības infrastruktūra</t>
  </si>
  <si>
    <t>To improve education, training and vocational training for skills and
lifelong learning by developing education and training infrastructure</t>
  </si>
  <si>
    <t>Education infrastructure</t>
  </si>
  <si>
    <t>Atbalsts teritoriāli koncentrētas studiju un zinātniskā darba infrastruktūras attīstībai augstākās izglītības institūciju stratēģiskās specializācijas stiprināšanai, t.sk. ēku vai telpu pārbūvei vai atjaunošanai, ja nepieciešams, jaunas ēkas būvniecībai, iekārtu un aprīkojuma iegādei, nepieciešamo ēku un telpu pielāgošanai aprīkojuma un aparatūras uzstādīšanai un darbībai, kā arī atbalsts Informācijas un komunikācijas tehnoloģiju risinājumiem, t.sk. tālmācības rīku, programmatūras, bibliotēku resursu iegādei, STEM (matemātikas, dabaszinību un tehnikas zinātnes),  t.sk. medicīnas un radošās industrijas, studiju virzienos.</t>
  </si>
  <si>
    <t>Augstskolu STEM infrastruktūra</t>
  </si>
  <si>
    <t>Increase number of modernized study programs of STEM, including medicine and creative industries</t>
  </si>
  <si>
    <t>STEM infrastructure of Higher Education</t>
  </si>
  <si>
    <t>Specifiskā atbalsta ietvaros ir atbalstāmas šādas darbības: ergonomiskas mācību vides izveide; informācijas un komunikāciju tehnoloģiju risinājumu ieviešana un aprīkojuma iegāde; dabaszinātņu kabinetu aprīkošana vai jaunu kabinetu izveidošana 7. – 9.klašu grupai; izglītības iestādes sporta infrastruktūras būvniecība (valsts ģimnāzijām, ģimnāzijām, vidusskolām, pamatskolām); izglītības iestādes dienesta viesnīcas būvniecība (valsts ģimnāzijām, ģimnāzijām, vidusskolām); reģionālā metodiskā centra izveide vai attīstība (valsts ģimnāzijām);</t>
  </si>
  <si>
    <t>Vispārējās izglītības infrastruktūra</t>
  </si>
  <si>
    <t>To improve study environment of general education institutions</t>
  </si>
  <si>
    <t>General education infrastructure</t>
  </si>
  <si>
    <t>Atbalsts plānots profesionālās izglītības iestāžu, it īpaši profesionālās izglītības kompetences centru, infrastruktūras, mācību kabinetu, profesionālās izglītības iestādes koplietošanas telpu, t.sk., sporta (ieguldījumus sporta infrastruktūrā plānots atbalstīt tādā apjomā, lai nodrošinātu PIKC īstenoto mācību programmu ietvaros noteiktā obligātā mācību priekšmeta “Sports” infrastruktūras, inventāra un aprīkojuma atbilstību kvalitatīva mācību procesa nodrošināšanai) un dienesta viesnīcu infrastruktūras izveidei un sakārtošanai, teritorijas labiekārtošanai un ar atbilstošajām Nozaru ekspertu padomēm/  Kultūrizglītības padomi saskaņota mācību līdzekļu un tehniskā aprīkojuma iegādei.</t>
  </si>
  <si>
    <t>Profesionālās izglītības infrastruktūra</t>
  </si>
  <si>
    <t>To increase number of fully modernised vocational education institutions</t>
  </si>
  <si>
    <t>Vocational education infrastructure</t>
  </si>
  <si>
    <t>Atbalsts plānots koledžu, kas īsteno STEM (matemātikas, dabaszinību un tehnikas zinātnes), t.sk. medicīnas un radošas industrijas, pirmā līmeņa profesionālās augstākās izglītības studiju programmas un profesionālās vidējās izglītības programmas, infrastruktūras attīstībai un aprīkojuma modernizācijai,  iekārtu un aprīkojuma iegādei, t.sk specifisku laboratoriju pilnveidei un modernizācijai, nepieciešamo ēku un telpu pielāgošanai aprīkojuma un aparatūras uzstādīšanai un darbībai, informācijas un komunikācijas tehnoloģiju risinājumu un aprīkojuma iegādei.</t>
  </si>
  <si>
    <t>Koledžu STEM infrastruktūrā</t>
  </si>
  <si>
    <t>To improve the learning environment of the first level professional higher education STEM, incl. medicine and creative industry programs</t>
  </si>
  <si>
    <t>First level higher education STEM infrastructure</t>
  </si>
  <si>
    <t>Augstākā izglītība</t>
  </si>
  <si>
    <t>Improving the quality and efficiency of and access to tertiary and equivalent education with a view to increasing participation and attainment levels, especially for disadvantaged groups</t>
  </si>
  <si>
    <t>Tertiary education</t>
  </si>
  <si>
    <t>Kopīgo doktorantūras studiju programmu un studiju programmu ES valodās izstrāde, aprobācija un akreditācija, tai skaitā akreditācijas izmaksu segšana starptautiskās profesionālās organizācijās; izstrādāto un akreditēto studiju programmu starptautiskā publicitāte.</t>
  </si>
  <si>
    <t>Studiju programmu fragmentācijas samazināšana</t>
  </si>
  <si>
    <t>Reduce fragmentation of study programs and strengthen resource sharing</t>
  </si>
  <si>
    <t>Reduce fragmentation of study programs</t>
  </si>
  <si>
    <t xml:space="preserve">Atbalsts ārvalsts pasniedzēju piesaistei darbam augstākās izglītības institūcijā Latvijā, t.sk. latviešu valodas apguvei; atbalsts akadēmiskā personāla kompetenču un prasmju pilnveidei, t.sk. ES valodu apguvei un stažēšanās uzņēmumos; jauno pasniedzēju piesaiste, atbalstot doktorantu akadēmisko darbu augstākās izglītības institūcijā. </t>
  </si>
  <si>
    <t>Akadēmiskā personāla stratēģiskās specializācijas stiprināšana</t>
  </si>
  <si>
    <t>To strengthen academic personnel of HEI in strategic specialisation areas</t>
  </si>
  <si>
    <t>To strengthen academic personnel in strategic specialisation</t>
  </si>
  <si>
    <t>Augstākās izglītības institūciju attīstības stratēģiju ieviešana: atbalsts attīstības stratēģiju izstrādei, pilnveidei un to ārējam novērtējumam; atbalsts studiju virzienu padomju darbam, tostarp veicot studiju programmu satura pārstrukturizāciju un aktualizāciju, studiju programmu konsolidāciju; atbalsts augstākās izglītības institūcijas iekšējās kvalitātes nodrošināšanas sistēmas efektivitātes paaugstināšanai atbilstoši standartiem un vadlīnijām kvalitātes nodrošināšanai Eiropas augstākās izglītības telpā, tostarp personāla atalgojuma un promocijas sistēmas ārējam novērtējumam un sistēmas pilnveidei; atbalsts e-risinājumu, t.sk. e-koplietošanas mehānismu un starpinstitūciju sadarbības risinājumu, attīstībai.</t>
  </si>
  <si>
    <t>Efektīvas pārvaldības nodrošināšana augstskolās</t>
  </si>
  <si>
    <t>To ensure better governance in HEI</t>
  </si>
  <si>
    <t>Better governance in HEI</t>
  </si>
  <si>
    <t>Akreditācijas aģentūras darbības kvalitātes paaugstināšana un kapacitātes stiprināšana, lai nodrošinātu tās atbilstību „Standartiem un vadlīnijām kvalitātes nodrošināšanai Eiropas augstākās izglītības telpā” (turpmāk -ESG) , t.sk. akreditācijas aģentūras kvalitātes vadības sistēmas pilnveide un aprobācija, tai skaitā pilotakreditāciju īstenošana;
Akreditācijas aģentūras dalība ESG/ENQA (ENQA - European Standards of Guidelines for Quality Assurance jeb "Standarti un vadlīnijas kvalitātes nodrošināšanai Eiropas augstākās izglītības telpā”) un citās starptautiskajās organizācijās un tīklos, kā arī to organizētajos pasākumos augstākās izglītības kvalitātes nodrošināšanas jautājumos;
Akreditācijas aģentūras ārējās ekspertīzes (atbilstības pārbaude ESG) nodrošināšana;
Personāla un ekspertu apmācība un attīstība, t.sk. ārvalstu, kā arī pieredzes apmaiņas pasākumu īstenošana ar citu valstu akreditācijas aģentūrām, kas reģistrētas Eiropas Augstākās izglītības kvalitātes nodrošināšanas reģistrā (EQAR);
Akreditācijas aģentūras materiāltehniskās bāzes un informatīvā nodrošinājuma stiprināšana, tajā skaitā e-platformas izveide, esošo informācijas sistēmu integrēšana un savienošana;
Priekšlikumu izstrāde e-platformas attīstībai;
Atbalsta un informatīvie pasākumi augstākajām izglītības institūcijām un akreditācijas sistēmā iesaistītajiem partneriem;
Augstākās izglītības kvalitātes monitoringa sistēmas attīstība. 
Projekta vadības un īstenošanas nodrošināšana;
Informācijas un publicitātes pasākumi par projekta īstenošanu.</t>
  </si>
  <si>
    <t>Atbalsts EQAR aģentūrai</t>
  </si>
  <si>
    <t>To provide support for implementation of requirements of EQAR agency</t>
  </si>
  <si>
    <t>To provide support of requirements of EQAR</t>
  </si>
  <si>
    <t>Priekšlaicīgu mācību pārtraukšanas mazināšana un novēršana</t>
  </si>
  <si>
    <t>"Reducing and preventing early school-leaving and promoting equal
access to good quality early-childhood, primary and secondary education, including formal, non-formal and informal learning pathways for reintegrating into education and training"</t>
  </si>
  <si>
    <t>Reducing and preventing early school-leaving</t>
  </si>
  <si>
    <t>Kompetenču pieejas attīšana</t>
  </si>
  <si>
    <t>To develop competency-based general education curriculum</t>
  </si>
  <si>
    <t>Development of competency-based education (content)</t>
  </si>
  <si>
    <t>1. mācību satura aprobācija, pilnveide un ieviešana pirmsskolas izglītības, pamatizglītības un vidējās izglītības pakāpē:
1.1. mācību satura, mācību darba organizācijas modeļu un metodikas izstrāde, ekspertēšana, aprobācija un pilnveide, sagatavošana publicēšanai, tai skaitā e-vidē, un publicēšana, diagnosticējošo darbu un eksāmenu satura projekta izstrāde, ekspertēšana, aprobācija un pilnveide, mācību satura ieviešana;
1.2. diagnostikas instrumentu, mācību un metodisko līdzekļu izstrāde, mācību līdzekļu satura aprobācija, pilnveide, sagatavošana publicēšanai, tai skaitā e-vidē, un publicēšana;
1.3. mācību un metodisko līdzekļu izstrāde izglītojamajiem ar garīgās attīstības traucējumiem, mācību līdzekļu satura aprobācija, pilnveide, sagatavošana publicēšanai, tai skaitā e-vidē, un publicēšana;
1.4. pedagogu profesionālās kompetences pilnveide, tai skaitā Eiropas valodu portfeļa un valodas un satura integrētas apguves īstenošanai, ietverot pedagogu profesionālās kompetences pilnveides programmu izstrādi un īstenošanu;
1.5. informatīvu un izglītojošu semināru, konferenču un pieredzes apmaiņas pasākumu organizēšana un nodrošināšana;
2. projekta vadības un īstenošanas nodrošināšana;
3. informācijas un publicitātes pasākumu īstenošana.</t>
  </si>
  <si>
    <t>Kompetenču pieejas satura aprobācija</t>
  </si>
  <si>
    <t xml:space="preserve">Approbation and implementation of competency-based general education curriculum </t>
  </si>
  <si>
    <t>Development of competency-based education (approbation)</t>
  </si>
  <si>
    <t>Digitālo mācību līdzekļu un metodisko materiālu izstrāde kompetenču pieejā balstītā vispārējās izglītības satura ieviešanai.</t>
  </si>
  <si>
    <t xml:space="preserve">Development of digital education and methodology materials </t>
  </si>
  <si>
    <t>Individuālo kompetenču attīstība vispārējā izglītībā</t>
  </si>
  <si>
    <t>To increase support for general education institutions to develop students’ individual competences</t>
  </si>
  <si>
    <t>Development  of individual competences in general education</t>
  </si>
  <si>
    <t>Atbalsts nacionāla un starptautiska mēroga pasākumu īstenošanai talantīgajiem bērniem - dalības nodrošināšana starptautiskās olimpiādēs, konkursos; nacionāla līmeņa vasaras nometņu, semināru, konkursu, u.c. pasākumu organizēšana, metodikas izstrāde un metodiskais atbalsts pedagogiem darbam ar talantīgiem bērniem.</t>
  </si>
  <si>
    <t>Izglītojamo talantu attīstība</t>
  </si>
  <si>
    <t>Support for implementation of national and international scale activities to develop talents of educates</t>
  </si>
  <si>
    <t>Development of students' talents</t>
  </si>
  <si>
    <t>1.Atbalsts individualizētas mācību pieejas īstenošanai vispārējās izglītības iestādēs: 1. atbalsts izglītojamajiem vispārējās izglītības iestādēs, tai skaitā izglītojamo talantu atklāšanai un izkopšanai, sociālās atstumtības riskam pakļautajiem izglītojamajiem, tai skaitā izglītojamajiem ar speciālajām vajadzībām, un atbilstoša pedagogu profesionālās kompetences pilnveide:
2. papildu apmācību nodrošināšana, t.sk. valsts valodas un citos mācību priekšmetos, kā arī izglītojamo sagatavošanai olimpiādēm un konkursiem;
3. inovatīvu pasākumu ieviešana un nodrošināšana interešu izglītības veicināšanai, tai skaitā dalībai vasaras nometnēs, festivālos, konkursos, sacensībās, radošās darbnīcās, zinātnes centros, semināros, projektos, u.c. pasākumos atbilstoši izglītojamo interesēm, prasmēm un kompetencēm;
4. nepieciešamā pedagoģiskā personāla un atbalsta personāla (psihologu, sociālo pedagogu, asistentu) nodrošināšana, pasākumi izglītojamo mācību grūtību un mācīšanās traucējumu diagnosticēšanā un atbilstošas metodoloģijas nodrošināšanā mācību procesā;
5. pedagogu tālākizglītība skolas vidē, atbalstot jaunos pedagogus pedagoģijas un vadības prasmju apguvē un to izmantošanai praksē, attīstot pedagogu uzņēmējspējas, līderības, radošumu, IKT, bilingvālās izglītības un svešvalodu prasmju uzlabošanu, .sk. prasmju uzlabošanu darbam ar talantīgiem un apdāvinātiem izglītojamajiem, kā arī izglītojamajiem ar speciālām vajadzībām un sociālās atstumtības riskam pakļautajiem izglītojamajiem, kuriem nepieciešama pedagoģiskā korekcija, tādējādi veicinot iekļaujošo izglītību vispārējās izglītības iestādēs, t.sk.  vienaudžu vardarbības mazināšanai skolās, sadarbības un dialoga veicināšanai ar vecākiem, citām institūcijām un sabiedrību izglītības jautājumu risināšanā; sadarbības uzlabošana ar citām pašvaldībām un izglītības iestādēm, t.sk. pieredzes apmaiņai un labās prakses pārņemšanai.</t>
  </si>
  <si>
    <t xml:space="preserve">Individuālo kompetenču attīstība </t>
  </si>
  <si>
    <t>Support for development of educatees' individual competences</t>
  </si>
  <si>
    <t>Development of individual competences</t>
  </si>
  <si>
    <t xml:space="preserve">Increasing skills of NEET youth </t>
  </si>
  <si>
    <t xml:space="preserve">Individuāls atbalsta pasākumu kopums nabadzības riskam pakļautiem priekšlaicīgas mācību pārtraukšanas (PMP) riska izglītojamiem, atbalsts NVO, kas strādā ar PMP riska grupas jauniešiem, atbalsts pašvaldību PMP mazināšanas rīcības plānu sagatavošanai, izvērtēšanai un īstenošanai, atbalsts PMP rādītāju dinamikas uzskaites un analīzes sistēmai, kā arī vadlīniju sagatavošana un pilnveide koordinētai PMP mazināšanai. </t>
  </si>
  <si>
    <t>Priekšlaicīgas mācību pārtraukšanas samazināšana</t>
  </si>
  <si>
    <t>To reduce early school leaving by implementing preventive and intervention measures</t>
  </si>
  <si>
    <t>Reducing of early school leaving</t>
  </si>
  <si>
    <t>1.Atbalsts vispārējās un profesionālās izglītības iestādēm izglītojamo karjeras atbalsta pilnveidei, lai sekmētu karjeras atbalsta pakalpojumu pieejamības, kvalitātes un daudzveidības paaugstināšanu:
1.1.informatīvo un metodisko materiālu komplekta izstrāde karjeras atbalsta  īstenošanai vispārējās un profesionālās izglītības iestādēs.
1.2.vispārējās vai profesionālās izglītības iestādēs strādājošo pedagogu un karjeras atbalsta īstenošanā iesaistīto speciālistu papildizglītība karjeras atbalsta pasākumu īstenošanas jautājumos. 
1.3. nacionālo profesionālās meistarības konkursu organizēšana profesionālās izglītības iestāžu audzēkņiem (tai skaitā profesionālo prasmju demonstrācijas pasākumu organizēšana profesionālās izglītības pievilcības celšanai). 
1.4. konkursantu sagatavošana un dalības nodrošināšana starptautiskajos jauno profesionāļu meistarības konkursos. 
2. Karjeras atbalsta pasākumu (tai skaitā karjeras informācijas, karjeras izglītības un karjeras konsultāciju) īstenošana izglītības iestādēs izglītojamajiem visos Latvijas novados un republikas pilsētās.</t>
  </si>
  <si>
    <t>Karjeras pieejas uzlabošana</t>
  </si>
  <si>
    <t>To improve access to career support for students in general and vocational education institutions</t>
  </si>
  <si>
    <t xml:space="preserve">To improve access to career support </t>
  </si>
  <si>
    <t>Kvalitātes monitoringa sistēmas ieviešana</t>
  </si>
  <si>
    <t>To introduce education quality monitoring system</t>
  </si>
  <si>
    <t>Introduction of quality monitoring system</t>
  </si>
  <si>
    <t>1.Tādu starptautisko pētījumu programmu īstenošana un iegūto datu analīze kā:
-Ekonomiskās sadarbības un attīstības organizācijas Starptautiskās skolēnu novērtēšanas programmas pētījumā;
-Ekonomiskās sadarbības un attīstības organizācijas Starptautiskajā mācību vides pētījumā;
-Ekonomiskās sadarbības un attīstības organizācijas Izglītības sistēmu indikatoru programmā;
-Ekonomiskās sadarbības un attīstības organizācijas Zinātņu doktoru karjeras apsekojumā;
-Starptautiskās izglītības sasniegumu novērtēšanas asociācijas Starptautiskajā lasītprasmes novērtēšanas pētījumā;
kā arī sadarbībā ar Starptautisko Rekonstrukcijas un attīstības banku īstenojot pētījumu par augstākās izglītības pārvaldību.
2. projekta vadība un īstenošanas nodrošināšana;
3. informācijas un publicitātes pasākumu īstenošana.</t>
  </si>
  <si>
    <t xml:space="preserve">1. Nacionālo pētījumu veikšana;
2. Vienotu kritēriju atlases metodoloģijas izstrāde izglītojamo mācību sasniegumu novērtēšanai starptautiskā, nacionālā un individuālā līmenī, t.sk. pētījums par izglītības monitoringa indikatoriem un metodoloģiju; izglītības politikas īstenošanas un ietekmes novērtēšanas pētnieku tīkla, kas spēj nodrošināt politikas veidošanai nepieciešamo jautājumu izpēti, izveide zinātniskajās institūcijās. </t>
  </si>
  <si>
    <t>Izglītības kvalitātes monitoringa sistēma</t>
  </si>
  <si>
    <t>Implementation of education monitoring system</t>
  </si>
  <si>
    <t>Education quality monitoring system</t>
  </si>
  <si>
    <t>Mūžizglītības attīstīšana dažādām vecuma grupām</t>
  </si>
  <si>
    <t>Enhancing equal access to lifelong learning for all age groups in formal, non-formal and informal settings, upgrading the knowledge, skills and competences of the workforce, and promoting flexible learning
pathways including through career guidance and validation of acquired
competences"</t>
  </si>
  <si>
    <t xml:space="preserve">Equal access to life-long learning </t>
  </si>
  <si>
    <t xml:space="preserve"> Atbalsts mācību piedāvājuma un vajadzību atbilstības darba tirgus  vajadzībām izvērtēšanai, atbalsts profesionālās tālākizglītības programmu apguvei profesionālās kvalifikācijas ieguvei, pilnveidei vai pārkvalifikācijai, kā arī profesionālās pilnveides un neformālās izglītības programmu apguvei, atbalsts karjeras konsultanta vai pedagoga – karjeras konsultanta pakalpojumiem, lai savlaicīgi novērstu darbaspēka kvalifikācijas neatbilstību darba tirgus pieprasījumam, veicinātu strādājošo konkurētspēju un darba produktivitātes pieaugumu atbilstoši darba tirgus prasībām, atbalsts ārpus formālās izglītības sistēmas apgūtās profesionālās kompetences novērtēšanai, atbalsts papildu atbalsta pasākumu īstenošanai sociālās atstumtības riskam pakļauto mērķa grupas personu iesaistei profesionālās kompetences pilnveides un neformālās izglītības programmu apguvē</t>
  </si>
  <si>
    <t xml:space="preserve">Mūžizglītība </t>
  </si>
  <si>
    <t>To develop professional competencies of employees</t>
  </si>
  <si>
    <t>Life-long learning</t>
  </si>
  <si>
    <t>Darba tirgus nozīmes palielināšana izglītībā</t>
  </si>
  <si>
    <t>Improving the labour market relevance of education and training
systems, facilitating the transition from education to work, and strengthening vocational education and training (VET) systems and their quality, including through mechanisms for skills anticipation, adaptation of curricula and the establishment and development of work based learning systems, including dual learning systems and apprenticeship schemes"</t>
  </si>
  <si>
    <t>Improving  relevance of labour market in education</t>
  </si>
  <si>
    <t xml:space="preserve">Darba vidē balstītu mācību pie komersanta, biedrībā vai nodibinājumā un pie amata meistara vai uzņēmumā īstenošana profesionālajā izglītībā, kvalifikācijas prasībām atbilstošu praktisko mācību un mācību prakses īstenošana pie komersanta, biedrībā vai nodibinājumā vai sadarbībā ar uzņēmēju profesionālās vidējās un arodizglītības programmu apguvē.
</t>
  </si>
  <si>
    <t>Darba vidē balstītās mācības un mācību prakses</t>
  </si>
  <si>
    <t>To increase number of qualified VET students through participation in
work-based learning and practice in enterprise</t>
  </si>
  <si>
    <t>Work-based learning and practices</t>
  </si>
  <si>
    <t>Nozaru kvalifikāciju sistēmas pilnveide, lai nodrošinātu vienoto Eiropas profesionālās izglītības kvalitātes rādītāju ieviešanu un atzīšanu, profesionālās kvalifikācijas eksāmenu satura un sasniedzamo rezultātu novērtēšanas metodikas izstrāde atbilstoši Latvijas kvalifikācijas ietvarstruktūrai,  Eiropas kredītpunktu sistēmai profesionālās izglītības jomā (ECVET) un Eiropas kvalitātes nodrošināšanas pamatprincipu ietvarstruktūrai profesionālajā izglītībā (EQAVET), modulāro profesionālās izglītības programmu izstrāde un ieviešana, tai skaitā to atbilstības Latvijas kvalifikācijas ietvarstruktūrai un Eiropas kvalitātes nodrošināšanas pamatprincipu ietvarstruktūrai izvērtēšana, mācību līdzekļu, tai skaitā digitālo mācību līdzekļu un metodisko materiālu, kā arī novērtēšanas materiālu un darba vidē balstītas profesionālās izglītības ieviešanai nepieciešamo mācību līdzekļu, izstrāde un  publiskošana, un atbilstības Latvijas kvalifikācijas ietvarstruktūrai izvērtēšana, kā arī simulācijas  iekārtu iegāde.</t>
  </si>
  <si>
    <t>Profesionālās izglītības kvalifikācijas atbilstība Eiropas prasībām</t>
  </si>
  <si>
    <t>To ensure conformity of vocational education to European qualifications
framework</t>
  </si>
  <si>
    <t>Conformity of VET to European qualifications</t>
  </si>
  <si>
    <t>Atbalsts izglītības iestāžu, kas īsteno sākotnējās profesionālās izglītības programmas, attīstības stratēģiju aktualizācijā un ar to saistīto cilvēkresursu attīstības plāna izstrādē, izglītības iestāžu, kas īsteno sākotnējās profesionālās izglītības programmas, direktoru, to vietnieku u.c. administrācijas pārstāvju, un Konventa pārstāvju profesionālās pilnveides pasākumi, profesionālajā izglītībā iesaistīto pedagogu, prakses vadītāju un amata meistaru, darba vidē balstīto mācību vadītāju un administrācijas pārstāvju vispārējo pamatprasmju un profesionālo prasmju pilnveide, tajā skaitā pedagoģiskās kompetences attīstīšana, atbalsta pasākumi mentoringa procesam, atbalsta pasākumi nozaru pārstāvjiem kapacitātes celšanai profesionālās izglītības kvalitātes novērtēšanā un eksaminācijā.</t>
  </si>
  <si>
    <t xml:space="preserve">Profesionālās izglītības pārvaldība </t>
  </si>
  <si>
    <t>To ensure efficient management of VET institutions and improve professional
competencies of the involved personnel</t>
  </si>
  <si>
    <t>Efficiency of VET education</t>
  </si>
  <si>
    <t>Sociālā iekļaušana</t>
  </si>
  <si>
    <t>Social inclusion and combating poverty  </t>
  </si>
  <si>
    <t>Social Inclusion</t>
  </si>
  <si>
    <t>Sociālā iekļaušana nodarbinātības veicināšanai</t>
  </si>
  <si>
    <t>Active inclusion, including with a view to promoting equal opportunities and active participation, and improving employability</t>
  </si>
  <si>
    <t>Active inclusion for employment</t>
  </si>
  <si>
    <t>Nelabvēlīgākā situācijā esošo bezdarbnieku iekļaušana</t>
  </si>
  <si>
    <t>To facilitate inclusion of disadvantaged unemployed people in the labour market</t>
  </si>
  <si>
    <t xml:space="preserve"> Inclusion of disadvantaged unemployed</t>
  </si>
  <si>
    <t>Subsidēto darbavietu nodrošināšana bezdarbniekiem ar invaliditāti, atbalsts reģionālajai mobilitātei u.c.</t>
  </si>
  <si>
    <t>Subsidētās darbavietas bezdarbniekiem</t>
  </si>
  <si>
    <t>Atbalsts bezdarbniekiem, kas bez darba bijuši vismaz 12 mēnešus (t.sk. personām ar invaliditāti un prognozējamu invaliditāti) un bezdarbniekiem ar esošu vai iespējamu alkohola, narkotisko vai psihotropo vielu atkarību. Profesionālās piemērotības noteikšanas, veselības pārbaudes, motivācijas programma darba meklēšanai, speciālistu (karjeras konsultantu, psihologu, psihoterapeitu u.c.) konsultācijas, u.c. atbalsta pasākumi.</t>
  </si>
  <si>
    <t>Atbalsts ilgstošajiem bezdarbniekiem</t>
  </si>
  <si>
    <t>Activation measures for long-term unemployed</t>
  </si>
  <si>
    <t>Support for long-term unemployed</t>
  </si>
  <si>
    <t xml:space="preserve">Specifiskā atbalsta mērķa ietvaros paredzēts atbalsts:
-  sabiedrības izpratnes veidošanas pasākumiem par sociāliem uzņēmumiem, to nozīmi un iespējamo ieguldījumu tautsaimniecības izaugsmes un sabiedrības attīstības veicināšanā, un to atbalsta sistēmas veidošanas pasākumiem (piemēram, informēšanas un izglītošanas pasākumi, diskusijas, konsultācijas);
-  sociālo uzņēmumu atbalsta sistēmas izstrādei (sociālo uzņēmumu pazīmju, atlases kritēriju, to piemērošanas metodikas izstrāde un finansējuma saņēmēja un sadarbības partnera apmācība, pasākuma dalībnieku reģistra prototipa izstrāde un darbības nodrošināšana un sociālo uzņēmumu atbalsta instrumentu, atbalsta sniegšanas metodikas izstrāde un finansējuma saņēmēja un sadarbības partnera apmācība);
-  sociālās uzņēmējdarbības uzsākšanas veicināšanai (sociālās uzņēmējdarbības ideju konkursa organizēšana, konsultāciju nodrošināšana sociālās uzņēmējdarbības uzsācēju biznesa plānu izstrādei);
-  sociālo uzņēmumu atbalsta instrumentu piemērošana un sociālās uzņēmējdarbības uzsācēju biznesa plānu īstenošanai;
-  pasākuma starprezultātu novērtēšanai un priekšlikumu izstrādei tiesiskā ietvara un atbalsta pilnveidošanai;
</t>
  </si>
  <si>
    <t xml:space="preserve">Sociālā uzņēmējdarbība </t>
  </si>
  <si>
    <t>Support for social entrepreneurship</t>
  </si>
  <si>
    <t>Social entrepreneurship</t>
  </si>
  <si>
    <t>Specifiskā atbalsta mērķa ietvaros paredzēts atbalsts:
-  Integrētiem profesionālās piemērotības noteikšanas un prasmju pilnveidošanas pasākumiem ieslodzītajiem, pasākumiem ieslodzīto un bijušo ieslodzīto karjeras plānošanai karjeras konsultācijām ieslodzītajiem, profesionālās izglītības programmu prakses vietu nodrošināšanai ieslodzījuma vietā (tai skaitā sadarbība ar NVA), profesionālās tālākizglītības un neformālās izglītības programmu īstenošanas nodrošināšanai pēc ieslodzījuma, valsts valodas apguves pasākumiem ieslodzītajiem un bijušajiem ieslodzītajiem (VPD klientiem), kas nav NVA klienti, profesionālās izglītības sasaistē ar darba piedāvājumu ieslodzījuma vietā un pēc ieslodzījuma;
-  Specifiskiem atbalsta pasākumiem bijušo ieslodzīto nodarbināšanai atbalsta programmu īstenošanai bijušajiem ieslodzītajiem, darbs ar noziedzīgās uzvedības riskiem, kas saglabājušies pēc atbrīvošanas, atkarību novēršanas pasākumi, atbalsta pasākumi, ja bijušais ieslodzītais cietis no vardarbības;
-  Jaunu atbalsta metožu īstenošanai bijušajiem ieslodzītajiem  (priekšlikumu izstrāde jauno atbalsta metožu ieviešanai, jauno atbalsta metožu sabiedrībā bijušajiem ieslodzītajiem īstenošana, atbalsta metožu koordinēšana);
-  Brīvprātīgo darbam ar ieslodzītajiem ieslodzījuma vietās un bijušajiem ieslodzītajiem sabiedrībā (nepieciešamās izpētes veikšana un modeļa ieviešana, brīvprātīgo apmācības un darba ar ieslodzītajiem un bijušajiem ieslodzītajiem koordinēšana); 
-  Atbalsta pasākumiem bijušo ieslodzīto ģimenēm un pasākumiem bijušo ieslodzīto pozitīvo sociālo saišu uzturēšanai (programmu izstrāde, adaptēšana un īstenošana);</t>
  </si>
  <si>
    <t>Bijušo ieslodzīto integrācija sabiedrībā</t>
  </si>
  <si>
    <t>Integration of former prisoners into society and labour market</t>
  </si>
  <si>
    <t>Integration of former prisoners into society</t>
  </si>
  <si>
    <t>Specifiskā atbalsta mērķa ietvaros paredzēts atbalsts:
-  pētījumiem par IeVP un VPD esošo riska un vajadzību novērtēšanas (RVN) instrumentu darbības efektivitāti (validitāti) un RVN instrumentu attiecīgai pilnveidošanai;
-  trūkstošo RVN instrumentu adaptācijai un ieviešanai IeVP un VPD;
-  resocializācijas programmu standarta un akreditācijas sistēmas, tai skaitā rokasgrāmatas, izstrādei un ieviešanai, programmu akreditācijas kritēriju un metodikas izstrādei un resocializācijas programmu akreditācijas sistēmas efektivitātes izvērtēšanai un priekšlikumu izstrādei pilnveidošanai;
-  esošo resocializācijas programmu darbības efektivitātes (validitātes) izpētei un pilnveidošanai;
-  trūkstošo resocializācijas programmu iegūšanai vai izstrādei;
-  IeVP un VPD darbinieku mācību sistēmas pilnveidošanai;
-  darbā ar ieslodzītajiem un bijušajiem ieslodzītajiem iesaistītā personāla apmācībām;
-  kopīgu apmācību organizēšanai IeVP un VPD darbiniekiem, tai skaitā kopīgu apmācību sistēmas modeļu izstrādei, mācību vizītes, e-mācību sistēmas izveidei un ieviešanai IeVP un VPD un rokasgrāmatas izstrādei;
-  IeVP Mācību centra kapacitātes stiprināšanai;
-   IeVP un VPD personāla atlases sistēmas pilnveidei, tai skaitā IeVP un VPD darbinieku jaunu testēšanas metožu (psihometrijas testu) ieviešanai;
-  IeVP un VPD darbinieku profesionālās noturības stiprināšanai ;
-  atbalsta programmu bijušajiem ieslodzītajiem sertificēšanas sistēmas izveidei;
-  integrētu profesionālās piemērotības noteikšanas un prasmju pilnveidošanas pasākumu ieslodzītajiem, pasākumu ieslodzīto un bijušo ieslodzīto karjeras attīstīšanai izstrādei;
-  ikgadēji informatīvie pasākumiem, tai skaitā labas prakses popularizēšana sabiedrības stereotipu maiņai ;
-  konferenču un semināru organizēšanai;</t>
  </si>
  <si>
    <t>Resocializācijas sistēmas efektivitātes paaugstināšana</t>
  </si>
  <si>
    <t xml:space="preserve"> Strengthening of the efficiency of the Resocialization system</t>
  </si>
  <si>
    <t xml:space="preserve">Strengthening of the Resocialization system </t>
  </si>
  <si>
    <t>Diskriminācijas riskiem pakļauto iedzīvotāju integrācija</t>
  </si>
  <si>
    <t xml:space="preserve"> To facilitate integration of people at risk of discrimination into society and labour market</t>
  </si>
  <si>
    <t>Integration of population at risk of discrimination</t>
  </si>
  <si>
    <t>- profesionālās rehabilitācijas programmu izstrāde un ieviešana (personām ar smagu invaliditāti);
- prasmju sertificēšanas sistēmas izstrāde un apmācību programmu ieviešana (personām ar garīga rakstura traucējumiem).</t>
  </si>
  <si>
    <t>Funkcionēšanas novērtēšanas sistēmas izveide (pieaugušajiem un bērniem) un asistīvo tehnoloģiju (tehnisko palīglīdzekļu) apmaiņas sistēmas izveide un ieviešana izglītības iestādēs bērniem un jauniešiem ar funkcionēšanas traucējumiem no 7 – 25 gadiem, kuri iegūst izglītību vispārējās un profesionālās izglītības iestādēs.</t>
  </si>
  <si>
    <t>Invaliditātes noteikšanas sistēmas nepilngadīgām personām izvērtējums un pilnveide.</t>
  </si>
  <si>
    <t>Bērnu invaliditātes noteikšanas sistēmas pilnveide</t>
  </si>
  <si>
    <t>Increasing the quality of disability expertise system</t>
  </si>
  <si>
    <t>Improvement of disability expertise system for children</t>
  </si>
  <si>
    <t>Diskriminācijas novēršanas un sociālās iekļaušanas pakalpojumi personām, kuras pakļautas diskriminācijas riskam dzimuma, vecuma, invaliditātes, etniskās piederības dēļ, kā arī patvēruma meklētājiem un personām ar bēgļa vai alternatīvo statusu. Darba devēju un sabiedrības izpratnes un informētības paaugstināšanas pasākumi, t.sk. atbalstoši pasākumi iekļaujošas darba vides veicināšanai.</t>
  </si>
  <si>
    <t>Diskriminācijas novēršana</t>
  </si>
  <si>
    <t>Promoting diversity (prevention of discrimination)</t>
  </si>
  <si>
    <t>Prevention of discrimination</t>
  </si>
  <si>
    <t>Piekļuves uzlabošana kvalitatīviem veselības aprūpes un sociālajiem pakalpojumiem</t>
  </si>
  <si>
    <t>Enhancing access to affordable, sustainable and high-quality services, including health care and social services of general interest</t>
  </si>
  <si>
    <t>Access to affordable, sustainable and high-quality social and health care services</t>
  </si>
  <si>
    <t>Sociālo dienestu darba efektivitātes paaugstināšana</t>
  </si>
  <si>
    <t>To increase the efficiency of social services, and the professional skills of employees and inter-institutional cooperation for work with persons in risk situation</t>
  </si>
  <si>
    <t>Increasing the efficiency of social services</t>
  </si>
  <si>
    <t>Pašvaldību sociālo dienestu un to sociālā darba speciālistu kompetences pilnveide un  supervīzijas nodrošināšana, t.sk. pilotprojektu īstenošana sociālā darba kopienā attīstībai u.c.</t>
  </si>
  <si>
    <t>Profesionāla sociālā darba attīstība</t>
  </si>
  <si>
    <t>Development of professional social work in municipalities</t>
  </si>
  <si>
    <t>Development of professional social work</t>
  </si>
  <si>
    <t>Pasākuma ietvaros plānoti 10 pētījumi, t.sk. jauna iztikas minimuma groza metodoloģijas izstrāde un  ieviešana; ikgadēji nabadzības un sociālās atstumtības mazināšanas rīcībpolitikas novērtējumi; pētījums par starptautisko praksi personu ar invaliditāti atbalsta sistēmu jomā; pētījums par sociālās atstumtības riskam pakļauto bezdarbnieku iespējām iekļauties darba tirgū.</t>
  </si>
  <si>
    <t>Atbalsts bērniem ar saskarsmes grūtībām un uzvedības traucējumiem, t.sk. atbalsts speciālistiem, kas ar tiem strādā, un bērnu ģimenēm un likumiskajiem pārstāvjiem. Pasākuma ietvaros plānota arī konsultatīvā kabineta izveide Valsts bērnu tiesību aizsardzības inspekcijā un pētījuma veikšana par sabiedrības attieksmi attiecībā uz vardarbību ģimenē.</t>
  </si>
  <si>
    <t>Support for specialists working with children with behavioural problems</t>
  </si>
  <si>
    <t xml:space="preserve">Sabiedrībā balstīti sociālie pakalpojumi personām ar invaliditāti un ģimeniskai videi pietuvināti pakalpojumi bērniem </t>
  </si>
  <si>
    <t>Atbalsts: 
- pilngadīgām personām ar garīga rakstura traucējumiem, kuras saņem valsts finansētus ilgstošas sociālās aprūpes un sociālās rehabilitācijas institūciju pakalpojumus, kā arī personām, kuras potenciāli var nonākt ilgstošas aprūpes institūcijā; 
- ārpusģimenes aprūpē esošiem bērniem un jauniešiem līdz 17 gadu vecumam, kuri saņem valsts vai pašvaldības finansētus ilgstošas sociālās aprūpes un sociālās rehabilitācijas institūciju pakalpojumus; 
- bērniem ar funkcionāliem traucējumiem, kuri dzīvo ģimenēs, un viņu vecākiem vai likumiskajiem pārstāvjiem.
Pasākuma ietvaros tiks izvērtētas personu individuālās vajadzības un sagatavots atbalsta plāns, uz kuru pamata katrs plānošanas reģions izstrādās reģiona deinstitucionalizācijas plānu (t.sk. ilgstošas aprūpes institūciju un bērnu centru reorganizācijas plānus). Pilngadīgās personas ar garīga rakstura traucējumiem tiks sagatavotas pārejai uz dzīvi sabiedrībā un tiks attīstīti dažādi sabiedrībā balstīti pakalpojumi personām ar garīga rakstura traucējumiem, kā arī paralēli tiks attīstīti sociālās aprūpes un rehabilitācijas pakalpojumi bērniem ar invaliditāti un viņu ģimenes locekļiem. Plānoti arī informatīvi un izglītojoši pasākumi sabiedrības attieksmes maiņai, kā arī audžuģimeņu un aizbildņu skaita palielināšanai.</t>
  </si>
  <si>
    <t>Deinstitutionalization </t>
  </si>
  <si>
    <t>Tiks izstrādāts jauns sociālo pakalpojumu finansēšanas veids, kas nodrošinās individuālu pieeju aprūpes un atbalsta sniegšanā personām ar funkcionāliem traucējumiem, kā arī tiks izstrādāts atbalsta personas pakalpojums pilngadīgām personām ar garīga rakstura traucējumiem.</t>
  </si>
  <si>
    <t>Sociālo pakalpojumu sistēmas pilnveide</t>
  </si>
  <si>
    <t>Improvement of  social services support system</t>
  </si>
  <si>
    <t>Improvement of social services system</t>
  </si>
  <si>
    <t xml:space="preserve"> Atbalstīt prioritāro (sirds un asinsvadu, onkoloģijas, bērnu (sākot no perinatālā un neonatālā perioda) aprūpes un garīgās veselības) veselības jomu veselības tīklu attīstības vadlīniju un kvalitātes nodrošināšanas sistēmas izstrādi un ieviešanu, jo īpaši sociālās atstumtības un nabadzības riskam pakļauto iedzīvotāju veselības uzlabošanai.</t>
  </si>
  <si>
    <t>Specifiskā atbalsta mērķa ietvaros paredzēts atbalsts:
-  prioritāro veselības jomu veselības tīklu attīstības vadlīniju izstrādei;
-  vienotas nacionālās veselības aprūpes kvalitātes nodrošināšanas sistēmas izveidei un ieviešanai;</t>
  </si>
  <si>
    <t>Tīklu attīstības vadlīnijas un kvalitātes  sistēma</t>
  </si>
  <si>
    <t>To support the development and implementation of prior (cardiovascular,
oncology, children (from the perinatal and neonatal period) care and mental health care) health network development guidelines and quality assurance system, especially for improvement of health of people at risk of social exclusion and poverty</t>
  </si>
  <si>
    <t>Network development guidelines and quality assurance system</t>
  </si>
  <si>
    <t>Veselības veicināšanas un slimību profilakse</t>
  </si>
  <si>
    <t>To improve accessibility to health promotion and disease prevention services, especially to persons who are subject to the poverty and social exclusion risk</t>
  </si>
  <si>
    <t>Health promotion and disease prevention</t>
  </si>
  <si>
    <t>Specifiskā atbalsta mērķa ietvaros paredzēts atbalsts:
-  vispārējie sabiedrības veselības veicināšanas pasākumiem (drukātie materiāli, reklāmas mēdijos, vides reklāmas u.c.);
-   sabiedrības veselības pētījumiem un uzraudzības sistēmas izveidei un attīstībai;
-  veselības veicināšanas pasākumiem mērķa grupām (semināri un kursi speciālistiem);
-  slimību profilakses pasākumi (īsās motivējošās intervences, profilaktiskās apskates, speciālistu konsultācijas u.c.);</t>
  </si>
  <si>
    <t>Kompleksā veselības veicināšana un slimību profilakse</t>
  </si>
  <si>
    <t>A complex measures for health promotion and disease prevention measures</t>
  </si>
  <si>
    <t>Integrated health promotion and disease prevention</t>
  </si>
  <si>
    <t>Specifiskā atbalsta mērķa ietvaros paredzēts atbalsts:
-   veselības veicināšanas pasākumiem vietējai sabiedrībai (nometnes bērniem un jauniešiem, interešu grupas u.c.);
-  veselības veicināšanas pasākumiem mērķa grupām (specializēti pasākumi darbavietās soc. aprūpes iestādēs un izglītības iestādēs);</t>
  </si>
  <si>
    <t>Veselības veicināšana un slimību profilakse pašvaldībās</t>
  </si>
  <si>
    <t>Local measures to promote public health</t>
  </si>
  <si>
    <t>Health promotion and disease prevention in municipalities</t>
  </si>
  <si>
    <t>Specifiskā atbalsta mērķa ietvaros paredzēts atbalsts:
-  reģionālajiem komandējumiem personām, kas sniedz veselības aprūpes pakalpojumus teritoriālās vienībās ārpus Rīgas, kur šis pakalpojums atbilstoši veselības tīklu attīstības vadlīnijām ir nepieciešams, savukārt attiecīgs speciālists pakalpojumu sniegšanai nav pieejams un patstāvīgam darbam speciālistu piesaistīt nav efektīvi;
-  pārcelšanās pabalstam mājokļa nodrošināšanai personām, kuras noslēdz līgumu par veselības aprūpes vai farmaceita pakalpojumu sniegšanu uz noteiktu termiņu teritorijā, kurā pakalpojums atbilstoši veselības tīklu attīstības vadlīnijām ir nepieciešamas, savukārt attiecīgs speciālists pakalpojumu sniegšanai nav pieejams;
-  apmācībām personām, kuras noslēdz līgumu par veselības aprūpes vai farmaceita pakalpojumu sniegšanu uz noteiktu termiņu teritorijā, kurā pakalpojums atbilstoši veselības tīklu attīstības vadlīnijām ir nepieciešamas, savukārt attiecīgs speciālists pakalpojumu sniegšanai nav pieejams;
-  pasākumiem ārstniecības personu pakalpojumu pieejamības uzlabošanai reģionos ārpus Rīgas atbilstoši SAM 9.2.3.ietvaros izstrādātajām veselības tīklu attīstības vadlīnijām</t>
  </si>
  <si>
    <t>Ārstu un māsu piesaiste darbam reģionos</t>
  </si>
  <si>
    <t>To improve accessibility to health care and health care support persons who provide services in priority health sectors to inhabitants outside of Riga</t>
  </si>
  <si>
    <t>Attraction of medical staff to work in regions</t>
  </si>
  <si>
    <t>Specifiskā atbalsta mērķa ietvaros paredzēts atbalsts:
-  Apmācībām ārstniecības un ārstniecības atbalsta personām, kā arī farmācijas speciālistiem;
-  Apmācībām sociālā darba speciālistiem (prasmēm sociālā pakalpojuma sniegšanas ietvaros identificēt nepieciešamību piesaistīt ārstniecības personālu); 
-  Apmācību programmu un materiālu izstrādei.</t>
  </si>
  <si>
    <t>Ārstniecības personu tālākizglītība</t>
  </si>
  <si>
    <t>To improve  qualification of health care and health care support personnel</t>
  </si>
  <si>
    <t>Life- long learning for medical staff</t>
  </si>
  <si>
    <t>Veselības aprūpes un sociālā infrastruktūra</t>
  </si>
  <si>
    <t>Investing in health and social infrastructure which contributes to national, regional and local development, reducing inequalities in terms of health status, and promoting social inclusion through improved access to social, cultural and recreational services and the transition from institutional to community-based services</t>
  </si>
  <si>
    <t>Health care and social infrastructure</t>
  </si>
  <si>
    <t>Infrastruktūra bērnu aprūpei ģimeniskā vidē un personu ar invaliditāti integrācijai sabiedrībā</t>
  </si>
  <si>
    <t>Developing the infrastructure of services for family like care of children and persons with disability for independent life and integration into the community</t>
  </si>
  <si>
    <t>Infrastructure for services for family like care of children and for integration of persons with disabilities into the community</t>
  </si>
  <si>
    <t>Ieguldījumi sociālajā infrastruktūrā sabiedrībā balstītu pakalpojumu sniegšanai personām ar garīga rakstura traucējumiem – dienas centru, dienas aprūpes centru, grupu dzīvokļu, mājokļu, specializēto darbnīcu izveide, labiekārtošana; sabiedrībā balstītu sociālās rehabilitācijas pakalpojumu infrastruktūras izveide bērniem ar funkcionāliem traucējumiem; “jauniešu māju” un ģimeniskai videi pietuvinātu pakalpojuma sniedzēju izveide ārpusģimenes aprūpē esošiem bērniem.</t>
  </si>
  <si>
    <t>Infrastruktūra deinstitucionalizācijai</t>
  </si>
  <si>
    <t>Development of the infrastructure of services for the implementation of deinstitutionalisation plans</t>
  </si>
  <si>
    <t>Infrastructure for deinstitutionalisation</t>
  </si>
  <si>
    <t>Ieguldījumi infrastruktūrā 9.1.4.2.pasākuma ietvaros paredzētajai funkcionēšanas novērtēšanas laboratorijas izveidei un tehnisko palīglīdzekļu apmaiņas fonda izveidē, t.sk. telpu pārbūve un atjaunošana laboratorijas un tehnisko palīglīdzekļu apmaiņas fonda bērniem un jauniešiem ar funkcionēšanas traucējumiem no 7 – 25 gadiem izveidei; laboratorijas aprīkojuma un tehnisko palīglīdzekļu iegāde; datu bāzes izveide informācijas apkopošanai.</t>
  </si>
  <si>
    <t>Specifiskā atbalsta mērķa ietvaros paredzēts atbalsts:
-  Būvniecības darbiem;
-   Iekārtu un aprīkojuma iegādei un montāžai;
-  Informācijas tehnoloģiju risinājumu kvalitātes nodrošināšanas sistēmas ieviešanai;</t>
  </si>
  <si>
    <t>Veselības aprūpes infrastruktūra</t>
  </si>
  <si>
    <t>Improving access to quality health care, especially to population subject to the social and territorial exclusion and poverty risk by developing the health care infrastructure</t>
  </si>
  <si>
    <t>Health care infrastructure</t>
  </si>
  <si>
    <t>ESF tehniskā palīdzība</t>
  </si>
  <si>
    <t>Technical assistance “ESF support for implementation and management of CP Funds” </t>
  </si>
  <si>
    <t>ESF Technical Assistance</t>
  </si>
  <si>
    <t>TP KP fondu izvērtēšanas kapacitātei</t>
  </si>
  <si>
    <t>To increase CP funds evaluation capacity</t>
  </si>
  <si>
    <t>TA for CP funds evaluation</t>
  </si>
  <si>
    <t>TP informācijai un komunikācijai</t>
  </si>
  <si>
    <t>To raise awareness of the cohesion funds, providing support for information and communication activities</t>
  </si>
  <si>
    <t>TA for information and communication</t>
  </si>
  <si>
    <t>ERAF tehniskā palīdzība</t>
  </si>
  <si>
    <t>Technical assistance “ERDF support for implementation and management of CP Funds” </t>
  </si>
  <si>
    <t>ERDF Technical Assistance</t>
  </si>
  <si>
    <t>TP KP fondu plānošanai, ieviešanai, uzraudzībai un kontrolei</t>
  </si>
  <si>
    <t>To support and improve CP fund planning, implementation, monitoring and control</t>
  </si>
  <si>
    <t>TA for CP fund planning, implementation, monitoring and control</t>
  </si>
  <si>
    <t>KF tehniskā palīdzība</t>
  </si>
  <si>
    <t>Technical assistance “CF support for implementation and management of CP Funds” </t>
  </si>
  <si>
    <t>CF Technical Assistance</t>
  </si>
  <si>
    <t>TP KP fondu plānošanai, ieviešanai, uzraudzībai, kontrolei, revīzijai un e-kohēzijai</t>
  </si>
  <si>
    <t>Improve CP fund planning, implementation, monitoring, control, audit and support e-cohesion</t>
  </si>
  <si>
    <t>TA for CP fund planning, implementation, monitoring, control, audit and e-cohesion</t>
  </si>
  <si>
    <t>1.1.1.</t>
  </si>
  <si>
    <t>IKT</t>
  </si>
  <si>
    <t>Garie SAM nosaukumi</t>
  </si>
  <si>
    <t>Publisko pakalpojumu pārveides metodoloģijas izstrāde un aprobācija</t>
  </si>
  <si>
    <t>3.4.2.3</t>
  </si>
  <si>
    <t>Izaugsme un nodarbinātība</t>
  </si>
  <si>
    <t>5.4.3</t>
  </si>
  <si>
    <t>Pasākumi biotopu un sugu aizsardzības labvēlīga statusa atjaunošanai</t>
  </si>
  <si>
    <t>Pieejamais ES fondu finansējums</t>
  </si>
  <si>
    <t>9.2.2.3</t>
  </si>
  <si>
    <t>Sabiedrībā balstītu sociālo pakalpojumu sniegšana</t>
  </si>
  <si>
    <t>Finanšu instrumenti mazo un vidējo uzņēmumu (MVU) konkurētspējas uzlabošanai</t>
  </si>
  <si>
    <t>10.1.3</t>
  </si>
  <si>
    <t xml:space="preserve">TP KP fondu ieviešanai, uzraudzībai, kontrolei, revīzijai, horizontālās politikas principu koordinēšanai un e-kohēzijai </t>
  </si>
  <si>
    <t>Valsts pārvaldes profesionālā pilnveide, publisko pakalpojumu un sociālā dialoga attīstība mazo un vidējo komersantu atbalsta, korupcijas novēršanas un ēnu ekonomikas mazināšanas sekmēšanai</t>
  </si>
  <si>
    <t>Atbalstīt un uzlabot Kohēzijas politikas fondu ieviešanu, uzraudzību, kontroli, revīziju, horizontālās politikas principu koordinēšanu un pilnveidot e-kohēziju</t>
  </si>
  <si>
    <t>Progresa dinamika, % pret piešķīrumu</t>
  </si>
  <si>
    <r>
      <t>Progress*, procentpunkti salīdzinot ar iepriekšējo periodu</t>
    </r>
    <r>
      <rPr>
        <b/>
        <vertAlign val="superscript"/>
        <sz val="13"/>
        <rFont val="Times New Roman"/>
        <family val="1"/>
        <charset val="186"/>
      </rPr>
      <t>3</t>
    </r>
  </si>
  <si>
    <r>
      <t xml:space="preserve">* Progress, procentpunkti (3.2., 4.2., 5.2. un 6.2. kolonas) tiek aprēķināts kā starpība starp iepriekšējā perioda procentu no piešķīruma un kārtējā perioda procentu no piešķīruma (3.1.,4.1.,5.1. un 6.1. kolonu vērtības). Piemēram, līdz janvāra beigām tika noslēgti līgumi par 20% no piešķirtā finansējuma, bet februārī noslēgto līgumu apjoms sasniedza 25% no piešķirtā finansējuma. </t>
    </r>
    <r>
      <rPr>
        <b/>
        <sz val="14"/>
        <color theme="1"/>
        <rFont val="Times New Roman"/>
        <family val="1"/>
        <charset val="186"/>
      </rPr>
      <t>Progress procentpunktos ir 25%-20%=5%.</t>
    </r>
    <r>
      <rPr>
        <sz val="14"/>
        <color theme="1"/>
        <rFont val="Times New Roman"/>
        <family val="1"/>
        <charset val="186"/>
      </rPr>
      <t xml:space="preserve">
** Progresa dinamika (3.3., 4.3., 5.3. un 6.3. kolonas) tiek aprēķināta kā starpība starp kārtējā un iepriekšējā perioda vērtībām dalīta uz iepriekšējā perioda vērtību, pēc būtības tas ir pieaugums, salīdzinot ar iepriekšējo periodu. Piemēram, līdz janvāra beigām tika noslēgti līgumi par 100 milj.  euro, bet februārī noslēgto līgumu apjoms sasniedza 150 milj. euro. </t>
    </r>
    <r>
      <rPr>
        <b/>
        <sz val="14"/>
        <color theme="1"/>
        <rFont val="Times New Roman"/>
        <family val="1"/>
        <charset val="186"/>
      </rPr>
      <t>Progresa dinamika ir (150-100)/100=0,5, jeb 50%</t>
    </r>
    <r>
      <rPr>
        <sz val="14"/>
        <color theme="1"/>
        <rFont val="Times New Roman"/>
        <family val="1"/>
        <charset val="186"/>
      </rPr>
      <t xml:space="preserve">. Pieaugums salīdzinot ar iepriekšējo periodu, jeb progresa dinamika, ir 50%. 
*** Ja Specifiskajam atbalsta mērķim vai pasākumam samazinājies gan iesniegto, gan apstiprināto projektu finansējums, gan arī noslēgto līgumu summa, ir veikti līgumu grozījumi (t.sk. pabeigtiem projektiem atbilstoši faktiskajām izmaksām), kā rezultātā samazinājušās attiecināmās izmaksas, vai arī ir pārtraukts kāds no projektiem. </t>
    </r>
  </si>
  <si>
    <t>12 - Nepiemēro (tikai tehniska palīdzība)</t>
  </si>
  <si>
    <t>09 - Veicināt sociālo iekļautību, apkarot nabadzību un jebkādu diskrimināciju</t>
  </si>
  <si>
    <t>08 - Veicināt stabilas un kvalitatīvas darba vietas un atbalstīt darbaspēka mobilitāti</t>
  </si>
  <si>
    <t>10 - Veikt investīcijas izglītībā, apmācībā un profesionālajā apmācībā prasmju ieguvei, kā arī mūžizglītībā</t>
  </si>
  <si>
    <t>07 - Veicināt ilgtspējīgu transportu un novērst trūkumus galvenajās tīkla infrastruktūrās</t>
  </si>
  <si>
    <t>06 - Saglabāt un aizsargāt vidi un uzlabot resursu izmantošanas efektivitāti</t>
  </si>
  <si>
    <t>05 - Veicināt pielāgošanos klimata pārmaiņām, risku novēršanu un vadību</t>
  </si>
  <si>
    <t>04 - Atbalstīt pāreju uz zemu oglekļa emisiju ekonomiku visās nozarēs</t>
  </si>
  <si>
    <t>11 - Publisko iestāžu un ieinteresēto personu institucionālo spēju uzlabošana un efektīva valsts pārvalde</t>
  </si>
  <si>
    <t>03 - Uzlabot mazo un vidējo uzņēmumu (MVU) konkurētspēju</t>
  </si>
  <si>
    <t>02 - Uzlabot piekļuvi informācijai un komunikācijas tehnoloģijām, to izmantošanu un kvalitāti</t>
  </si>
  <si>
    <t>01 - Nostiprināt pētniecību, tehnoloģiju attīstību un inovāciju</t>
  </si>
  <si>
    <t>Summa, EUR</t>
  </si>
  <si>
    <t>Kods</t>
  </si>
  <si>
    <t>Pasākums</t>
  </si>
  <si>
    <t>Specifiskie atbalsta mērķi</t>
  </si>
  <si>
    <t>Sagatavots: 29.11.2019</t>
  </si>
  <si>
    <t>Kategorija: Tematiskie mērķi</t>
  </si>
  <si>
    <t>Līmenis: Pasākums</t>
  </si>
  <si>
    <t>Page by:</t>
  </si>
  <si>
    <t>Līmenis = Pasākums</t>
  </si>
  <si>
    <t>Report Filter:</t>
  </si>
  <si>
    <t>2. Intervences kategorijas - Pasākuma līmenis</t>
  </si>
  <si>
    <t>Tematiskais mērķis</t>
  </si>
  <si>
    <t>Finansējums par kuru tiks virzīti MKN grozījumi</t>
  </si>
  <si>
    <t>-</t>
  </si>
  <si>
    <t>ESF
ERAF
KF</t>
  </si>
  <si>
    <t>Atbalsts mazo, vidējo komersantu finansējuma piesaistei kapitāla tirgos</t>
  </si>
  <si>
    <t>Funkcionēšanas novērtēšanas sistēmas izveide un ieviešana un asistīvo tehnoloģiju (tehnisko palīglīdzekļu) pieejamības un pielietojuma Latvijas izglītības iestādēs izpēte</t>
  </si>
  <si>
    <t>Infrastruktūras attīstība funkcionēšanas novērtēšanas sistēmas izveidei</t>
  </si>
  <si>
    <t>MKN grozījumi apstirpināti 25.02.</t>
  </si>
  <si>
    <t>MKN grozījumi apstirpināti 25.02.; daļa snieguma rezerves pārdlaīta uz 8311 pasākumu; pārējais k\ā 852SAM pieejamais finansējums</t>
  </si>
  <si>
    <t>1) 7.2.1.1. un 7.2.1.2. pasākumu ietvaros tiek īstenoti 2 projekti, kas tiek finansēti vienlaicīgi no diviem avotiem:  ESF un JNI</t>
  </si>
  <si>
    <t xml:space="preserve">2) Pasākumos 3.1.1.1., 3.1.1.2., 3.1.1.4., 3.1.2.1., 3.1.2.2. par finanšu vadības instrumentu īstenošanu ir saņemts viens projektu iesniegums par visiem norādītajiem pasākumiem un noslēgts nolīgums ar AS "Attīstības finanšu institūcija Altum". Tabulā finansējums ir izdalīts proporcionāli pasākumā pieejamajam, bet projektu un līgumu skaits norādīts tikai pasākumā 3.1.2.1. </t>
  </si>
  <si>
    <t xml:space="preserve">3) Ja Specifiskajam atbalsta mērķim vai pasākumam samazinājies gan iesniegto, gan apstiprināto projektu finansējums, gan arī noslēgto līgumu summa, ir veikti līgumu grozījumi (t.sk. pabeigtiem projektiem atbilstoši faktiskajām izmaksām), kā rezultātā samazinājušās attiecināmās izmaksas, vai arī ir pārtraukts kāds no projektiem. </t>
  </si>
  <si>
    <t>01.01.2014</t>
  </si>
  <si>
    <t>Snieguma rezerve atbilstoši MK noteikumiem,
ES fondu finansējums (pēdējo reizi aktualizēta 08.06.2020)</t>
  </si>
  <si>
    <t>9.2.7</t>
  </si>
  <si>
    <t>6.1.6</t>
  </si>
  <si>
    <t>Transporta nozares informācijas nacionālā piekļuves punkta izveide</t>
  </si>
  <si>
    <t>SAM piesaistīts finansējums</t>
  </si>
  <si>
    <t>Finansējums BEZ MK</t>
  </si>
  <si>
    <t>ES fondi infografikai</t>
  </si>
  <si>
    <t>ES fondi</t>
  </si>
  <si>
    <t>Virssaistības</t>
  </si>
  <si>
    <t>BEZ MK no statusa tabulas</t>
  </si>
  <si>
    <t>ERAF/JNI</t>
  </si>
  <si>
    <t>KF/JNI</t>
  </si>
  <si>
    <t>Starpība</t>
  </si>
  <si>
    <t>Piešķīrums bez MKN</t>
  </si>
  <si>
    <t>Virssaistības bez MKN</t>
  </si>
  <si>
    <t>Finansējums par kuru tiks virzīti MKN grozījumi sadalījumā pa SAMP</t>
  </si>
  <si>
    <t xml:space="preserve">2) Pasākumos 3.1.1.1., 3.1.1.2., 3.1.1.4., 3.1.2.1., 3.1.2.2. par finanšu instrumentu īstenošanu ir saņemts viens projektu iesniegums par visiem norādītajiem pasākumiem un noslēgts nolīgums ar AS "Attīstības finanšu institūcija Altum". Tabulā finansējums ir izdalīts proporcionāli pasākumā pieejamajam, bet projektu un līgumu skaits norādīts tikai pasākumā 3.1.2.1. </t>
  </si>
  <si>
    <t>7) 2,015 milj.EUR, kas izņemti no 4.3.1.SAM</t>
  </si>
  <si>
    <t>Atbalsts ārstniecības personām, kas nodrošina pacientu ārstēšanu sabiedrības veselības krīžu situāciju novēršanai</t>
  </si>
  <si>
    <t>AIGARS DAVIDOVIČS</t>
  </si>
  <si>
    <t>4) Virssaistības norādītas indikatīvi, jo statusa tabulātiek norādīta tikai fondu daļa, proti, par aptuveni 15% summa samazināsies pēc MK noteikumu vai to grozījumu apstiprināšanas.
Virssaistības 11 milj. EUR 1.1.1.1.pasākumam; 19,7 milj. 1.2.2.1. un 1.2.2.3.pasākumam; 25 milj. Altum Ieguldījumu fondam; 7,86 milj. EUR 8.2.3.SAM</t>
  </si>
  <si>
    <t/>
  </si>
  <si>
    <t>Starpība maksājumiem pret ES fondu piešķīrumu</t>
  </si>
  <si>
    <t>Noslēgtie līgumi uz valsts budžeta virssaistību rēķina</t>
  </si>
  <si>
    <t>PV</t>
  </si>
  <si>
    <t>Jomas - PV</t>
  </si>
  <si>
    <t>Piešķirtais ES fondu finansējums*</t>
  </si>
  <si>
    <t>Virssaistības par kurām tiks virzīti MK noteikumu grozījumi</t>
  </si>
  <si>
    <t>8=3-7</t>
  </si>
  <si>
    <t>Darbinieku kompetences paaugstināšana komersantu konkurētspējai</t>
  </si>
  <si>
    <t>Kompetences paaugstināšana komercdarbības vides uzlabošanai, sociālā iekļaušana</t>
  </si>
  <si>
    <t>Atbalsts fondu vadībai</t>
  </si>
  <si>
    <t xml:space="preserve"> </t>
  </si>
  <si>
    <t xml:space="preserve"> Kultūras un dabas mantojums, Rīgas teritorijas sociālekonomiska izmantošana</t>
  </si>
  <si>
    <t>veselība</t>
  </si>
  <si>
    <t>Nodarbinātība un sociālā iekļaušana</t>
  </si>
  <si>
    <t>IKT, vide un reģionālā attīstība, komersantu konkurētspēja</t>
  </si>
  <si>
    <t>Komersantu konkurētspēja, energoefektivitāte, inovācijas</t>
  </si>
  <si>
    <t>Izglītība, pētniecība, attīstība un inovācijas</t>
  </si>
  <si>
    <t>Transports, sakari</t>
  </si>
  <si>
    <t>KOPĀ:</t>
  </si>
  <si>
    <t xml:space="preserve">Kopējais piešķīrums </t>
  </si>
  <si>
    <t xml:space="preserve">Virssaistības  atbilstoši apst. MK
</t>
  </si>
  <si>
    <t xml:space="preserve">Maksājumi FS </t>
  </si>
  <si>
    <t xml:space="preserve">Projektu līgumi </t>
  </si>
  <si>
    <t>6.1.7.1</t>
  </si>
  <si>
    <t>6.1.7.2</t>
  </si>
  <si>
    <t>Nodrošināt inovatīvu tehnoloģisko risinājumu ieviešanu ārējās robežas kontrolē</t>
  </si>
  <si>
    <t>Ar Rail Baltica projekta saistītās atbalsta infrastruktūras pārbūve</t>
  </si>
  <si>
    <t>2.1.2</t>
  </si>
  <si>
    <t>6.1.7</t>
  </si>
  <si>
    <t>Multimodāla transporta sistēmas iespējošana</t>
  </si>
  <si>
    <t>React EU</t>
  </si>
  <si>
    <t>React EU (264 milj. €)</t>
  </si>
  <si>
    <t xml:space="preserve">5) Virssaistības ņemot vērā MK 08.06.2021.32.§ lemto par virssaistību pārcelšanu uz React-EU.
</t>
  </si>
  <si>
    <t>Kopā REACT EU ERAF</t>
  </si>
  <si>
    <t>Kopā REACT EU ESF</t>
  </si>
  <si>
    <t>REACT EU ERAF finansējums par kuru tiks virzīti MKN grozījumi</t>
  </si>
  <si>
    <t>REACT EU ESF finansējums par kuru tiks virzīti MKN grozījumi</t>
  </si>
  <si>
    <t>REACT EU finansējums par kuru tiks virzīti MKN grozījumi</t>
  </si>
  <si>
    <t>REACT EU ERAF</t>
  </si>
  <si>
    <t>REACT EU ESF</t>
  </si>
  <si>
    <t>MVU izveide un attīstība (finanšu instrumenti)</t>
  </si>
  <si>
    <t>Energoefektivitātes veicināšana dzīvojamās ēkās</t>
  </si>
  <si>
    <t>Pētniecība un inovācijas</t>
  </si>
  <si>
    <t>Teritoriju revitalizācija uzņēmējdarbības veicināšanai pašvaldībās</t>
  </si>
  <si>
    <t>REACT EU</t>
  </si>
  <si>
    <t>t.sk.ReactEU</t>
  </si>
  <si>
    <t>3.1.1.7</t>
  </si>
  <si>
    <t xml:space="preserve">MKN groz. apstiprināti 28.09. </t>
  </si>
  <si>
    <t>MKN groz.24.08.MK</t>
  </si>
  <si>
    <t>Energoefektivitātes paaugstināšana pašvaldību infrastruktūrā ekonomiskās situācijas uzlabošanai</t>
  </si>
  <si>
    <t>Aizdevumi MVK</t>
  </si>
  <si>
    <t>5.4.3.1</t>
  </si>
  <si>
    <t>Eiropas Savienības nozīmes dzīvotņu atjaunošana</t>
  </si>
  <si>
    <t>5.4.3.2</t>
  </si>
  <si>
    <t>Kompleksu apsaimniekošanas pasākumu īstenošana Natura 2000 teritorijās</t>
  </si>
  <si>
    <t>13</t>
  </si>
  <si>
    <t>13.1</t>
  </si>
  <si>
    <t>Palīdzēt veicināt ar Covid-19 pandēmiju un tās sociālajām sekām saistītās krīzes seku pārvarēšanu un sagatavoties zaļai, digitālai un noturīgai ekonomikas atveseļošanai</t>
  </si>
  <si>
    <t>13.1.4</t>
  </si>
  <si>
    <t>Atveseļošanas pasākumi kultūras jomā</t>
  </si>
  <si>
    <t>ReactEU ERAF</t>
  </si>
  <si>
    <t>13.</t>
  </si>
  <si>
    <t>13.1.3.1</t>
  </si>
  <si>
    <t>13.1.1.2</t>
  </si>
  <si>
    <t>Brīvais finansējums</t>
  </si>
  <si>
    <t>React EU ERAF</t>
  </si>
  <si>
    <t>React EU Nesadalītais finansējums</t>
  </si>
  <si>
    <t>Brīvais fiansējums (t.sk REACT EU)</t>
  </si>
  <si>
    <t>MK nesadalītais finansējums (ieskaitot React EU)</t>
  </si>
  <si>
    <r>
      <t xml:space="preserve">Kopā grafikā, </t>
    </r>
    <r>
      <rPr>
        <b/>
        <sz val="14"/>
        <color rgb="FFFF0000"/>
        <rFont val="Calibri"/>
        <family val="2"/>
        <charset val="186"/>
        <scheme val="minor"/>
      </rPr>
      <t>izmanto, lai pārbaudītu grafika labajā pusē kopējā piešķīruma ciparus (Fondu piešķīrums*)</t>
    </r>
  </si>
  <si>
    <t>13.1.1.1</t>
  </si>
  <si>
    <t>13.1.2.1</t>
  </si>
  <si>
    <t>13.1.2.2</t>
  </si>
  <si>
    <t>13.1.3.2</t>
  </si>
  <si>
    <t>13.1.3.3</t>
  </si>
  <si>
    <t>14.1.1.1</t>
  </si>
  <si>
    <t>14.1.1.2</t>
  </si>
  <si>
    <t>Improve R&amp;I infrastructure and  develop R&amp;I excellence</t>
  </si>
  <si>
    <t>Inovatīvi IT risinājumi robežkontrolē</t>
  </si>
  <si>
    <r>
      <t xml:space="preserve">To </t>
    </r>
    <r>
      <rPr>
        <sz val="14"/>
        <color theme="1"/>
        <rFont val="Times New Roman"/>
        <family val="1"/>
        <charset val="186"/>
      </rPr>
      <t>Ensure the introduction of innovative technological solutions in the control of the external borders</t>
    </r>
  </si>
  <si>
    <r>
      <t>Innovative IT solutions</t>
    </r>
    <r>
      <rPr>
        <sz val="14"/>
        <color theme="1"/>
        <rFont val="Times New Roman"/>
        <family val="1"/>
        <charset val="186"/>
      </rPr>
      <t> </t>
    </r>
    <r>
      <rPr>
        <sz val="14"/>
        <color rgb="FF1F497D"/>
        <rFont val="Times New Roman"/>
        <family val="1"/>
        <charset val="186"/>
      </rPr>
      <t>of</t>
    </r>
    <r>
      <rPr>
        <sz val="14"/>
        <color theme="1"/>
        <rFont val="Times New Roman"/>
        <family val="1"/>
        <charset val="186"/>
      </rPr>
      <t> border control</t>
    </r>
  </si>
  <si>
    <t>Promoting entrepreneurship, in particular by facilitating the economic exploitation of new ideas and fostering the creation of new firms, including through business incubators.</t>
  </si>
  <si>
    <t>Atbalsts MVK finansējuma piesaistei kapitāla tirgos</t>
  </si>
  <si>
    <t>Support for raising funding for small and medium-sized enterprises in capital markets</t>
  </si>
  <si>
    <t>Support for raising funding for SMEs in capital markets</t>
  </si>
  <si>
    <t>3.1.1.7.</t>
  </si>
  <si>
    <t>Aizdevumi sīko (mikro), mazo un vidējo saimnieciskās darbības veicēju attīstībai</t>
  </si>
  <si>
    <t>Loans for the development of small (micro), small and medium-sized economic operators</t>
  </si>
  <si>
    <t>Loans to SME's</t>
  </si>
  <si>
    <t xml:space="preserve">Professional development of public administration for development of better legal regulation in the fields of support to small and medium-sized enterprises, anti-corruption and mitigation of the shadow economy </t>
  </si>
  <si>
    <t xml:space="preserve">Development and approbation of the methodology for the transformation of public services </t>
  </si>
  <si>
    <t>Tramvaji un elektrovilcieni</t>
  </si>
  <si>
    <t>To develop the infrastructure of environmentally friendly public transport (rail transport)</t>
  </si>
  <si>
    <t>Trams and electric trains</t>
  </si>
  <si>
    <t>Biotopu atjaunošana</t>
  </si>
  <si>
    <t>Measures to restore the favourable conservation status of habitats and species</t>
  </si>
  <si>
    <t>Habitat restoration</t>
  </si>
  <si>
    <t>Dzīvotņu atjaunošana</t>
  </si>
  <si>
    <t>Renewal of habitats of European Union importance</t>
  </si>
  <si>
    <t>Renewal of habitats</t>
  </si>
  <si>
    <t>Kompleksu  apsaimniekošanas pasākumu īstenošana Natura 2000 teritorijās</t>
  </si>
  <si>
    <t xml:space="preserve">Apsaimniekošanas pasākumi Natura 2000 teritorijās </t>
  </si>
  <si>
    <t xml:space="preserve">Implementation of complex management measures
 in Natura 2000 territories </t>
  </si>
  <si>
    <t xml:space="preserve">Management measures
 in Natura 2000 territories </t>
  </si>
  <si>
    <t>Cultural and natural heritage</t>
  </si>
  <si>
    <t>To ensure necessary infrastructure on main flyovers of Riga and to prevent fragmentary nature of main streets</t>
  </si>
  <si>
    <t>Reconstruction of Riga bridges and flyovers</t>
  </si>
  <si>
    <t>Infrastructure connections of major cities with the TEN-T network</t>
  </si>
  <si>
    <t>Transporta nozares informācijas piekļuves punkta izveide</t>
  </si>
  <si>
    <t>Establishment of a national access point for transport information</t>
  </si>
  <si>
    <t>Establishment of an access point for transport information</t>
  </si>
  <si>
    <t>6.1.7.</t>
  </si>
  <si>
    <t>Multimodāla transporta sistēma</t>
  </si>
  <si>
    <t>Enabling a multimodal transport system</t>
  </si>
  <si>
    <t>Multimodal transport system</t>
  </si>
  <si>
    <t>Access to employment for job-seekers and inactive people, including the long-term unemployed and people farthest away from the labour market, also through local employment initiatives and support for labour mobility</t>
  </si>
  <si>
    <t>To improve the qualification and skills respomding to the labour market needs</t>
  </si>
  <si>
    <t xml:space="preserve">To create an anticipatory restructuring a system for the labour market, and linking in to the Labour market barometer </t>
  </si>
  <si>
    <t>Anticipatory restructuring system of  labour market</t>
  </si>
  <si>
    <r>
      <t>Dev</t>
    </r>
    <r>
      <rPr>
        <sz val="14"/>
        <color theme="1"/>
        <rFont val="Times New Roman"/>
        <family val="1"/>
        <charset val="186"/>
      </rPr>
      <t xml:space="preserve">eloping of a </t>
    </r>
    <r>
      <rPr>
        <sz val="14"/>
        <rFont val="Times New Roman"/>
        <family val="1"/>
        <charset val="186"/>
      </rPr>
      <t>model for better matching and anticipati</t>
    </r>
    <r>
      <rPr>
        <sz val="14"/>
        <color theme="1"/>
        <rFont val="Times New Roman"/>
        <family val="1"/>
        <charset val="186"/>
      </rPr>
      <t xml:space="preserve">on of labour market needs </t>
    </r>
  </si>
  <si>
    <t>Implementation of active labour market policy measures for supporting the employment of young unemployed</t>
  </si>
  <si>
    <r>
      <t xml:space="preserve"> Imple</t>
    </r>
    <r>
      <rPr>
        <sz val="14"/>
        <color theme="1"/>
        <rFont val="Times New Roman"/>
        <family val="1"/>
        <charset val="186"/>
      </rPr>
      <t>mentation of active labour market policy measures for supporting</t>
    </r>
    <r>
      <rPr>
        <sz val="14"/>
        <rFont val="Times New Roman"/>
        <family val="1"/>
        <charset val="186"/>
      </rPr>
      <t xml:space="preserve"> the employment of young unemployed</t>
    </r>
  </si>
  <si>
    <t>Digitālo līdzekļu izstrāde</t>
  </si>
  <si>
    <t>Digital tools design</t>
  </si>
  <si>
    <t>Attīstīt NEET jauniešu prasmes un veicināt to iesaisti izglītībā, NVA īstenotajos pasākumos jauniešu garantijas ietvaros un nevalstisko organizāciju vai jauniešu centru darbībā.</t>
  </si>
  <si>
    <t>Atbalsts NEET jauniešu (jaunietis, kas nav iesaistīts ne nodarbinātībā, ne izglītībā, ne mācībās) sasniegšanas un uzrunāšanas aktivitātēm un informēšanas pasākumiem. NEET jauniešu profilēšana un individuālo pasākumu programmu izstrāde, īstenošana un uzraudzība. NEET jauniešu motivēšana, aktivizēšana un atbalsta sniegšana saskaņā ar mērķa grupas jaunieša individuālo pasākumu programmu. Metodoloģiska atbalsta sniegšana sadarbības partneriem, t.i. pašvaldībām, un projekta saturiskās kvalitātes nodrošināšana un uzraudzība visos projekta īstenošanas posmos. Konsultāciju sniegšana programmu vadītājiem un NEET jauniešu mentoriem.</t>
  </si>
  <si>
    <t>NEET jauniešu prasmju attīstīšana</t>
  </si>
  <si>
    <t>To increase NEET youth’s skills and promote their
involvement into education, measures implemented by SEA within the framework of Youth Guarantee, and NGOs or youth centres</t>
  </si>
  <si>
    <t>Dalība starptautiskos  pētījumos</t>
  </si>
  <si>
    <t>Starptautiskie pētījumi</t>
  </si>
  <si>
    <t xml:space="preserve">Participation in international research/studies </t>
  </si>
  <si>
    <t>International researches</t>
  </si>
  <si>
    <t xml:space="preserve"> Subsidētās darbavietas nelabvēlīgākā situācijā esošiem bezdarbniekiem</t>
  </si>
  <si>
    <t>Subsidized employment for disadvantaged unemployed</t>
  </si>
  <si>
    <t>Vocational rehabilitation</t>
  </si>
  <si>
    <r>
      <t xml:space="preserve">Funkcionēšanas novērtēšanas sistēmas izveide un ieviešana un asistīvo tehnoloģiju (tehnisko palīglīdzekļu) pieejamības un pielietojuma Latvijas izglītības iestādēs izpēte </t>
    </r>
    <r>
      <rPr>
        <sz val="14"/>
        <color rgb="FF0070C0"/>
        <rFont val="Times New Roman"/>
        <family val="1"/>
        <charset val="186"/>
      </rPr>
      <t>(Iepriekš: Funkcionēšanas novērtēšanas un asistīvo tehnoloģiju (tehnisko palīglīdzekļu) apmaiņas sistēmas izveide un ieviešana)</t>
    </r>
  </si>
  <si>
    <t>Funkcionēšanas novērtēšana un tehnisko palīglīdzekļu pieejamības izpēte</t>
  </si>
  <si>
    <t xml:space="preserve">Establishment and implementation of a functioning evaluation system and research on the accessibility and use of assistive technologies (technical aid tools) in Latvian educational institutions </t>
  </si>
  <si>
    <t>Implementation of functioning evaluation system and  research on accessibility of assistive technologies in educational institutions</t>
  </si>
  <si>
    <t xml:space="preserve">Iekļaujoša darba tirgus un nabadzības risku pētījumi un monitorings. </t>
  </si>
  <si>
    <t>Iekļaujoša darba tirgus un nabadzības risku pētījumi</t>
  </si>
  <si>
    <t>Research and monitoring on the inclusive labour market and poverty risks</t>
  </si>
  <si>
    <t>Research on inclusive labour market and poverty risks</t>
  </si>
  <si>
    <t xml:space="preserve">Atbalsts speciālistiem darbam ar bērniem ar saskarsmes grūtībām, uzvedības traucējumiem un  vardarbību ģimenē </t>
  </si>
  <si>
    <r>
      <t xml:space="preserve">Atbalsts speciālistiem darbam ar bērniem ar uzvedības un </t>
    </r>
    <r>
      <rPr>
        <sz val="14"/>
        <rFont val="Times New Roman"/>
        <family val="1"/>
        <charset val="186"/>
      </rPr>
      <t>saskarsmes</t>
    </r>
    <r>
      <rPr>
        <sz val="14"/>
        <color theme="1"/>
        <rFont val="Times New Roman"/>
        <family val="1"/>
        <charset val="186"/>
      </rPr>
      <t xml:space="preserve"> traucējumiem</t>
    </r>
  </si>
  <si>
    <t xml:space="preserve">Support for specialists working with children who have   communication difficulties and behavioural disorders and working with cases of family violence. </t>
  </si>
  <si>
    <t>To increase the availability of social services at home equivalent to
the high-quality services of institutional care and availability of services close to family environment for children and people with disabilities</t>
  </si>
  <si>
    <t>Community-based social services for people with disabilities and services close to family environment for children</t>
  </si>
  <si>
    <t>Provision of community-based social services</t>
  </si>
  <si>
    <t>Ārstniecības personāla piesaiste veselības krīžu novēršanai</t>
  </si>
  <si>
    <t>Support for medical personnel ensuring treatment for patients to prevent public health crisis situations</t>
  </si>
  <si>
    <t>Attracting medical personnel to prevent health crises</t>
  </si>
  <si>
    <t xml:space="preserve">Infrastruktūra funkcionalitātes novērtēšanai </t>
  </si>
  <si>
    <r>
      <t xml:space="preserve">
</t>
    </r>
    <r>
      <rPr>
        <sz val="14"/>
        <rFont val="Times New Roman"/>
        <family val="1"/>
        <charset val="186"/>
      </rPr>
      <t>Development of infrastructure for the establishment of the functioning evaluation system</t>
    </r>
  </si>
  <si>
    <t xml:space="preserve">Infrastructure for functioning evaluation system </t>
  </si>
  <si>
    <t>Pasākumi Covid-19 pandēmijas seku mazināšanai (ERAF)</t>
  </si>
  <si>
    <t>Measures to mitigate the effects of the Covid-19 pandemic</t>
  </si>
  <si>
    <t>13.1.</t>
  </si>
  <si>
    <t>Pārvarēt Covid-19 pandēmiju un sagatavoties zaļai, digitālai un noturīgai ekonomikas atveseļošanai</t>
  </si>
  <si>
    <t>Overcoming the Covid-19 pandemic and the crisis associated with its social consequences and preparing for a green, digital and sustainable economic recovery</t>
  </si>
  <si>
    <t>Overcoming the Covid-19 pandemic and preparing for a green, digital and sustainable economic recovery</t>
  </si>
  <si>
    <t>Atveseļošanas pasākumi ekonomikas nozarē</t>
  </si>
  <si>
    <t>Economy recovery measures</t>
  </si>
  <si>
    <t>SME creation and development (financial instruments)</t>
  </si>
  <si>
    <t xml:space="preserve">SME Loans </t>
  </si>
  <si>
    <t>Atveseļošanas pasākumi izglītības un pētniecības nozarē (ERAF)</t>
  </si>
  <si>
    <t>Atveseļošanas pasākumi izglītības un pētniecības nozarē</t>
  </si>
  <si>
    <t>Education and research recovery measures</t>
  </si>
  <si>
    <t>Praktiskas ievirzes pētniecība</t>
  </si>
  <si>
    <t>Applied Research</t>
  </si>
  <si>
    <t>Izglītības iestāžu digitalizācija</t>
  </si>
  <si>
    <t>Digitalization of educational institutions</t>
  </si>
  <si>
    <t>Pašvaldību infrastruktūra energoefektivitāte</t>
  </si>
  <si>
    <t>Energy efficiency in municipal infrastructure to improve the economic situation</t>
  </si>
  <si>
    <t>Energy efficiency in municipal infrastructure</t>
  </si>
  <si>
    <t xml:space="preserve">Atkritumu atkārtota izmantošana </t>
  </si>
  <si>
    <t>Waste re-using, recycling and regeneration</t>
  </si>
  <si>
    <t>Reuse of waste</t>
  </si>
  <si>
    <t>Culture recovery measures</t>
  </si>
  <si>
    <t>Atveseļošanas pasākumi veselības nozarē (ERAF)</t>
  </si>
  <si>
    <t>Health sector recovery measures (ERDF)</t>
  </si>
  <si>
    <t>Atveseļošanas pasākumi ekonomikas nozarē - nodarbināto apmācības (ERAF)</t>
  </si>
  <si>
    <t>Atveseļošanas pasākumi - nodarbināto apmācības</t>
  </si>
  <si>
    <t>Recovery measures - employee training</t>
  </si>
  <si>
    <t>Employee training recovery measure</t>
  </si>
  <si>
    <t>14.</t>
  </si>
  <si>
    <t>Pasākumi Covid-19 pandēmijas seku mazināšanai (ESF)</t>
  </si>
  <si>
    <t>14.1.</t>
  </si>
  <si>
    <t>Palīdzēt veicināt ar Covid-19 pandēmiju un tās sociālajām sekām saistītās krīzes seku pārvarēšanu un sagatavoties zaļai, digitālai un noturīgai ekonomikas atveseļošanai (ESF)</t>
  </si>
  <si>
    <t>Mitigate effects of the crisis caused by Covid-19 pandemic and it's social implications, and prepare for a green, digital and resilient economic recovery (ESF)</t>
  </si>
  <si>
    <t>Atveseļošanas pasākumi izglītības nozarē (ESF)</t>
  </si>
  <si>
    <t>Education sector recovery measures (ESF)</t>
  </si>
  <si>
    <t>Ensuring better governance in HEI</t>
  </si>
  <si>
    <t>Atbalsts NEET jauniešiem</t>
  </si>
  <si>
    <t>Support for NEET youth</t>
  </si>
  <si>
    <t>Atveseļošanas pasākumi labklājības jomā (ESF)</t>
  </si>
  <si>
    <t>Welfare sector recovery measures – active labour market policies (ESF)</t>
  </si>
  <si>
    <t>Welfare sector recovery measures (ESF)</t>
  </si>
  <si>
    <t>Atveseļošanas pasākumi veselības nozarē (ESF)</t>
  </si>
  <si>
    <t>Health sector recovery measures (ESF)</t>
  </si>
  <si>
    <t>13.1.5</t>
  </si>
  <si>
    <t>13.1.6</t>
  </si>
  <si>
    <t>14.1.1</t>
  </si>
  <si>
    <t>13.1.1</t>
  </si>
  <si>
    <t>13.1.2</t>
  </si>
  <si>
    <t>14.1.2</t>
  </si>
  <si>
    <t>14.1.3</t>
  </si>
  <si>
    <t>2.1.3</t>
  </si>
  <si>
    <t>Informācija sagatavota 10.11.2017.
Informācija aktualizēta 05.10.2021.</t>
  </si>
  <si>
    <t>Saistītie SAMP</t>
  </si>
  <si>
    <t>ReactEU ESF</t>
  </si>
  <si>
    <t>Atbalsts ārstniecības personām, kas nodrošina pacientu ārstēšanu sabiedrības veselības  krīžu situāciju novēršanai un atveseļošanas pasākumi veselības nozarē (14.1.3. SAM)</t>
  </si>
  <si>
    <t>React EU ESF</t>
  </si>
  <si>
    <t>Bez MKN</t>
  </si>
  <si>
    <t>MVU aizdevumi</t>
  </si>
  <si>
    <t>8.3.3.</t>
  </si>
  <si>
    <t>8.2.3.</t>
  </si>
  <si>
    <t>Aizdevumi sīko (mikro), mazo un vidējo saimnieciskās darbības veicēju attīstībai un Aizdevumi sīko (mikro), mazo un vidējo saimnieciskās darbības veicēju attīstības veicināšanai (13.1.1.1. SAMP)</t>
  </si>
  <si>
    <t>Attīstīt NEET jauniešu prasmes un veicināt to iesaisti izglītībā, NVA īstenotajos pasākumos Jauniešu garantijas ietvaros un nevalstisko organizāciju vai jauniešu centru darbībā un Atbalsts NEET jauniešiem (14.1.1.2. SAMP)</t>
  </si>
  <si>
    <t>Pārbaudei grafikā labajā pusē virssaistību summu</t>
  </si>
  <si>
    <t>grafikam</t>
  </si>
  <si>
    <t>Par cik pārsniegtas līgumu summas bez virssaistībām (šobrīd netiek izmantots grafikā)</t>
  </si>
  <si>
    <t>MKN groz. 25.01.22. MK</t>
  </si>
  <si>
    <t>Pētījums sabiedriskā transporta plānam Rīgas metropoles areālā</t>
  </si>
  <si>
    <t>FI  3.1.1.1, 3.1.1.2, 3.1.1.4, 3.1.1.7, 3.1.2.1, 3.1.2.2</t>
  </si>
  <si>
    <t>Pētījumu, novērtējumu un saistītās dokumentācijas izstrāde ilgtspējīga, integrēta un koordinēta multimodāla sabiedriskā transporta plāna priekšlikuma sagatavošanai Rīgas metropoles areālā</t>
  </si>
  <si>
    <t>Palielināt sociālās atstumtības riskam pakļauto mērķa grupu, tostarp bezdarbnieku, tai skaitā nelabvēlīgākā situācijā esošu bezdarbnieku, iekļaušanos darba tirgū</t>
  </si>
  <si>
    <t>Apstiprināts 11.01.2022. MK sēdē</t>
  </si>
  <si>
    <t>Apstiprināts 14.12.2021. MK sēdē</t>
  </si>
  <si>
    <t>9.3.1.3</t>
  </si>
  <si>
    <t>Sabiedrībā balstītu sociālo pakalpojumu infrastruktūras attīstība Rīgas valstspilsētā</t>
  </si>
  <si>
    <t>7.1.1.</t>
  </si>
  <si>
    <t>Paaugstināt bezdarbnieku kvalifikāciju un prasmes atbilstoši darba tirgus pieprasījumam un Atveseļošanas pasākumi labklājības jomā  (14.1.2. SAM)</t>
  </si>
  <si>
    <t>Atveseļošanas pasākumi ekonomikas nozarē – nodarbināto apmācības (ERAF)</t>
  </si>
  <si>
    <t>1.2.2.3.</t>
  </si>
  <si>
    <t>Atbalsts IKT un netehnoloģiskām apmācībām, kā arī apmācībā, lai sekmētu investoru piesaisti un Atveseļošanas pasākumi ekonomikas nozarē - nodarbināto apmācības (ERAF) (13.1.6. SAM)</t>
  </si>
  <si>
    <t>1.1.1.1.</t>
  </si>
  <si>
    <r>
      <t xml:space="preserve">Piešķirtais ES fondu finansējums (milj. </t>
    </r>
    <r>
      <rPr>
        <b/>
        <i/>
        <sz val="14"/>
        <color theme="1"/>
        <rFont val="Calibri"/>
        <family val="2"/>
        <charset val="186"/>
        <scheme val="minor"/>
      </rPr>
      <t>euro</t>
    </r>
    <r>
      <rPr>
        <b/>
        <sz val="14"/>
        <color theme="1"/>
        <rFont val="Calibri"/>
        <family val="2"/>
        <charset val="186"/>
        <scheme val="minor"/>
      </rPr>
      <t xml:space="preserve">), </t>
    </r>
    <r>
      <rPr>
        <b/>
        <sz val="14"/>
        <color rgb="FFFF0000"/>
        <rFont val="Calibri"/>
        <family val="2"/>
        <charset val="186"/>
        <scheme val="minor"/>
      </rPr>
      <t>izmanto, lai pārbaudītu grafika labajā pusē kopējā piešķīruma ciparus (Fondu piešķīrums*) Vecā kolonna, vairs neizmantot</t>
    </r>
  </si>
  <si>
    <t>6) Negatīva vērtība saistīta ar plānotajiem DP grozījumiem Nr.8. (EK lēmums par REACT 2.pārskaitījumu un pāreja uz 100% likmi. Daļu no pieejamā finansējuma ar DP grozījumiem plānots aizstāt ar virssaistību finansējumu)</t>
  </si>
  <si>
    <t>Piešķīrums bez MKN (tiks virzīti MKN grozījumi)*</t>
  </si>
  <si>
    <t>N/A</t>
  </si>
  <si>
    <t xml:space="preserve">DP grozījumos Nr.8. ieplānotais REACT-EU fondu finansējums </t>
  </si>
  <si>
    <t>* Ar (-) norādītais piešķīrums bez MKN nozīmē, ka MKN ir iegrozīts sākotnēji plānotais REACT-EU fondu finansējums, bet pēc EK lēmuma par pieejamo 2022.gada finansējumu tas ir jāsamazina. Starpība tiek kompensēta no VB, kas šajā tabulā neparādās.</t>
  </si>
  <si>
    <t>3.1.1.1. un 3.1.1.7</t>
  </si>
  <si>
    <t>3.1.1.1. un 3.1.1.7.</t>
  </si>
  <si>
    <t>13.1.1.4</t>
  </si>
  <si>
    <t>Atveseļošanas pasākumi ekonomikas nozarē - Reģionālie biznesa inkubatori un radošo industriju inkubators</t>
  </si>
  <si>
    <t>13.1.1.3</t>
  </si>
  <si>
    <t>Atveseļošanas pasākumi ekonomikas nozarē" 13.1.1.3. pasākuma "Atveseļošanas pasākumi ekonomikas nozarē – Starptautiskās konkurētspējas veicināšana</t>
  </si>
  <si>
    <t>1.2.2.1 / 1.2.2.3.</t>
  </si>
  <si>
    <t>Reģionālie biznesa inkubatori un radošo industriju inkubators un Atveseļošanas pasākumi ekonomikas nozarē – Reģionālie biznesa inkubatori un radošo industriju inkubators" (13.1.1.4. SAMP)</t>
  </si>
  <si>
    <t>Starptautiskās konkurētspējas veicināšana un Atveseļošanas pasākumi ekonomikas nozarē - Starptautiskās konkurētspējas veicināšana (13.1.1.3. SAMP)</t>
  </si>
  <si>
    <t>no 5.4.3.2. tika atbrīvots finansējums, ko nav plānots piesaistīt nevienam VARAM KF SAM</t>
  </si>
  <si>
    <t>Atbalsts nodarbināto apmācībām un Atveseļošanas pasākumi ekonomikas nozarē – nodarbināto apmācības (ERAF) (13.1.6. SAM)</t>
  </si>
  <si>
    <t>Apstiprināts 15.11.2022. MK sēdē</t>
  </si>
  <si>
    <t>3.2.1.2.</t>
  </si>
  <si>
    <t>3.1.1.6.</t>
  </si>
  <si>
    <t>8.2.3. MKN groz 17.01.23. atbisltoši DP groz Nr.8</t>
  </si>
  <si>
    <t>Groz. apstiprināti 31.01.2023. MK sēdē</t>
  </si>
  <si>
    <t>Atbalsts speciālistiem darbam ar bērniem ar saskarsmes grūtībām un uzvedības traucējumiem un vardarbību ģimenē</t>
  </si>
  <si>
    <t>Palīdzēt veicināt ar Covid-19 pandēmiju un tās sociālajām sekām saistītās krīzes seku pārvarēšanu un sagatavoties zaļai, digitālai un noturīgai ekonomikas atveseļošanai (ERAF)</t>
  </si>
  <si>
    <t>Atveseļošanas pasākumi izglītības nozarē (ESF) (SAM 8.2.3)</t>
  </si>
  <si>
    <t>Atveseļošanas pasākumi izglītības nozarē (ESF) (SAM 8.3.3)</t>
  </si>
  <si>
    <t>8.3.1.1.pasākumā atbrīvotais finansējumu plānots virzīt uz 8.3.2.2.pasākumu un 13.1.5.SAM</t>
  </si>
  <si>
    <t>7) Pasākumos, kuros projekti tiek daļēji finansēti no REACT EU fiansējuma, bet daļēji no ERAF vai ESF, react EU finansējuma daļa ir norādīta pie REACT EU pasākuma (zem 13. vai 14.PV), bet projektu skaits pie atbilstošā ERAF vai ESF pasākuma (zem 1.-9.PV)</t>
  </si>
  <si>
    <t xml:space="preserve">8.2.2. SAM </t>
  </si>
  <si>
    <t>Tiks novirzīts uz 8.3.2.2 pasākumu, grozījumi TAP procesā</t>
  </si>
  <si>
    <t>Apstiprināts 22.08.2022. MK sēdē</t>
  </si>
  <si>
    <t>MKN groz.03.10.2023.MK</t>
  </si>
  <si>
    <t>10.10.2023. MKN grozījumi, no 8.4.1. SAM atbrīvotā finansējuma pārdalot papildu finansējumu, tai skaitā ESF finansējums 212 500 EUR.</t>
  </si>
  <si>
    <t>8.4.1.</t>
  </si>
  <si>
    <t>Pieaugušo izglītība</t>
  </si>
  <si>
    <t>No 8.4.1.SAM atbrīvotais finansējums 1 500 000 apmērā (ESF 1 275 001 un VB 224 999) tika pārdalīts uz 8.5.1.SAM (ESF 383 795 un VB  67 728 ), uz 8.3.2.2.pasākumu (ESF 212 500 un VB 37 500) un plānots pārdalīt uz 8.3.6.1.pasākumu(ESF 103 642 un VB 18 920) (noteikumu projekts saskaņošanā TAP). Nesadalītais atlikums ESF 575 064 apmērā rezervēts citiem mērķiem 8 PV ietvaros.</t>
  </si>
  <si>
    <t>Tiks novirzīts 8 PV mērķiem</t>
  </si>
  <si>
    <t>8.3.6.1.</t>
  </si>
  <si>
    <t>Izglītības kvalitātes monitorinaga sistēma</t>
  </si>
  <si>
    <t>8.4.1.SAM atbrīvotais finansējums</t>
  </si>
  <si>
    <t>8.3.6.1. MKN TAP saskaņošanā</t>
  </si>
  <si>
    <t>Apstiprināts 21.11.2023. MK sēdē</t>
  </si>
  <si>
    <t>Augstākās izglītības pārvaldība</t>
  </si>
  <si>
    <t>NO 8.2.3.SAM atbrīvotais finansējums 240 163 (ESF 204 139) nav plānots novirzīt citiem mērķiem</t>
  </si>
  <si>
    <t>8.2.3.SAM atbrīvots finansējums</t>
  </si>
  <si>
    <t>Apstiprināts MK</t>
  </si>
  <si>
    <t>MKN groz. 29.11.2023.</t>
  </si>
  <si>
    <t>MKN grozījumi 29.11.2023.</t>
  </si>
  <si>
    <t>15.1.1</t>
  </si>
  <si>
    <t>Atbalsta pasākumi centralizētās siltumapgādes jomā</t>
  </si>
  <si>
    <t>15.</t>
  </si>
  <si>
    <t>Pasākumi Krievijas Federācijas militārās agresijas seku mazināšanai (enerģētika)</t>
  </si>
  <si>
    <t>4.3.1.</t>
  </si>
  <si>
    <t>no 6.2.1.2. atbrīvots KF finansējums virssiatsību daļējai kompensēšanai</t>
  </si>
  <si>
    <t xml:space="preserve">EM </t>
  </si>
  <si>
    <r>
      <rPr>
        <b/>
        <sz val="10"/>
        <color rgb="FF000000"/>
        <rFont val="Arial"/>
      </rPr>
      <t>*</t>
    </r>
    <r>
      <rPr>
        <sz val="10"/>
        <color rgb="FF000000"/>
        <rFont val="Arial"/>
      </rPr>
      <t xml:space="preserve"> Progress, procentpunkti (3.2., 4.2., 5.2. un 6.2. kolonas) tiek aprēķināts kā starpība starp iepriekšējā perioda procentu no piešķīruma un kārtējā perioda procentu no piešķīruma (3.1.,4.1.,5.1. un 6.1. kolonu vērtības). Piemēram, līdz janvāra beigām tika noslēgti līgumi par 20% no piešķirtā finansējuma, bet februārī noslēgto līgumu apjoms sasniedza 25% no piešķirtā finansējuma. </t>
    </r>
    <r>
      <rPr>
        <b/>
        <sz val="10"/>
        <color rgb="FF000000"/>
        <rFont val="Arial"/>
      </rPr>
      <t>Progress procentpunktos ir 25%-20%=5%.</t>
    </r>
    <r>
      <rPr>
        <sz val="10"/>
        <color rgb="FF000000"/>
        <rFont val="Arial"/>
      </rPr>
      <t xml:space="preserve">
</t>
    </r>
    <r>
      <rPr>
        <b/>
        <sz val="10"/>
        <color rgb="FF000000"/>
        <rFont val="Arial"/>
      </rPr>
      <t>**</t>
    </r>
    <r>
      <rPr>
        <sz val="10"/>
        <color rgb="FF000000"/>
        <rFont val="Arial"/>
      </rPr>
      <t xml:space="preserve"> Progresa dinamika (3.3., 4.3., 5.3. un 6.3. kolonas) tiek aprēķināta kā starpība starp kārtējā un iepriekšējā perioda vērtībām dalīta uz iepriekšējā perioda vērtību, pēc būtības tas ir pieaugums, salīdzinot ar iepriekšējo periodu. Piemēram, līdz janvāra beigām tika noslēgti līgumi par 100 milj. euro, bet februārī noslēgto līgumu apjoms sasniedza 150 milj. euro. </t>
    </r>
    <r>
      <rPr>
        <b/>
        <sz val="10"/>
        <color rgb="FF000000"/>
        <rFont val="Arial"/>
      </rPr>
      <t>Progresa dinamika ir (150-100)/100=0,5, jeb 50%.</t>
    </r>
    <r>
      <rPr>
        <sz val="10"/>
        <color rgb="FF000000"/>
        <rFont val="Arial"/>
      </rPr>
      <t xml:space="preserve"> Pieaugums salīdzinot ar iepriekšējo periodu, jeb progresa dinamika, ir 50%. </t>
    </r>
  </si>
  <si>
    <t>Viedās administrācijas un reģionālās attīstības ministrija</t>
  </si>
  <si>
    <t>No EK saņemtie ES fondu maksājumi, EUR  uz 30.11.2024.</t>
  </si>
  <si>
    <t>28.02.2025</t>
  </si>
  <si>
    <t>2014.-2020. gada plānošanas perioda ES fondu ieviešanas statuss (ES fondu daļa, EUR) uz 31.03.2025.</t>
  </si>
  <si>
    <t>Sagatavots 08.04.2025.</t>
  </si>
  <si>
    <t>2014.-2020. gada plānošanas perioda ES fondu ieviešanas statuss sadalījumā pa investīciju jomām (ES fondu daļa, EUR) uz 31.03.2025.</t>
  </si>
  <si>
    <t>ES Kohēzijas politikas finansējuma ieviešanas statuss fondu dalījumā (ES fondu finansējums, milj. EUR) uz 31.03.2025.</t>
  </si>
  <si>
    <t>31.03.2025</t>
  </si>
  <si>
    <t>08.04.2025 10:26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</si>
</sst>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0.0%"/>
    <numFmt numFmtId="166" formatCode="[$-10409]###\ ###\ ###\ ###\ ##0"/>
    <numFmt numFmtId="167" formatCode="[$-10409]0.00%"/>
  </numFmts>
  <fonts count="93"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2"/>
      <color theme="1"/>
      <name val="Times New Roman"/>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b/>
      <sz val="14"/>
      <color theme="1"/>
      <name val="Times New Roman"/>
      <family val="1"/>
      <charset val="186"/>
    </font>
    <font>
      <sz val="14"/>
      <color theme="1"/>
      <name val="Times New Roman"/>
      <family val="1"/>
      <charset val="186"/>
    </font>
    <font>
      <b/>
      <sz val="20"/>
      <color theme="1"/>
      <name val="Times New Roman"/>
      <family val="1"/>
      <charset val="186"/>
    </font>
    <font>
      <b/>
      <sz val="13"/>
      <name val="Times New Roman"/>
      <family val="1"/>
      <charset val="204"/>
    </font>
    <font>
      <b/>
      <sz val="14"/>
      <name val="Times New Roman"/>
      <family val="1"/>
      <charset val="204"/>
    </font>
    <font>
      <b/>
      <sz val="14"/>
      <name val="Times New Roman"/>
      <family val="1"/>
      <charset val="186"/>
    </font>
    <font>
      <sz val="14"/>
      <color theme="1" tint="0.499984740745262"/>
      <name val="Times New Roman"/>
      <family val="1"/>
      <charset val="186"/>
    </font>
    <font>
      <sz val="14"/>
      <color theme="0" tint="-0.14999847407452621"/>
      <name val="Times New Roman"/>
      <family val="1"/>
      <charset val="186"/>
    </font>
    <font>
      <sz val="14"/>
      <color theme="0"/>
      <name val="Franklin Gothic Demi"/>
      <family val="2"/>
      <charset val="186"/>
    </font>
    <font>
      <sz val="12"/>
      <color theme="0"/>
      <name val="Franklin Gothic Demi"/>
      <family val="2"/>
      <charset val="186"/>
    </font>
    <font>
      <i/>
      <sz val="14"/>
      <color theme="1"/>
      <name val="Times New Roman"/>
      <family val="1"/>
      <charset val="186"/>
    </font>
    <font>
      <b/>
      <sz val="16"/>
      <color rgb="FF000000"/>
      <name val="Times New Roman"/>
      <family val="1"/>
      <charset val="186"/>
    </font>
    <font>
      <sz val="10"/>
      <name val="Times New Roman"/>
      <family val="1"/>
    </font>
    <font>
      <b/>
      <sz val="12"/>
      <name val="Times New Roman"/>
      <family val="1"/>
      <charset val="186"/>
    </font>
    <font>
      <b/>
      <sz val="10"/>
      <name val="Times New Roman"/>
      <family val="1"/>
      <charset val="186"/>
    </font>
    <font>
      <b/>
      <sz val="11"/>
      <name val="Times New Roman"/>
      <family val="1"/>
      <charset val="186"/>
    </font>
    <font>
      <b/>
      <sz val="12"/>
      <color theme="3"/>
      <name val="Times New Roman"/>
      <family val="1"/>
    </font>
    <font>
      <b/>
      <sz val="12"/>
      <color theme="0"/>
      <name val="Times New Roman"/>
      <family val="1"/>
      <charset val="186"/>
    </font>
    <font>
      <u/>
      <sz val="11"/>
      <color theme="10"/>
      <name val="Calibri"/>
      <family val="2"/>
      <scheme val="minor"/>
    </font>
    <font>
      <i/>
      <u/>
      <sz val="8"/>
      <color theme="10"/>
      <name val="Times New Roman"/>
      <family val="1"/>
      <charset val="186"/>
    </font>
    <font>
      <sz val="12"/>
      <color theme="1"/>
      <name val="Times New Roman"/>
      <family val="1"/>
      <charset val="186"/>
    </font>
    <font>
      <b/>
      <sz val="12"/>
      <color theme="1"/>
      <name val="Times New Roman"/>
      <family val="1"/>
      <charset val="186"/>
    </font>
    <font>
      <b/>
      <sz val="16"/>
      <color theme="1"/>
      <name val="Times New Roman"/>
      <family val="1"/>
      <charset val="186"/>
    </font>
    <font>
      <b/>
      <i/>
      <sz val="12"/>
      <color theme="1" tint="0.34998626667073579"/>
      <name val="Times New Roman"/>
      <family val="1"/>
      <charset val="186"/>
    </font>
    <font>
      <b/>
      <sz val="11"/>
      <color theme="1"/>
      <name val="Calibri"/>
      <family val="2"/>
      <scheme val="minor"/>
    </font>
    <font>
      <sz val="11"/>
      <color theme="1"/>
      <name val="Calibri"/>
      <family val="2"/>
      <scheme val="minor"/>
    </font>
    <font>
      <sz val="14"/>
      <name val="Times New Roman"/>
      <family val="1"/>
      <charset val="186"/>
    </font>
    <font>
      <i/>
      <sz val="14"/>
      <name val="Times New Roman"/>
      <family val="1"/>
      <charset val="186"/>
    </font>
    <font>
      <b/>
      <sz val="11"/>
      <color theme="0"/>
      <name val="Times New Roman"/>
      <family val="1"/>
      <charset val="186"/>
    </font>
    <font>
      <b/>
      <sz val="10"/>
      <color theme="0"/>
      <name val="Times New Roman"/>
      <family val="1"/>
      <charset val="186"/>
    </font>
    <font>
      <sz val="12"/>
      <name val="Times New Roman"/>
      <family val="1"/>
      <charset val="186"/>
    </font>
    <font>
      <b/>
      <sz val="16"/>
      <color theme="8" tint="-0.499984740745262"/>
      <name val="Times New Roman"/>
      <family val="1"/>
      <charset val="186"/>
    </font>
    <font>
      <sz val="11"/>
      <color rgb="FF000000"/>
      <name val="Calibri"/>
      <family val="2"/>
    </font>
    <font>
      <sz val="11"/>
      <color rgb="FF000000"/>
      <name val="Calibri"/>
      <family val="2"/>
      <scheme val="minor"/>
    </font>
    <font>
      <sz val="10"/>
      <name val="Arial"/>
      <family val="2"/>
      <charset val="186"/>
    </font>
    <font>
      <sz val="10"/>
      <name val="Arial"/>
      <family val="2"/>
      <charset val="186"/>
    </font>
    <font>
      <sz val="14"/>
      <color rgb="FF000000"/>
      <name val="Times New Roman"/>
      <family val="1"/>
      <charset val="186"/>
    </font>
    <font>
      <strike/>
      <sz val="14"/>
      <name val="Times New Roman"/>
      <family val="1"/>
      <charset val="186"/>
    </font>
    <font>
      <sz val="16"/>
      <color theme="1"/>
      <name val="Times New Roman"/>
      <family val="1"/>
      <charset val="186"/>
    </font>
    <font>
      <sz val="16"/>
      <name val="Times New Roman"/>
      <family val="1"/>
      <charset val="186"/>
    </font>
    <font>
      <sz val="16"/>
      <color theme="1" tint="0.499984740745262"/>
      <name val="Times New Roman"/>
      <family val="1"/>
      <charset val="186"/>
    </font>
    <font>
      <b/>
      <sz val="16"/>
      <name val="Times New Roman"/>
      <family val="1"/>
      <charset val="186"/>
    </font>
    <font>
      <b/>
      <vertAlign val="superscript"/>
      <sz val="13"/>
      <name val="Times New Roman"/>
      <family val="1"/>
      <charset val="186"/>
    </font>
    <font>
      <sz val="10"/>
      <color rgb="FF000000"/>
      <name val="Arial"/>
      <family val="2"/>
      <charset val="186"/>
    </font>
    <font>
      <sz val="8"/>
      <color rgb="FF000000"/>
      <name val="Arial"/>
      <family val="2"/>
      <charset val="186"/>
    </font>
    <font>
      <sz val="8"/>
      <color rgb="FF25396E"/>
      <name val="Arial"/>
      <family val="2"/>
      <charset val="186"/>
    </font>
    <font>
      <b/>
      <sz val="8"/>
      <color rgb="FF0B428E"/>
      <name val="Arial"/>
      <family val="2"/>
      <charset val="186"/>
    </font>
    <font>
      <sz val="8"/>
      <color rgb="FF000000"/>
      <name val="Tahoma"/>
      <family val="2"/>
      <charset val="186"/>
    </font>
    <font>
      <b/>
      <sz val="8"/>
      <color rgb="FF000000"/>
      <name val="Tahoma"/>
      <family val="2"/>
      <charset val="186"/>
    </font>
    <font>
      <sz val="18"/>
      <color rgb="FF000000"/>
      <name val="Tahoma"/>
      <family val="2"/>
      <charset val="186"/>
    </font>
    <font>
      <sz val="9"/>
      <color indexed="81"/>
      <name val="Tahoma"/>
      <family val="2"/>
      <charset val="186"/>
    </font>
    <font>
      <b/>
      <sz val="9"/>
      <color indexed="81"/>
      <name val="Tahoma"/>
      <family val="2"/>
      <charset val="186"/>
    </font>
    <font>
      <sz val="14"/>
      <color rgb="FFFF0000"/>
      <name val="Times New Roman"/>
      <family val="1"/>
      <charset val="186"/>
    </font>
    <font>
      <strike/>
      <sz val="14"/>
      <color theme="1"/>
      <name val="Times New Roman"/>
      <family val="1"/>
      <charset val="186"/>
    </font>
    <font>
      <sz val="14"/>
      <color indexed="81"/>
      <name val="Tahoma"/>
      <family val="2"/>
      <charset val="186"/>
    </font>
    <font>
      <sz val="14"/>
      <color rgb="FF414142"/>
      <name val="Times New Roman"/>
      <family val="1"/>
      <charset val="186"/>
    </font>
    <font>
      <sz val="12"/>
      <color theme="1"/>
      <name val="Calibri"/>
      <family val="2"/>
      <scheme val="minor"/>
    </font>
    <font>
      <b/>
      <sz val="11"/>
      <color theme="1"/>
      <name val="Calibri"/>
      <family val="2"/>
      <charset val="186"/>
      <scheme val="minor"/>
    </font>
    <font>
      <b/>
      <sz val="14"/>
      <color theme="1"/>
      <name val="Calibri"/>
      <family val="2"/>
      <charset val="186"/>
      <scheme val="minor"/>
    </font>
    <font>
      <sz val="14"/>
      <color theme="1"/>
      <name val="Calibri"/>
      <family val="2"/>
      <charset val="186"/>
      <scheme val="minor"/>
    </font>
    <font>
      <sz val="14"/>
      <color theme="1"/>
      <name val="Times New Roman"/>
      <family val="2"/>
      <charset val="186"/>
    </font>
    <font>
      <i/>
      <sz val="14"/>
      <color theme="1"/>
      <name val="Times New Roman"/>
      <family val="2"/>
      <charset val="186"/>
    </font>
    <font>
      <i/>
      <sz val="14"/>
      <color theme="1"/>
      <name val="Calibri"/>
      <family val="2"/>
      <charset val="186"/>
      <scheme val="minor"/>
    </font>
    <font>
      <i/>
      <sz val="14"/>
      <color rgb="FFFF0000"/>
      <name val="Calibri"/>
      <family val="2"/>
      <charset val="186"/>
      <scheme val="minor"/>
    </font>
    <font>
      <b/>
      <i/>
      <sz val="14"/>
      <color theme="1"/>
      <name val="Calibri"/>
      <family val="2"/>
      <charset val="186"/>
      <scheme val="minor"/>
    </font>
    <font>
      <sz val="18"/>
      <color theme="1"/>
      <name val="Times New Roman"/>
      <family val="2"/>
      <charset val="186"/>
    </font>
    <font>
      <b/>
      <sz val="18"/>
      <color theme="1"/>
      <name val="Calibri"/>
      <family val="2"/>
      <charset val="186"/>
      <scheme val="minor"/>
    </font>
    <font>
      <b/>
      <sz val="20"/>
      <color theme="1"/>
      <name val="Calibri"/>
      <family val="2"/>
      <charset val="186"/>
      <scheme val="minor"/>
    </font>
    <font>
      <b/>
      <sz val="14"/>
      <color rgb="FFFF0000"/>
      <name val="Calibri"/>
      <family val="2"/>
      <charset val="186"/>
      <scheme val="minor"/>
    </font>
    <font>
      <sz val="12"/>
      <color theme="1"/>
      <name val="Calibri"/>
      <family val="2"/>
      <charset val="186"/>
      <scheme val="minor"/>
    </font>
    <font>
      <sz val="14"/>
      <color rgb="FF1F497D"/>
      <name val="Times New Roman"/>
      <family val="1"/>
      <charset val="186"/>
    </font>
    <font>
      <sz val="14"/>
      <color rgb="FF0070C0"/>
      <name val="Times New Roman"/>
      <family val="1"/>
      <charset val="186"/>
    </font>
    <font>
      <sz val="8"/>
      <name val="Calibri"/>
      <family val="2"/>
      <scheme val="minor"/>
    </font>
    <font>
      <b/>
      <sz val="12"/>
      <color theme="1"/>
      <name val="Calibri"/>
      <family val="2"/>
      <charset val="186"/>
      <scheme val="minor"/>
    </font>
    <font>
      <sz val="10"/>
      <color rgb="FF000000"/>
      <name val="Arial"/>
      <family val="2"/>
      <charset val="186"/>
    </font>
    <font>
      <sz val="10"/>
      <color rgb="FF000000"/>
      <name val="Arial"/>
      <family val="2"/>
      <charset val="186"/>
    </font>
    <font>
      <sz val="11"/>
      <color theme="1"/>
      <name val="Times New Roman"/>
      <family val="1"/>
      <charset val="186"/>
    </font>
    <font>
      <sz val="11"/>
      <name val="Times New Roman"/>
      <family val="1"/>
      <charset val="186"/>
    </font>
    <font>
      <sz val="20"/>
      <color theme="1"/>
      <name val="Calibri"/>
      <family val="2"/>
      <scheme val="minor"/>
    </font>
    <font>
      <sz val="10"/>
      <color rgb="FF000000"/>
      <name val="Arial"/>
      <family val="2"/>
      <charset val="186"/>
    </font>
    <font>
      <b/>
      <sz val="12"/>
      <color rgb="FF000000"/>
      <name val="Arial"/>
    </font>
    <font>
      <sz val="11"/>
      <name val="Calibri"/>
    </font>
    <font>
      <b/>
      <sz val="11"/>
      <color rgb="FF000000"/>
      <name val="Calibri"/>
    </font>
    <font>
      <b/>
      <sz val="10"/>
      <color rgb="FF000000"/>
      <name val="Arial"/>
    </font>
    <font>
      <sz val="10"/>
      <color rgb="FF000000"/>
      <name val="Arial"/>
    </font>
  </fonts>
  <fills count="25">
    <fill>
      <patternFill patternType="none"/>
    </fill>
    <fill>
      <patternFill patternType="gray125"/>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ADD8E6"/>
        <bgColor rgb="FFADD8E6"/>
      </patternFill>
    </fill>
    <fill>
      <patternFill patternType="solid">
        <fgColor rgb="FFB0C4DE"/>
        <bgColor rgb="FFB0C4DE"/>
      </patternFill>
    </fill>
    <fill>
      <patternFill patternType="solid">
        <fgColor rgb="FF92D050"/>
        <bgColor indexed="64"/>
      </patternFill>
    </fill>
    <fill>
      <patternFill patternType="solid">
        <fgColor theme="5" tint="0.39997558519241921"/>
        <bgColor indexed="64"/>
      </patternFill>
    </fill>
    <fill>
      <patternFill patternType="solid">
        <fgColor rgb="FFFFFFFF"/>
      </patternFill>
    </fill>
    <fill>
      <patternFill patternType="solid">
        <fgColor rgb="FFDFDFDF"/>
      </patternFill>
    </fill>
    <fill>
      <patternFill patternType="solid">
        <fgColor rgb="FFFFFF00"/>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000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top style="medium">
        <color theme="0"/>
      </top>
      <bottom style="thin">
        <color theme="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indexed="64"/>
      </left>
      <right style="medium">
        <color indexed="64"/>
      </right>
      <top style="medium">
        <color indexed="64"/>
      </top>
      <bottom style="thin">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style="medium">
        <color indexed="64"/>
      </left>
      <right style="thin">
        <color theme="1" tint="0.499984740745262"/>
      </right>
      <top/>
      <bottom style="thin">
        <color theme="1" tint="0.499984740745262"/>
      </bottom>
      <diagonal/>
    </border>
    <border>
      <left style="thin">
        <color theme="1" tint="0.499984740745262"/>
      </left>
      <right style="medium">
        <color indexed="64"/>
      </right>
      <top/>
      <bottom style="thin">
        <color theme="1" tint="0.499984740745262"/>
      </bottom>
      <diagonal/>
    </border>
    <border>
      <left style="medium">
        <color indexed="64"/>
      </left>
      <right style="thin">
        <color theme="1" tint="0.499984740745262"/>
      </right>
      <top style="thin">
        <color theme="1" tint="0.499984740745262"/>
      </top>
      <bottom/>
      <diagonal/>
    </border>
    <border>
      <left style="thin">
        <color theme="1" tint="0.499984740745262"/>
      </left>
      <right style="medium">
        <color indexed="64"/>
      </right>
      <top style="thin">
        <color theme="1" tint="0.499984740745262"/>
      </top>
      <bottom/>
      <diagonal/>
    </border>
    <border>
      <left style="medium">
        <color indexed="64"/>
      </left>
      <right style="thin">
        <color theme="1" tint="0.499984740745262"/>
      </right>
      <top/>
      <bottom/>
      <diagonal/>
    </border>
    <border>
      <left style="thin">
        <color theme="1" tint="0.499984740745262"/>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theme="1" tint="0.499984740745262"/>
      </right>
      <top style="medium">
        <color indexed="64"/>
      </top>
      <bottom style="thin">
        <color theme="1" tint="0.499984740745262"/>
      </bottom>
      <diagonal/>
    </border>
    <border>
      <left style="thin">
        <color theme="1" tint="0.499984740745262"/>
      </left>
      <right style="thin">
        <color theme="1" tint="0.499984740745262"/>
      </right>
      <top style="medium">
        <color indexed="64"/>
      </top>
      <bottom style="thin">
        <color theme="1" tint="0.499984740745262"/>
      </bottom>
      <diagonal/>
    </border>
    <border>
      <left style="thin">
        <color theme="1" tint="0.499984740745262"/>
      </left>
      <right style="medium">
        <color indexed="64"/>
      </right>
      <top style="medium">
        <color indexed="64"/>
      </top>
      <bottom style="thin">
        <color theme="1"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style="thin">
        <color theme="0"/>
      </right>
      <top style="medium">
        <color theme="0"/>
      </top>
      <bottom/>
      <diagonal/>
    </border>
    <border>
      <left style="medium">
        <color theme="0"/>
      </left>
      <right style="thin">
        <color theme="0"/>
      </right>
      <top/>
      <bottom style="thin">
        <color theme="0"/>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D3D3D3"/>
      </left>
      <right style="thin">
        <color rgb="FFD3D3D3"/>
      </right>
      <top style="thin">
        <color rgb="FFD3D3D3"/>
      </top>
      <bottom style="thin">
        <color rgb="FFD3D3D3"/>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rgb="FFC0C0C0"/>
      </left>
      <right style="thin">
        <color rgb="FFC0C0C0"/>
      </right>
      <top/>
      <bottom style="thin">
        <color rgb="FFC0C0C0"/>
      </bottom>
      <diagonal/>
    </border>
    <border>
      <left style="thin">
        <color rgb="FFC0C0C0"/>
      </left>
      <right/>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theme="1" tint="0.499984740745262"/>
      </right>
      <top/>
      <bottom style="thin">
        <color theme="1" tint="0.499984740745262"/>
      </bottom>
      <diagonal/>
    </border>
    <border>
      <left style="thin">
        <color rgb="FFD3D3D3"/>
      </left>
      <right/>
      <top style="thin">
        <color rgb="FFD3D3D3"/>
      </top>
      <bottom style="thin">
        <color rgb="FFD3D3D3"/>
      </bottom>
      <diagonal/>
    </border>
    <border>
      <left style="thin">
        <color rgb="FFD3D3D3"/>
      </left>
      <right/>
      <top style="medium">
        <color rgb="FF000000"/>
      </top>
      <bottom style="thin">
        <color rgb="FFD3D3D3"/>
      </bottom>
      <diagonal/>
    </border>
    <border>
      <left/>
      <right style="thin">
        <color rgb="FFD3D3D3"/>
      </right>
      <top style="medium">
        <color rgb="FF000000"/>
      </top>
      <bottom style="thin">
        <color rgb="FFD3D3D3"/>
      </bottom>
      <diagonal/>
    </border>
    <border>
      <left style="medium">
        <color rgb="FF000000"/>
      </left>
      <right/>
      <top style="medium">
        <color rgb="FF000000"/>
      </top>
      <bottom style="medium">
        <color rgb="FF000000"/>
      </bottom>
      <diagonal/>
    </border>
    <border>
      <left/>
      <right/>
      <top style="medium">
        <color rgb="FF000000"/>
      </top>
      <bottom style="thin">
        <color rgb="FFD3D3D3"/>
      </bottom>
      <diagonal/>
    </border>
  </borders>
  <cellStyleXfs count="40107">
    <xf numFmtId="0" fontId="0" fillId="0" borderId="0"/>
    <xf numFmtId="0" fontId="7" fillId="0" borderId="0"/>
    <xf numFmtId="0" fontId="6" fillId="0" borderId="0"/>
    <xf numFmtId="0" fontId="26" fillId="0" borderId="0" applyNumberFormat="0" applyFill="0" applyBorder="0" applyAlignment="0" applyProtection="0"/>
    <xf numFmtId="43" fontId="33"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5" fillId="0" borderId="0" applyFont="0" applyFill="0" applyBorder="0" applyAlignment="0" applyProtection="0"/>
    <xf numFmtId="0" fontId="40" fillId="0" borderId="0" applyNumberFormat="0" applyBorder="0" applyAlignment="0"/>
    <xf numFmtId="9" fontId="4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1" fillId="0" borderId="0"/>
    <xf numFmtId="0" fontId="42" fillId="0" borderId="0"/>
    <xf numFmtId="0" fontId="43" fillId="0" borderId="0"/>
    <xf numFmtId="0" fontId="51" fillId="0" borderId="0"/>
    <xf numFmtId="9" fontId="33" fillId="0" borderId="0" applyFont="0" applyFill="0" applyBorder="0" applyAlignment="0" applyProtection="0"/>
    <xf numFmtId="0" fontId="3" fillId="0" borderId="0"/>
    <xf numFmtId="0" fontId="4" fillId="0" borderId="0"/>
    <xf numFmtId="0" fontId="82" fillId="0" borderId="0"/>
    <xf numFmtId="164" fontId="51" fillId="0" borderId="0" applyFont="0" applyFill="0" applyBorder="0" applyAlignment="0" applyProtection="0"/>
    <xf numFmtId="0" fontId="83" fillId="0" borderId="0"/>
    <xf numFmtId="0" fontId="2" fillId="0" borderId="0"/>
    <xf numFmtId="0" fontId="1" fillId="0" borderId="0"/>
    <xf numFmtId="0" fontId="1" fillId="0" borderId="0"/>
    <xf numFmtId="43" fontId="3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2" fillId="0" borderId="0"/>
    <xf numFmtId="0" fontId="1" fillId="0" borderId="0"/>
    <xf numFmtId="0" fontId="51" fillId="0" borderId="0"/>
    <xf numFmtId="43" fontId="51" fillId="0" borderId="0" applyFont="0" applyFill="0" applyBorder="0" applyAlignment="0" applyProtection="0"/>
    <xf numFmtId="0" fontId="51" fillId="0" borderId="0"/>
    <xf numFmtId="0" fontId="1" fillId="0" borderId="0"/>
    <xf numFmtId="0" fontId="87" fillId="0" borderId="0"/>
  </cellStyleXfs>
  <cellXfs count="597">
    <xf numFmtId="0" fontId="0" fillId="0" borderId="0" xfId="0"/>
    <xf numFmtId="0" fontId="9" fillId="0" borderId="0" xfId="0" applyFont="1"/>
    <xf numFmtId="49" fontId="8" fillId="2" borderId="1" xfId="0" applyNumberFormat="1" applyFont="1" applyFill="1" applyBorder="1" applyAlignment="1">
      <alignment horizontal="center"/>
    </xf>
    <xf numFmtId="0" fontId="8" fillId="4" borderId="1" xfId="0" applyFont="1" applyFill="1" applyBorder="1"/>
    <xf numFmtId="0" fontId="8" fillId="4" borderId="1" xfId="0" applyFont="1" applyFill="1" applyBorder="1" applyAlignment="1">
      <alignment horizontal="left"/>
    </xf>
    <xf numFmtId="49" fontId="8" fillId="4" borderId="1" xfId="0" applyNumberFormat="1" applyFont="1" applyFill="1" applyBorder="1" applyAlignment="1">
      <alignment horizontal="center"/>
    </xf>
    <xf numFmtId="0" fontId="8" fillId="2" borderId="1" xfId="0" applyFont="1" applyFill="1" applyBorder="1" applyAlignment="1">
      <alignment horizontal="left"/>
    </xf>
    <xf numFmtId="0" fontId="8" fillId="3" borderId="1" xfId="0" applyFont="1" applyFill="1" applyBorder="1"/>
    <xf numFmtId="0" fontId="8" fillId="3" borderId="1" xfId="0" applyFont="1" applyFill="1" applyBorder="1" applyAlignment="1">
      <alignment wrapText="1"/>
    </xf>
    <xf numFmtId="0" fontId="9" fillId="0" borderId="1" xfId="0" applyFont="1" applyBorder="1"/>
    <xf numFmtId="0" fontId="9" fillId="0" borderId="1" xfId="0" applyFont="1" applyBorder="1" applyAlignment="1">
      <alignment wrapText="1"/>
    </xf>
    <xf numFmtId="0" fontId="10" fillId="0" borderId="0" xfId="0" applyFont="1"/>
    <xf numFmtId="3" fontId="11" fillId="2" borderId="1" xfId="2" applyNumberFormat="1" applyFont="1" applyFill="1" applyBorder="1" applyAlignment="1">
      <alignment horizontal="center" vertical="center" wrapText="1"/>
    </xf>
    <xf numFmtId="3" fontId="11" fillId="3" borderId="1" xfId="2" applyNumberFormat="1" applyFont="1" applyFill="1" applyBorder="1" applyAlignment="1">
      <alignment horizontal="center" vertical="center" wrapText="1"/>
    </xf>
    <xf numFmtId="0" fontId="12" fillId="2" borderId="7" xfId="2" applyFont="1" applyFill="1" applyBorder="1" applyAlignment="1">
      <alignment horizontal="center" vertical="center" wrapText="1"/>
    </xf>
    <xf numFmtId="0" fontId="12" fillId="2" borderId="8" xfId="2" applyFont="1" applyFill="1" applyBorder="1" applyAlignment="1">
      <alignment horizontal="center" vertical="center" wrapText="1"/>
    </xf>
    <xf numFmtId="0" fontId="13" fillId="4" borderId="1" xfId="0" applyFont="1" applyFill="1" applyBorder="1" applyAlignment="1">
      <alignment horizontal="left"/>
    </xf>
    <xf numFmtId="49" fontId="9" fillId="0" borderId="0" xfId="0" applyNumberFormat="1" applyFont="1"/>
    <xf numFmtId="49" fontId="9" fillId="0" borderId="1" xfId="0" applyNumberFormat="1" applyFont="1" applyBorder="1" applyAlignment="1">
      <alignment horizontal="right"/>
    </xf>
    <xf numFmtId="49" fontId="8" fillId="3" borderId="1" xfId="0" applyNumberFormat="1" applyFont="1" applyFill="1" applyBorder="1"/>
    <xf numFmtId="49" fontId="14" fillId="0" borderId="1" xfId="0" applyNumberFormat="1" applyFont="1" applyBorder="1" applyAlignment="1">
      <alignment horizontal="right"/>
    </xf>
    <xf numFmtId="0" fontId="15" fillId="0" borderId="0" xfId="0" applyFont="1"/>
    <xf numFmtId="0" fontId="8" fillId="0" borderId="0" xfId="0" applyFont="1"/>
    <xf numFmtId="4" fontId="9" fillId="0" borderId="0" xfId="0" applyNumberFormat="1" applyFont="1"/>
    <xf numFmtId="3" fontId="8" fillId="2" borderId="1" xfId="0" applyNumberFormat="1" applyFont="1" applyFill="1" applyBorder="1" applyAlignment="1">
      <alignment horizontal="center" vertical="center"/>
    </xf>
    <xf numFmtId="165"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3" fontId="8" fillId="4" borderId="1" xfId="0" applyNumberFormat="1" applyFont="1" applyFill="1" applyBorder="1" applyAlignment="1">
      <alignment horizontal="center" vertical="center"/>
    </xf>
    <xf numFmtId="165" fontId="8" fillId="4" borderId="1" xfId="0" applyNumberFormat="1" applyFont="1" applyFill="1" applyBorder="1" applyAlignment="1">
      <alignment horizontal="center" vertical="center"/>
    </xf>
    <xf numFmtId="165" fontId="9" fillId="0" borderId="1" xfId="0" applyNumberFormat="1" applyFont="1" applyBorder="1" applyAlignment="1">
      <alignment horizontal="center" vertical="center"/>
    </xf>
    <xf numFmtId="165" fontId="8" fillId="3" borderId="1" xfId="0" applyNumberFormat="1" applyFont="1" applyFill="1" applyBorder="1" applyAlignment="1">
      <alignment horizontal="center" vertical="center"/>
    </xf>
    <xf numFmtId="165" fontId="8" fillId="3" borderId="1" xfId="0" applyNumberFormat="1" applyFont="1" applyFill="1" applyBorder="1" applyAlignment="1">
      <alignment horizontal="center" vertical="center" wrapText="1"/>
    </xf>
    <xf numFmtId="165" fontId="9" fillId="0" borderId="1" xfId="0" applyNumberFormat="1" applyFont="1" applyBorder="1" applyAlignment="1">
      <alignment horizontal="center" vertical="center" wrapText="1"/>
    </xf>
    <xf numFmtId="3" fontId="9" fillId="0" borderId="1" xfId="0" applyNumberFormat="1" applyFont="1" applyBorder="1" applyAlignment="1">
      <alignment horizontal="center" vertical="center"/>
    </xf>
    <xf numFmtId="3" fontId="8" fillId="3" borderId="1" xfId="0" applyNumberFormat="1" applyFont="1" applyFill="1" applyBorder="1" applyAlignment="1">
      <alignment horizontal="center" vertical="center"/>
    </xf>
    <xf numFmtId="3" fontId="8" fillId="3" borderId="1" xfId="0" applyNumberFormat="1" applyFont="1" applyFill="1" applyBorder="1" applyAlignment="1">
      <alignment horizontal="center" vertical="center" wrapText="1"/>
    </xf>
    <xf numFmtId="3" fontId="14" fillId="0" borderId="1" xfId="0" applyNumberFormat="1" applyFont="1" applyBorder="1" applyAlignment="1">
      <alignment horizontal="center" vertical="center"/>
    </xf>
    <xf numFmtId="3" fontId="9"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14" fillId="0" borderId="1" xfId="0" applyFont="1" applyBorder="1" applyAlignment="1">
      <alignment horizontal="center" vertical="center"/>
    </xf>
    <xf numFmtId="0" fontId="9" fillId="0" borderId="1" xfId="0" applyFont="1" applyBorder="1" applyAlignment="1">
      <alignment horizontal="center" vertical="center" wrapText="1"/>
    </xf>
    <xf numFmtId="3" fontId="16" fillId="7" borderId="9" xfId="0" applyNumberFormat="1" applyFont="1" applyFill="1" applyBorder="1" applyAlignment="1">
      <alignment horizontal="center" vertical="center"/>
    </xf>
    <xf numFmtId="165" fontId="16" fillId="7" borderId="9" xfId="0" applyNumberFormat="1" applyFont="1" applyFill="1" applyBorder="1" applyAlignment="1">
      <alignment horizontal="center" vertical="center"/>
    </xf>
    <xf numFmtId="0" fontId="16" fillId="8" borderId="9" xfId="0" applyFont="1" applyFill="1" applyBorder="1" applyAlignment="1">
      <alignment horizontal="left"/>
    </xf>
    <xf numFmtId="3" fontId="16" fillId="8" borderId="9" xfId="0" applyNumberFormat="1" applyFont="1" applyFill="1" applyBorder="1" applyAlignment="1">
      <alignment horizontal="center" vertical="center"/>
    </xf>
    <xf numFmtId="165" fontId="16" fillId="8" borderId="9" xfId="0" applyNumberFormat="1" applyFont="1" applyFill="1" applyBorder="1" applyAlignment="1">
      <alignment horizontal="center" vertical="center"/>
    </xf>
    <xf numFmtId="0" fontId="16" fillId="7" borderId="9" xfId="0" applyFont="1" applyFill="1" applyBorder="1" applyAlignment="1">
      <alignment horizontal="left" vertical="center" wrapText="1"/>
    </xf>
    <xf numFmtId="3" fontId="17" fillId="6" borderId="15" xfId="2" applyNumberFormat="1" applyFont="1" applyFill="1" applyBorder="1" applyAlignment="1">
      <alignment horizontal="center" vertical="center" wrapText="1"/>
    </xf>
    <xf numFmtId="3" fontId="17" fillId="6" borderId="11" xfId="2" applyNumberFormat="1" applyFont="1" applyFill="1" applyBorder="1" applyAlignment="1">
      <alignment horizontal="center" vertical="center" wrapText="1"/>
    </xf>
    <xf numFmtId="3" fontId="17" fillId="6" borderId="10" xfId="2" applyNumberFormat="1" applyFont="1" applyFill="1" applyBorder="1" applyAlignment="1">
      <alignment horizontal="center" vertical="center" wrapText="1"/>
    </xf>
    <xf numFmtId="3" fontId="17" fillId="6" borderId="14" xfId="2" applyNumberFormat="1" applyFont="1" applyFill="1" applyBorder="1" applyAlignment="1">
      <alignment horizontal="center" vertical="center" wrapText="1"/>
    </xf>
    <xf numFmtId="10" fontId="9" fillId="0" borderId="0" xfId="0" applyNumberFormat="1" applyFont="1"/>
    <xf numFmtId="10" fontId="11" fillId="3" borderId="1" xfId="2" applyNumberFormat="1" applyFont="1" applyFill="1" applyBorder="1" applyAlignment="1">
      <alignment horizontal="center" vertical="center" wrapText="1"/>
    </xf>
    <xf numFmtId="3" fontId="9" fillId="0" borderId="0" xfId="0" applyNumberFormat="1" applyFont="1"/>
    <xf numFmtId="3" fontId="11" fillId="2" borderId="5" xfId="2" applyNumberFormat="1" applyFont="1" applyFill="1" applyBorder="1" applyAlignment="1">
      <alignment horizontal="center" vertical="center" wrapText="1"/>
    </xf>
    <xf numFmtId="0" fontId="20" fillId="0" borderId="0" xfId="0" applyFont="1"/>
    <xf numFmtId="0" fontId="20" fillId="0" borderId="0" xfId="0" applyFont="1" applyAlignment="1">
      <alignment vertical="center"/>
    </xf>
    <xf numFmtId="0" fontId="20" fillId="0" borderId="0" xfId="0" applyFont="1" applyAlignment="1">
      <alignment horizontal="center"/>
    </xf>
    <xf numFmtId="0" fontId="27" fillId="0" borderId="0" xfId="3" applyFont="1" applyBorder="1" applyAlignment="1">
      <alignment vertical="center"/>
    </xf>
    <xf numFmtId="49" fontId="8" fillId="2" borderId="6" xfId="0" applyNumberFormat="1" applyFont="1" applyFill="1" applyBorder="1" applyAlignment="1">
      <alignment horizontal="center" vertical="center"/>
    </xf>
    <xf numFmtId="3" fontId="0" fillId="0" borderId="0" xfId="0" applyNumberFormat="1"/>
    <xf numFmtId="3" fontId="8" fillId="0" borderId="0" xfId="0" applyNumberFormat="1" applyFont="1"/>
    <xf numFmtId="3" fontId="28" fillId="0" borderId="0" xfId="0" applyNumberFormat="1" applyFont="1"/>
    <xf numFmtId="0" fontId="32" fillId="0" borderId="0" xfId="0" applyFont="1"/>
    <xf numFmtId="0" fontId="8" fillId="2" borderId="1" xfId="0" applyFont="1" applyFill="1" applyBorder="1" applyAlignment="1">
      <alignment horizontal="center" vertical="center" wrapText="1"/>
    </xf>
    <xf numFmtId="3" fontId="8" fillId="4" borderId="1" xfId="0" applyNumberFormat="1" applyFont="1" applyFill="1" applyBorder="1"/>
    <xf numFmtId="0" fontId="8" fillId="4" borderId="24" xfId="0" applyFont="1" applyFill="1" applyBorder="1" applyAlignment="1">
      <alignment horizontal="left"/>
    </xf>
    <xf numFmtId="0" fontId="8" fillId="4" borderId="26" xfId="0" applyFont="1" applyFill="1" applyBorder="1" applyAlignment="1">
      <alignment horizontal="left"/>
    </xf>
    <xf numFmtId="3" fontId="8" fillId="4" borderId="3" xfId="0" applyNumberFormat="1" applyFont="1" applyFill="1" applyBorder="1"/>
    <xf numFmtId="0" fontId="31" fillId="4" borderId="29" xfId="0" applyFont="1" applyFill="1" applyBorder="1" applyAlignment="1">
      <alignment horizontal="left"/>
    </xf>
    <xf numFmtId="0" fontId="31" fillId="4" borderId="24" xfId="0" applyFont="1" applyFill="1" applyBorder="1" applyAlignment="1">
      <alignment horizontal="left"/>
    </xf>
    <xf numFmtId="0" fontId="31" fillId="4" borderId="31" xfId="0" applyFont="1" applyFill="1" applyBorder="1" applyAlignment="1">
      <alignment horizontal="left"/>
    </xf>
    <xf numFmtId="0" fontId="31" fillId="4" borderId="33" xfId="0" applyFont="1" applyFill="1" applyBorder="1" applyAlignment="1">
      <alignment horizontal="left"/>
    </xf>
    <xf numFmtId="3" fontId="8" fillId="4" borderId="36" xfId="0" applyNumberFormat="1" applyFont="1" applyFill="1" applyBorder="1" applyAlignment="1">
      <alignment horizontal="center" vertical="center"/>
    </xf>
    <xf numFmtId="165" fontId="8" fillId="4" borderId="36" xfId="0" applyNumberFormat="1" applyFont="1" applyFill="1" applyBorder="1" applyAlignment="1">
      <alignment horizontal="center" vertical="center"/>
    </xf>
    <xf numFmtId="165" fontId="8" fillId="4" borderId="37" xfId="0" applyNumberFormat="1" applyFont="1" applyFill="1" applyBorder="1" applyAlignment="1">
      <alignment horizontal="center" vertical="center"/>
    </xf>
    <xf numFmtId="0" fontId="8" fillId="4" borderId="40" xfId="0" applyFont="1" applyFill="1" applyBorder="1" applyAlignment="1">
      <alignment horizontal="left"/>
    </xf>
    <xf numFmtId="0" fontId="30" fillId="4" borderId="2" xfId="0" applyFont="1" applyFill="1" applyBorder="1" applyAlignment="1">
      <alignment horizontal="right"/>
    </xf>
    <xf numFmtId="0" fontId="30" fillId="4" borderId="4" xfId="0" applyFont="1" applyFill="1" applyBorder="1" applyAlignment="1">
      <alignment horizontal="right"/>
    </xf>
    <xf numFmtId="0" fontId="8" fillId="4" borderId="35" xfId="0" applyFont="1" applyFill="1" applyBorder="1" applyAlignment="1">
      <alignment horizontal="right" vertical="center"/>
    </xf>
    <xf numFmtId="0" fontId="8" fillId="2" borderId="38" xfId="0" applyFont="1" applyFill="1" applyBorder="1"/>
    <xf numFmtId="0" fontId="8" fillId="2" borderId="0" xfId="0" applyFont="1" applyFill="1"/>
    <xf numFmtId="0" fontId="8" fillId="2" borderId="39" xfId="0" applyFont="1" applyFill="1" applyBorder="1"/>
    <xf numFmtId="0" fontId="8" fillId="2" borderId="43" xfId="0" applyFont="1" applyFill="1" applyBorder="1"/>
    <xf numFmtId="0" fontId="8" fillId="2" borderId="44" xfId="0" applyFont="1" applyFill="1" applyBorder="1"/>
    <xf numFmtId="0" fontId="8" fillId="2" borderId="45" xfId="0" applyFont="1" applyFill="1" applyBorder="1"/>
    <xf numFmtId="0" fontId="12" fillId="2" borderId="1" xfId="2" applyFont="1" applyFill="1" applyBorder="1" applyAlignment="1">
      <alignment horizontal="center" vertical="center" wrapText="1"/>
    </xf>
    <xf numFmtId="16" fontId="12" fillId="3" borderId="1" xfId="2" applyNumberFormat="1" applyFont="1" applyFill="1" applyBorder="1" applyAlignment="1">
      <alignment horizontal="center" vertical="center" wrapText="1"/>
    </xf>
    <xf numFmtId="0" fontId="12" fillId="3" borderId="1" xfId="2" applyFont="1" applyFill="1" applyBorder="1" applyAlignment="1">
      <alignment horizontal="center" vertical="center" wrapText="1"/>
    </xf>
    <xf numFmtId="0" fontId="8" fillId="4" borderId="1" xfId="0" applyFont="1" applyFill="1" applyBorder="1" applyAlignment="1">
      <alignment horizontal="left" vertical="center"/>
    </xf>
    <xf numFmtId="49" fontId="34" fillId="0" borderId="1" xfId="0" applyNumberFormat="1" applyFont="1" applyBorder="1" applyAlignment="1">
      <alignment horizontal="right"/>
    </xf>
    <xf numFmtId="0" fontId="34" fillId="0" borderId="1" xfId="0" applyFont="1" applyBorder="1" applyAlignment="1">
      <alignment wrapText="1"/>
    </xf>
    <xf numFmtId="0" fontId="34" fillId="0" borderId="1" xfId="0" applyFont="1" applyBorder="1"/>
    <xf numFmtId="0" fontId="34" fillId="0" borderId="1" xfId="0" applyFont="1" applyBorder="1" applyAlignment="1">
      <alignment horizontal="center" vertical="center"/>
    </xf>
    <xf numFmtId="3" fontId="34" fillId="0" borderId="1" xfId="0" applyNumberFormat="1" applyFont="1" applyBorder="1" applyAlignment="1">
      <alignment horizontal="center" vertical="center"/>
    </xf>
    <xf numFmtId="165" fontId="34" fillId="0" borderId="1" xfId="0" applyNumberFormat="1" applyFont="1" applyBorder="1" applyAlignment="1">
      <alignment horizontal="center" vertical="center"/>
    </xf>
    <xf numFmtId="0" fontId="14" fillId="0" borderId="0" xfId="0" applyFont="1"/>
    <xf numFmtId="0" fontId="8" fillId="2" borderId="1" xfId="0" applyFont="1" applyFill="1" applyBorder="1" applyAlignment="1">
      <alignment horizontal="center"/>
    </xf>
    <xf numFmtId="49" fontId="8" fillId="2" borderId="1" xfId="0" applyNumberFormat="1" applyFont="1" applyFill="1" applyBorder="1"/>
    <xf numFmtId="3" fontId="12" fillId="3" borderId="1" xfId="2" applyNumberFormat="1" applyFont="1" applyFill="1" applyBorder="1" applyAlignment="1">
      <alignment horizontal="center" vertical="center" wrapText="1"/>
    </xf>
    <xf numFmtId="10" fontId="12" fillId="3" borderId="1" xfId="2" applyNumberFormat="1" applyFont="1" applyFill="1" applyBorder="1" applyAlignment="1">
      <alignment horizontal="center" vertical="center" wrapText="1"/>
    </xf>
    <xf numFmtId="49" fontId="8" fillId="4" borderId="1" xfId="0" applyNumberFormat="1" applyFont="1" applyFill="1" applyBorder="1"/>
    <xf numFmtId="165" fontId="11" fillId="2" borderId="1" xfId="2" applyNumberFormat="1" applyFont="1" applyFill="1" applyBorder="1" applyAlignment="1">
      <alignment horizontal="center" vertical="center" wrapText="1"/>
    </xf>
    <xf numFmtId="165" fontId="12" fillId="2" borderId="1" xfId="2" applyNumberFormat="1" applyFont="1" applyFill="1" applyBorder="1" applyAlignment="1">
      <alignment horizontal="center" vertical="center" wrapText="1"/>
    </xf>
    <xf numFmtId="165" fontId="0" fillId="0" borderId="0" xfId="0" applyNumberFormat="1"/>
    <xf numFmtId="1" fontId="9" fillId="0" borderId="0" xfId="0" applyNumberFormat="1" applyFont="1"/>
    <xf numFmtId="1" fontId="11" fillId="3" borderId="1" xfId="2" applyNumberFormat="1" applyFont="1" applyFill="1" applyBorder="1" applyAlignment="1">
      <alignment horizontal="center" vertical="center" wrapText="1"/>
    </xf>
    <xf numFmtId="1" fontId="12" fillId="3" borderId="1" xfId="2" applyNumberFormat="1" applyFont="1" applyFill="1" applyBorder="1" applyAlignment="1">
      <alignment horizontal="center" vertical="center" wrapText="1"/>
    </xf>
    <xf numFmtId="0" fontId="22" fillId="9" borderId="1" xfId="0" applyFont="1" applyFill="1" applyBorder="1"/>
    <xf numFmtId="165" fontId="20" fillId="9" borderId="1" xfId="0" applyNumberFormat="1" applyFont="1" applyFill="1" applyBorder="1" applyAlignment="1">
      <alignment horizontal="center"/>
    </xf>
    <xf numFmtId="0" fontId="21" fillId="9" borderId="1" xfId="0" applyFont="1" applyFill="1" applyBorder="1" applyAlignment="1">
      <alignment horizontal="right" vertical="center"/>
    </xf>
    <xf numFmtId="0" fontId="20" fillId="9" borderId="1" xfId="0" applyFont="1" applyFill="1" applyBorder="1"/>
    <xf numFmtId="4" fontId="21" fillId="5" borderId="1" xfId="0" applyNumberFormat="1" applyFont="1" applyFill="1" applyBorder="1" applyAlignment="1">
      <alignment horizontal="center"/>
    </xf>
    <xf numFmtId="165" fontId="38" fillId="9" borderId="1" xfId="0" applyNumberFormat="1" applyFont="1" applyFill="1" applyBorder="1" applyAlignment="1">
      <alignment horizontal="center"/>
    </xf>
    <xf numFmtId="0" fontId="19" fillId="0" borderId="0" xfId="0" applyFont="1" applyAlignment="1">
      <alignment vertical="center" readingOrder="1"/>
    </xf>
    <xf numFmtId="0" fontId="8" fillId="10" borderId="1" xfId="0" applyFont="1" applyFill="1" applyBorder="1"/>
    <xf numFmtId="0" fontId="8" fillId="10" borderId="1" xfId="0" applyFont="1" applyFill="1" applyBorder="1" applyAlignment="1">
      <alignment horizontal="center"/>
    </xf>
    <xf numFmtId="0" fontId="8" fillId="10" borderId="1" xfId="0" applyFont="1" applyFill="1" applyBorder="1" applyAlignment="1">
      <alignment horizontal="left"/>
    </xf>
    <xf numFmtId="0" fontId="0" fillId="10" borderId="1" xfId="0" applyFill="1" applyBorder="1"/>
    <xf numFmtId="165" fontId="0" fillId="10" borderId="1" xfId="0" applyNumberFormat="1" applyFill="1" applyBorder="1"/>
    <xf numFmtId="0" fontId="39" fillId="4" borderId="1" xfId="0" applyFont="1" applyFill="1" applyBorder="1" applyAlignment="1">
      <alignment horizontal="left" vertical="center"/>
    </xf>
    <xf numFmtId="3" fontId="39" fillId="4" borderId="1" xfId="0" applyNumberFormat="1" applyFont="1" applyFill="1" applyBorder="1" applyAlignment="1">
      <alignment horizontal="center" vertical="center"/>
    </xf>
    <xf numFmtId="165" fontId="39" fillId="4" borderId="1" xfId="0" applyNumberFormat="1" applyFont="1" applyFill="1" applyBorder="1" applyAlignment="1">
      <alignment horizontal="center" vertical="center"/>
    </xf>
    <xf numFmtId="0" fontId="36" fillId="8" borderId="1" xfId="0" applyFont="1" applyFill="1" applyBorder="1" applyAlignment="1">
      <alignment horizontal="center" vertical="center" wrapText="1"/>
    </xf>
    <xf numFmtId="0" fontId="37" fillId="8" borderId="1" xfId="0" applyFont="1" applyFill="1" applyBorder="1" applyAlignment="1">
      <alignment horizontal="center" vertical="center" wrapText="1"/>
    </xf>
    <xf numFmtId="4" fontId="20" fillId="5" borderId="1" xfId="0" applyNumberFormat="1" applyFont="1" applyFill="1" applyBorder="1" applyAlignment="1">
      <alignment horizontal="center" vertical="center"/>
    </xf>
    <xf numFmtId="0" fontId="12" fillId="3" borderId="1" xfId="0" applyFont="1" applyFill="1" applyBorder="1" applyAlignment="1">
      <alignment horizontal="center"/>
    </xf>
    <xf numFmtId="49" fontId="13" fillId="2" borderId="1" xfId="0" applyNumberFormat="1" applyFont="1" applyFill="1" applyBorder="1" applyAlignment="1">
      <alignment horizontal="center"/>
    </xf>
    <xf numFmtId="0" fontId="13" fillId="2" borderId="1" xfId="2" applyFont="1" applyFill="1" applyBorder="1" applyAlignment="1">
      <alignment horizontal="center" vertical="center" wrapText="1"/>
    </xf>
    <xf numFmtId="49" fontId="13" fillId="2" borderId="7" xfId="0" applyNumberFormat="1" applyFont="1" applyFill="1" applyBorder="1" applyAlignment="1">
      <alignment horizontal="center" vertical="center"/>
    </xf>
    <xf numFmtId="0" fontId="13" fillId="2" borderId="7" xfId="2" applyFont="1" applyFill="1" applyBorder="1" applyAlignment="1">
      <alignment horizontal="center" vertical="center" wrapText="1"/>
    </xf>
    <xf numFmtId="0" fontId="14" fillId="0" borderId="1" xfId="0" applyFont="1" applyBorder="1" applyAlignment="1">
      <alignment wrapText="1"/>
    </xf>
    <xf numFmtId="49" fontId="9" fillId="0" borderId="0" xfId="0" applyNumberFormat="1" applyFont="1" applyProtection="1">
      <protection locked="0"/>
    </xf>
    <xf numFmtId="0" fontId="9" fillId="0" borderId="0" xfId="0" applyFont="1" applyProtection="1">
      <protection locked="0"/>
    </xf>
    <xf numFmtId="3" fontId="9" fillId="0" borderId="0" xfId="0" applyNumberFormat="1" applyFont="1" applyProtection="1">
      <protection locked="0"/>
    </xf>
    <xf numFmtId="49" fontId="9" fillId="0" borderId="0" xfId="0" applyNumberFormat="1" applyFont="1" applyAlignment="1" applyProtection="1">
      <alignment horizontal="center" wrapText="1"/>
      <protection locked="0"/>
    </xf>
    <xf numFmtId="49" fontId="8" fillId="2" borderId="1" xfId="0" applyNumberFormat="1" applyFont="1" applyFill="1" applyBorder="1" applyAlignment="1">
      <alignment horizontal="center" vertical="center"/>
    </xf>
    <xf numFmtId="49" fontId="9" fillId="0" borderId="0" xfId="0" applyNumberFormat="1" applyFont="1" applyAlignment="1" applyProtection="1">
      <alignment wrapText="1"/>
      <protection locked="0"/>
    </xf>
    <xf numFmtId="0" fontId="10" fillId="0" borderId="0" xfId="0" applyFont="1" applyAlignment="1">
      <alignment horizontal="center" vertical="center"/>
    </xf>
    <xf numFmtId="0" fontId="10" fillId="0" borderId="0" xfId="0" applyFont="1" applyAlignment="1">
      <alignment vertical="center"/>
    </xf>
    <xf numFmtId="0" fontId="8" fillId="3" borderId="1" xfId="0" applyFont="1" applyFill="1" applyBorder="1" applyAlignment="1">
      <alignment vertical="center"/>
    </xf>
    <xf numFmtId="0" fontId="8" fillId="3" borderId="50" xfId="0" applyFont="1" applyFill="1" applyBorder="1" applyAlignment="1">
      <alignment vertical="center"/>
    </xf>
    <xf numFmtId="0" fontId="8" fillId="3" borderId="51" xfId="0" applyFont="1" applyFill="1" applyBorder="1" applyAlignment="1">
      <alignment vertical="center"/>
    </xf>
    <xf numFmtId="0" fontId="8" fillId="3" borderId="49" xfId="0" applyFont="1" applyFill="1" applyBorder="1" applyAlignment="1">
      <alignment vertical="center"/>
    </xf>
    <xf numFmtId="3" fontId="9" fillId="13" borderId="1" xfId="0" applyNumberFormat="1" applyFont="1" applyFill="1" applyBorder="1" applyAlignment="1">
      <alignment horizontal="center" vertical="center"/>
    </xf>
    <xf numFmtId="4" fontId="15" fillId="0" borderId="0" xfId="0" applyNumberFormat="1" applyFont="1"/>
    <xf numFmtId="49" fontId="9" fillId="0" borderId="0" xfId="0" applyNumberFormat="1" applyFont="1" applyAlignment="1">
      <alignment horizontal="center" wrapText="1"/>
    </xf>
    <xf numFmtId="0" fontId="10" fillId="0" borderId="0" xfId="0" applyFont="1" applyAlignment="1">
      <alignment horizontal="left" wrapText="1"/>
    </xf>
    <xf numFmtId="0" fontId="9" fillId="0" borderId="0" xfId="0" applyFont="1" applyAlignment="1">
      <alignment horizontal="center" wrapText="1"/>
    </xf>
    <xf numFmtId="0" fontId="28" fillId="0" borderId="0" xfId="0" applyFont="1" applyAlignment="1">
      <alignment horizontal="center" wrapText="1"/>
    </xf>
    <xf numFmtId="49" fontId="8" fillId="2" borderId="1" xfId="0" applyNumberFormat="1"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14" borderId="1" xfId="0"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49" fontId="29" fillId="3" borderId="1" xfId="0" applyNumberFormat="1" applyFont="1" applyFill="1" applyBorder="1" applyAlignment="1">
      <alignment horizontal="center" vertical="center" wrapText="1"/>
    </xf>
    <xf numFmtId="49" fontId="8" fillId="14"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wrapText="1"/>
    </xf>
    <xf numFmtId="0" fontId="8" fillId="3" borderId="1" xfId="0" applyFont="1" applyFill="1" applyBorder="1" applyAlignment="1">
      <alignment horizontal="left" vertical="center" wrapText="1"/>
    </xf>
    <xf numFmtId="0" fontId="8" fillId="3" borderId="1" xfId="0" applyFont="1" applyFill="1" applyBorder="1" applyAlignment="1">
      <alignment horizontal="center" wrapText="1"/>
    </xf>
    <xf numFmtId="0" fontId="29" fillId="3" borderId="1" xfId="0" applyFont="1" applyFill="1" applyBorder="1" applyAlignment="1">
      <alignment horizontal="center" wrapText="1"/>
    </xf>
    <xf numFmtId="0" fontId="9" fillId="5"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pplyProtection="1">
      <alignment horizontal="left" wrapText="1"/>
      <protection locked="0"/>
    </xf>
    <xf numFmtId="0" fontId="9" fillId="0" borderId="0" xfId="0" applyFont="1" applyAlignment="1" applyProtection="1">
      <alignment horizontal="center" wrapText="1"/>
      <protection locked="0"/>
    </xf>
    <xf numFmtId="0" fontId="28" fillId="0" borderId="0" xfId="0" applyFont="1" applyAlignment="1" applyProtection="1">
      <alignment horizontal="center" wrapText="1"/>
      <protection locked="0"/>
    </xf>
    <xf numFmtId="0" fontId="9" fillId="0" borderId="0" xfId="0" applyFont="1" applyAlignment="1">
      <alignment horizontal="left" wrapText="1"/>
    </xf>
    <xf numFmtId="0" fontId="8" fillId="4" borderId="1" xfId="0" applyFont="1" applyFill="1" applyBorder="1" applyAlignment="1">
      <alignment horizontal="center" vertical="center"/>
    </xf>
    <xf numFmtId="3" fontId="46" fillId="0" borderId="1" xfId="0" applyNumberFormat="1" applyFont="1" applyBorder="1" applyAlignment="1">
      <alignment horizontal="center" vertical="center"/>
    </xf>
    <xf numFmtId="165" fontId="46" fillId="0" borderId="1" xfId="0" applyNumberFormat="1" applyFont="1" applyBorder="1" applyAlignment="1">
      <alignment horizontal="center" vertical="center"/>
    </xf>
    <xf numFmtId="3" fontId="46" fillId="0" borderId="1" xfId="0" applyNumberFormat="1" applyFont="1" applyBorder="1" applyAlignment="1">
      <alignment horizontal="center" vertical="center" wrapText="1"/>
    </xf>
    <xf numFmtId="165" fontId="46" fillId="0" borderId="1" xfId="0" applyNumberFormat="1" applyFont="1" applyBorder="1" applyAlignment="1">
      <alignment horizontal="center" vertical="center" wrapText="1"/>
    </xf>
    <xf numFmtId="3" fontId="30" fillId="3" borderId="1" xfId="0" applyNumberFormat="1" applyFont="1" applyFill="1" applyBorder="1" applyAlignment="1">
      <alignment horizontal="center" vertical="center"/>
    </xf>
    <xf numFmtId="165" fontId="30" fillId="3" borderId="1" xfId="0" applyNumberFormat="1" applyFont="1" applyFill="1" applyBorder="1" applyAlignment="1">
      <alignment horizontal="center" vertical="center"/>
    </xf>
    <xf numFmtId="3" fontId="30" fillId="3" borderId="1" xfId="0" applyNumberFormat="1" applyFont="1" applyFill="1" applyBorder="1" applyAlignment="1">
      <alignment horizontal="center" vertical="center" wrapText="1"/>
    </xf>
    <xf numFmtId="165" fontId="30" fillId="3" borderId="1" xfId="0" applyNumberFormat="1" applyFont="1" applyFill="1" applyBorder="1" applyAlignment="1">
      <alignment horizontal="center" vertical="center" wrapText="1"/>
    </xf>
    <xf numFmtId="165" fontId="47" fillId="0" borderId="1" xfId="0" applyNumberFormat="1" applyFont="1" applyBorder="1" applyAlignment="1">
      <alignment horizontal="center" vertical="center"/>
    </xf>
    <xf numFmtId="3" fontId="48" fillId="0" borderId="1" xfId="0" applyNumberFormat="1" applyFont="1" applyBorder="1" applyAlignment="1">
      <alignment horizontal="center" vertical="center"/>
    </xf>
    <xf numFmtId="165" fontId="48" fillId="0" borderId="1" xfId="0" applyNumberFormat="1" applyFont="1" applyBorder="1" applyAlignment="1">
      <alignment horizontal="center" vertical="center"/>
    </xf>
    <xf numFmtId="3" fontId="47" fillId="0" borderId="1" xfId="0" applyNumberFormat="1" applyFont="1" applyBorder="1" applyAlignment="1">
      <alignment horizontal="center" vertical="center"/>
    </xf>
    <xf numFmtId="3" fontId="30" fillId="4" borderId="1" xfId="0" applyNumberFormat="1" applyFont="1" applyFill="1" applyBorder="1" applyAlignment="1">
      <alignment horizontal="center" vertical="center"/>
    </xf>
    <xf numFmtId="165" fontId="30" fillId="4" borderId="1" xfId="0" applyNumberFormat="1" applyFont="1" applyFill="1" applyBorder="1" applyAlignment="1">
      <alignment horizontal="center" vertical="center"/>
    </xf>
    <xf numFmtId="165" fontId="49" fillId="4" borderId="1" xfId="0" applyNumberFormat="1" applyFont="1" applyFill="1" applyBorder="1" applyAlignment="1">
      <alignment horizontal="center" vertical="center"/>
    </xf>
    <xf numFmtId="3" fontId="49" fillId="4" borderId="1" xfId="0" applyNumberFormat="1" applyFont="1" applyFill="1" applyBorder="1" applyAlignment="1">
      <alignment horizontal="center" vertical="center"/>
    </xf>
    <xf numFmtId="3" fontId="30" fillId="2" borderId="1" xfId="0" applyNumberFormat="1" applyFont="1" applyFill="1" applyBorder="1" applyAlignment="1">
      <alignment horizontal="center" vertical="center"/>
    </xf>
    <xf numFmtId="165" fontId="30" fillId="2" borderId="1" xfId="0" applyNumberFormat="1" applyFont="1" applyFill="1" applyBorder="1" applyAlignment="1">
      <alignment horizontal="center" vertical="center"/>
    </xf>
    <xf numFmtId="41" fontId="30" fillId="4" borderId="1" xfId="0" applyNumberFormat="1" applyFont="1" applyFill="1" applyBorder="1" applyAlignment="1">
      <alignment vertical="center"/>
    </xf>
    <xf numFmtId="41" fontId="30" fillId="4" borderId="1" xfId="0" applyNumberFormat="1" applyFont="1" applyFill="1" applyBorder="1" applyAlignment="1">
      <alignment horizontal="center" vertical="center"/>
    </xf>
    <xf numFmtId="3" fontId="30" fillId="10" borderId="1" xfId="0" applyNumberFormat="1" applyFont="1" applyFill="1" applyBorder="1" applyAlignment="1">
      <alignment horizontal="center" vertical="center"/>
    </xf>
    <xf numFmtId="165" fontId="30" fillId="10" borderId="1" xfId="0" applyNumberFormat="1" applyFont="1" applyFill="1" applyBorder="1" applyAlignment="1">
      <alignment horizontal="center" vertical="center"/>
    </xf>
    <xf numFmtId="3" fontId="46" fillId="4" borderId="1" xfId="0" applyNumberFormat="1" applyFont="1" applyFill="1" applyBorder="1" applyAlignment="1">
      <alignment horizontal="center" vertical="center" wrapText="1"/>
    </xf>
    <xf numFmtId="165" fontId="46" fillId="4" borderId="1" xfId="0" applyNumberFormat="1" applyFont="1" applyFill="1" applyBorder="1" applyAlignment="1">
      <alignment horizontal="center" vertical="center" wrapText="1"/>
    </xf>
    <xf numFmtId="3" fontId="9" fillId="0" borderId="41" xfId="0" applyNumberFormat="1" applyFont="1" applyBorder="1"/>
    <xf numFmtId="165" fontId="9" fillId="0" borderId="41" xfId="0" applyNumberFormat="1" applyFont="1" applyBorder="1"/>
    <xf numFmtId="165" fontId="9" fillId="0" borderId="42" xfId="0" applyNumberFormat="1" applyFont="1" applyBorder="1"/>
    <xf numFmtId="3" fontId="9" fillId="0" borderId="19" xfId="0" applyNumberFormat="1" applyFont="1" applyBorder="1"/>
    <xf numFmtId="165" fontId="9" fillId="0" borderId="19" xfId="0" applyNumberFormat="1" applyFont="1" applyBorder="1"/>
    <xf numFmtId="165" fontId="9" fillId="0" borderId="25" xfId="0" applyNumberFormat="1" applyFont="1" applyBorder="1"/>
    <xf numFmtId="3" fontId="9" fillId="0" borderId="27" xfId="0" applyNumberFormat="1" applyFont="1" applyBorder="1"/>
    <xf numFmtId="165" fontId="9" fillId="0" borderId="27" xfId="0" applyNumberFormat="1" applyFont="1" applyBorder="1"/>
    <xf numFmtId="165" fontId="9" fillId="0" borderId="28" xfId="0" applyNumberFormat="1" applyFont="1" applyBorder="1"/>
    <xf numFmtId="165" fontId="8" fillId="4" borderId="3" xfId="0" applyNumberFormat="1" applyFont="1" applyFill="1" applyBorder="1"/>
    <xf numFmtId="165" fontId="8" fillId="4" borderId="23" xfId="0" applyNumberFormat="1" applyFont="1" applyFill="1" applyBorder="1"/>
    <xf numFmtId="3" fontId="9" fillId="0" borderId="21" xfId="0" applyNumberFormat="1" applyFont="1" applyBorder="1"/>
    <xf numFmtId="165" fontId="9" fillId="0" borderId="21" xfId="0" applyNumberFormat="1" applyFont="1" applyBorder="1"/>
    <xf numFmtId="165" fontId="9" fillId="0" borderId="30" xfId="0" applyNumberFormat="1" applyFont="1" applyBorder="1"/>
    <xf numFmtId="3" fontId="9" fillId="0" borderId="22" xfId="0" applyNumberFormat="1" applyFont="1" applyBorder="1"/>
    <xf numFmtId="165" fontId="9" fillId="0" borderId="22" xfId="0" applyNumberFormat="1" applyFont="1" applyBorder="1"/>
    <xf numFmtId="165" fontId="9" fillId="0" borderId="32" xfId="0" applyNumberFormat="1" applyFont="1" applyBorder="1"/>
    <xf numFmtId="165" fontId="8" fillId="4" borderId="1" xfId="0" applyNumberFormat="1" applyFont="1" applyFill="1" applyBorder="1"/>
    <xf numFmtId="165" fontId="8" fillId="4" borderId="5" xfId="0" applyNumberFormat="1" applyFont="1" applyFill="1" applyBorder="1"/>
    <xf numFmtId="3" fontId="9" fillId="0" borderId="20" xfId="0" applyNumberFormat="1" applyFont="1" applyBorder="1"/>
    <xf numFmtId="165" fontId="9" fillId="0" borderId="20" xfId="0" applyNumberFormat="1" applyFont="1" applyBorder="1"/>
    <xf numFmtId="165" fontId="9" fillId="0" borderId="34" xfId="0" applyNumberFormat="1" applyFont="1" applyBorder="1"/>
    <xf numFmtId="0" fontId="9" fillId="3" borderId="1" xfId="0" applyFont="1" applyFill="1" applyBorder="1" applyAlignment="1">
      <alignment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3" fontId="46" fillId="3" borderId="1" xfId="0" applyNumberFormat="1" applyFont="1" applyFill="1" applyBorder="1" applyAlignment="1">
      <alignment horizontal="center" vertical="center"/>
    </xf>
    <xf numFmtId="165" fontId="46" fillId="3" borderId="1" xfId="0" applyNumberFormat="1" applyFont="1" applyFill="1" applyBorder="1" applyAlignment="1">
      <alignment horizontal="center" vertical="center"/>
    </xf>
    <xf numFmtId="0" fontId="9" fillId="4" borderId="1" xfId="0" applyFont="1" applyFill="1" applyBorder="1" applyAlignment="1">
      <alignment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3" fontId="46" fillId="4" borderId="1" xfId="0" applyNumberFormat="1" applyFont="1" applyFill="1" applyBorder="1" applyAlignment="1">
      <alignment horizontal="center" vertical="center"/>
    </xf>
    <xf numFmtId="165" fontId="46" fillId="4" borderId="1" xfId="0" applyNumberFormat="1" applyFont="1" applyFill="1" applyBorder="1" applyAlignment="1">
      <alignment horizontal="center" vertical="center"/>
    </xf>
    <xf numFmtId="0" fontId="8" fillId="2" borderId="1" xfId="0" applyFont="1" applyFill="1" applyBorder="1" applyAlignment="1">
      <alignment wrapText="1"/>
    </xf>
    <xf numFmtId="3" fontId="30" fillId="2"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wrapText="1"/>
    </xf>
    <xf numFmtId="0" fontId="8" fillId="2" borderId="1" xfId="0" applyFont="1" applyFill="1" applyBorder="1"/>
    <xf numFmtId="0" fontId="9" fillId="3" borderId="1" xfId="0" applyFont="1" applyFill="1" applyBorder="1" applyAlignment="1">
      <alignment vertical="top" wrapText="1"/>
    </xf>
    <xf numFmtId="0" fontId="35" fillId="4" borderId="1" xfId="0" applyFont="1" applyFill="1" applyBorder="1" applyAlignment="1">
      <alignment wrapText="1"/>
    </xf>
    <xf numFmtId="0" fontId="34" fillId="4" borderId="1" xfId="0" applyFont="1" applyFill="1" applyBorder="1" applyAlignment="1">
      <alignment horizontal="center" vertical="center"/>
    </xf>
    <xf numFmtId="165" fontId="47" fillId="4" borderId="1" xfId="0" applyNumberFormat="1" applyFont="1" applyFill="1" applyBorder="1" applyAlignment="1">
      <alignment horizontal="center" vertical="center"/>
    </xf>
    <xf numFmtId="3" fontId="9" fillId="4" borderId="1" xfId="0" applyNumberFormat="1" applyFont="1" applyFill="1" applyBorder="1" applyAlignment="1">
      <alignment horizontal="center" vertical="center"/>
    </xf>
    <xf numFmtId="3" fontId="9" fillId="3" borderId="1" xfId="0" applyNumberFormat="1" applyFont="1" applyFill="1" applyBorder="1" applyAlignment="1">
      <alignment horizontal="center" vertical="center"/>
    </xf>
    <xf numFmtId="3" fontId="47" fillId="4" borderId="1" xfId="0" applyNumberFormat="1" applyFont="1" applyFill="1" applyBorder="1" applyAlignment="1">
      <alignment horizontal="center" vertical="center"/>
    </xf>
    <xf numFmtId="3" fontId="47" fillId="3" borderId="1" xfId="0" applyNumberFormat="1" applyFont="1" applyFill="1" applyBorder="1" applyAlignment="1">
      <alignment horizontal="center" vertical="center"/>
    </xf>
    <xf numFmtId="165" fontId="47" fillId="3" borderId="1" xfId="0" applyNumberFormat="1" applyFont="1" applyFill="1" applyBorder="1" applyAlignment="1">
      <alignment horizontal="center" vertical="center"/>
    </xf>
    <xf numFmtId="0" fontId="9" fillId="3" borderId="1" xfId="0" applyFont="1" applyFill="1" applyBorder="1" applyAlignment="1">
      <alignment horizontal="left" vertical="top" wrapText="1"/>
    </xf>
    <xf numFmtId="3" fontId="9" fillId="0" borderId="0" xfId="0" applyNumberFormat="1" applyFont="1" applyAlignment="1">
      <alignment horizontal="center" vertical="center"/>
    </xf>
    <xf numFmtId="165" fontId="9" fillId="0" borderId="0" xfId="0" applyNumberFormat="1" applyFont="1" applyAlignment="1">
      <alignment horizontal="center" vertical="center"/>
    </xf>
    <xf numFmtId="0" fontId="10" fillId="0" borderId="0" xfId="0" applyFont="1" applyAlignment="1">
      <alignment horizontal="center"/>
    </xf>
    <xf numFmtId="0" fontId="9" fillId="4" borderId="1" xfId="0" applyFont="1" applyFill="1" applyBorder="1" applyAlignment="1">
      <alignment horizontal="left" vertical="center"/>
    </xf>
    <xf numFmtId="0" fontId="46" fillId="4" borderId="1" xfId="0" applyFont="1" applyFill="1" applyBorder="1" applyAlignment="1">
      <alignment horizontal="left" vertical="center" wrapText="1"/>
    </xf>
    <xf numFmtId="0" fontId="9" fillId="0" borderId="1" xfId="0" applyFont="1" applyBorder="1" applyAlignment="1">
      <alignment horizontal="left" vertical="center"/>
    </xf>
    <xf numFmtId="0" fontId="46" fillId="0" borderId="1" xfId="0" applyFont="1" applyBorder="1" applyAlignment="1">
      <alignment horizontal="left" vertical="center" wrapText="1"/>
    </xf>
    <xf numFmtId="0" fontId="46" fillId="0" borderId="1" xfId="0" applyFont="1" applyBorder="1" applyAlignment="1">
      <alignment horizontal="left" vertical="center"/>
    </xf>
    <xf numFmtId="49" fontId="8" fillId="2" borderId="1" xfId="0" applyNumberFormat="1" applyFont="1" applyFill="1" applyBorder="1" applyAlignment="1">
      <alignment vertical="center"/>
    </xf>
    <xf numFmtId="0" fontId="8" fillId="2" borderId="1" xfId="0" applyFont="1" applyFill="1" applyBorder="1" applyAlignment="1">
      <alignment vertical="center" wrapText="1"/>
    </xf>
    <xf numFmtId="49" fontId="8" fillId="3" borderId="1" xfId="0" applyNumberFormat="1" applyFont="1" applyFill="1" applyBorder="1" applyAlignment="1">
      <alignment vertical="center"/>
    </xf>
    <xf numFmtId="0" fontId="9" fillId="3" borderId="1" xfId="0" applyFont="1" applyFill="1" applyBorder="1" applyAlignment="1">
      <alignment vertical="center" wrapText="1"/>
    </xf>
    <xf numFmtId="49" fontId="8" fillId="4" borderId="1" xfId="0" applyNumberFormat="1" applyFont="1" applyFill="1" applyBorder="1" applyAlignment="1">
      <alignment vertical="center"/>
    </xf>
    <xf numFmtId="0" fontId="9" fillId="4" borderId="1" xfId="0" applyFont="1" applyFill="1" applyBorder="1" applyAlignment="1">
      <alignment vertical="center" wrapText="1"/>
    </xf>
    <xf numFmtId="49" fontId="9" fillId="0" borderId="1" xfId="0" applyNumberFormat="1" applyFont="1" applyBorder="1" applyAlignment="1">
      <alignment horizontal="right" vertical="center"/>
    </xf>
    <xf numFmtId="0" fontId="9" fillId="0" borderId="1" xfId="0" applyFont="1" applyBorder="1" applyAlignment="1">
      <alignment vertical="center" wrapText="1"/>
    </xf>
    <xf numFmtId="49" fontId="8" fillId="0" borderId="1" xfId="0" applyNumberFormat="1" applyFont="1" applyBorder="1" applyAlignment="1">
      <alignment vertical="center"/>
    </xf>
    <xf numFmtId="49" fontId="13" fillId="4" borderId="1" xfId="0" applyNumberFormat="1" applyFont="1" applyFill="1" applyBorder="1" applyAlignment="1">
      <alignment vertical="center"/>
    </xf>
    <xf numFmtId="49" fontId="34" fillId="0" borderId="1" xfId="0" applyNumberFormat="1" applyFont="1" applyBorder="1" applyAlignment="1">
      <alignment horizontal="right" vertical="center"/>
    </xf>
    <xf numFmtId="0" fontId="34" fillId="0" borderId="1" xfId="0" applyFont="1" applyBorder="1" applyAlignment="1">
      <alignment vertical="center" wrapText="1"/>
    </xf>
    <xf numFmtId="0" fontId="8" fillId="2" borderId="1" xfId="0" applyFont="1" applyFill="1" applyBorder="1" applyAlignment="1">
      <alignment vertical="center"/>
    </xf>
    <xf numFmtId="49" fontId="14" fillId="0" borderId="1" xfId="0" applyNumberFormat="1" applyFont="1" applyBorder="1" applyAlignment="1">
      <alignment horizontal="right" vertical="center"/>
    </xf>
    <xf numFmtId="0" fontId="14" fillId="0" borderId="1" xfId="0" applyFont="1" applyBorder="1" applyAlignment="1">
      <alignment vertical="center" wrapText="1"/>
    </xf>
    <xf numFmtId="0" fontId="9" fillId="3" borderId="1" xfId="0" applyFont="1" applyFill="1" applyBorder="1" applyAlignment="1">
      <alignment horizontal="left" vertical="center" wrapText="1"/>
    </xf>
    <xf numFmtId="49" fontId="9" fillId="0" borderId="1" xfId="0" applyNumberFormat="1" applyFont="1" applyBorder="1" applyAlignment="1">
      <alignment vertical="center"/>
    </xf>
    <xf numFmtId="49" fontId="46" fillId="0" borderId="0" xfId="0" applyNumberFormat="1" applyFont="1" applyAlignment="1">
      <alignment horizontal="left" vertical="center"/>
    </xf>
    <xf numFmtId="49" fontId="46" fillId="0" borderId="0" xfId="0" applyNumberFormat="1" applyFont="1" applyAlignment="1">
      <alignment vertical="center"/>
    </xf>
    <xf numFmtId="49" fontId="28" fillId="0" borderId="0" xfId="0" applyNumberFormat="1" applyFont="1"/>
    <xf numFmtId="0" fontId="8" fillId="3" borderId="50" xfId="0" applyFont="1" applyFill="1" applyBorder="1" applyAlignment="1">
      <alignment horizontal="center" vertical="center"/>
    </xf>
    <xf numFmtId="0" fontId="51" fillId="0" borderId="0" xfId="20051"/>
    <xf numFmtId="4" fontId="52" fillId="15" borderId="63" xfId="20051" applyNumberFormat="1" applyFont="1" applyFill="1" applyBorder="1" applyAlignment="1">
      <alignment horizontal="right" vertical="center"/>
    </xf>
    <xf numFmtId="0" fontId="53" fillId="15" borderId="64" xfId="20051" applyFont="1" applyFill="1" applyBorder="1" applyAlignment="1">
      <alignment horizontal="left" vertical="center" wrapText="1"/>
    </xf>
    <xf numFmtId="0" fontId="54" fillId="16" borderId="65" xfId="20051" applyFont="1" applyFill="1" applyBorder="1" applyAlignment="1">
      <alignment horizontal="center" wrapText="1"/>
    </xf>
    <xf numFmtId="0" fontId="54" fillId="16" borderId="66" xfId="20051" applyFont="1" applyFill="1" applyBorder="1" applyAlignment="1">
      <alignment horizontal="left" vertical="center" wrapText="1"/>
    </xf>
    <xf numFmtId="0" fontId="55" fillId="0" borderId="0" xfId="20051" applyFont="1" applyAlignment="1">
      <alignment vertical="top"/>
    </xf>
    <xf numFmtId="0" fontId="57" fillId="0" borderId="0" xfId="20051" applyFont="1" applyAlignment="1">
      <alignment vertical="top"/>
    </xf>
    <xf numFmtId="0" fontId="9" fillId="0" borderId="1" xfId="0" applyFont="1" applyBorder="1" applyAlignment="1">
      <alignment horizontal="left" vertical="top" wrapText="1"/>
    </xf>
    <xf numFmtId="0" fontId="9" fillId="3" borderId="1" xfId="0" applyFont="1" applyFill="1" applyBorder="1" applyAlignment="1">
      <alignment horizontal="left" vertical="top"/>
    </xf>
    <xf numFmtId="0" fontId="9" fillId="4" borderId="1" xfId="0" applyFont="1" applyFill="1" applyBorder="1" applyAlignment="1">
      <alignment horizontal="left" vertical="top"/>
    </xf>
    <xf numFmtId="0" fontId="9" fillId="0" borderId="1" xfId="0" applyFont="1" applyBorder="1" applyAlignment="1">
      <alignment horizontal="left" vertical="top"/>
    </xf>
    <xf numFmtId="0" fontId="8" fillId="2" borderId="1" xfId="0" applyFont="1" applyFill="1" applyBorder="1" applyAlignment="1">
      <alignment horizontal="left" vertical="top"/>
    </xf>
    <xf numFmtId="0" fontId="8" fillId="2" borderId="1" xfId="0" applyFont="1" applyFill="1" applyBorder="1" applyAlignment="1">
      <alignment horizontal="left" vertical="top" wrapText="1"/>
    </xf>
    <xf numFmtId="0" fontId="34" fillId="4" borderId="1" xfId="0" applyFont="1" applyFill="1" applyBorder="1" applyAlignment="1">
      <alignment horizontal="left" vertical="top"/>
    </xf>
    <xf numFmtId="0" fontId="34" fillId="0" borderId="1" xfId="0" applyFont="1" applyBorder="1" applyAlignment="1">
      <alignment horizontal="left" vertical="top"/>
    </xf>
    <xf numFmtId="0" fontId="14" fillId="0" borderId="1" xfId="0" applyFont="1" applyBorder="1" applyAlignment="1">
      <alignment horizontal="left" vertical="top"/>
    </xf>
    <xf numFmtId="49" fontId="9" fillId="17" borderId="1" xfId="0" applyNumberFormat="1" applyFont="1" applyFill="1" applyBorder="1"/>
    <xf numFmtId="0" fontId="9" fillId="17" borderId="1" xfId="0" applyFont="1" applyFill="1" applyBorder="1" applyAlignment="1">
      <alignment wrapText="1"/>
    </xf>
    <xf numFmtId="49" fontId="9" fillId="17" borderId="1" xfId="0" applyNumberFormat="1" applyFont="1" applyFill="1" applyBorder="1" applyAlignment="1">
      <alignment horizontal="right"/>
    </xf>
    <xf numFmtId="0" fontId="30" fillId="4" borderId="4" xfId="0" applyFont="1" applyFill="1" applyBorder="1" applyAlignment="1">
      <alignment horizontal="left" wrapText="1"/>
    </xf>
    <xf numFmtId="3" fontId="8" fillId="4" borderId="1" xfId="0" applyNumberFormat="1" applyFont="1" applyFill="1" applyBorder="1" applyAlignment="1">
      <alignment vertical="center"/>
    </xf>
    <xf numFmtId="3" fontId="8" fillId="4" borderId="1" xfId="0" applyNumberFormat="1" applyFont="1" applyFill="1" applyBorder="1" applyAlignment="1">
      <alignment horizontal="right" vertical="center"/>
    </xf>
    <xf numFmtId="165" fontId="8" fillId="4" borderId="1" xfId="0" applyNumberFormat="1" applyFont="1" applyFill="1" applyBorder="1" applyAlignment="1">
      <alignment horizontal="right" vertical="center"/>
    </xf>
    <xf numFmtId="165" fontId="8" fillId="4" borderId="5" xfId="0" applyNumberFormat="1" applyFont="1" applyFill="1" applyBorder="1" applyAlignment="1">
      <alignment horizontal="right" vertical="center"/>
    </xf>
    <xf numFmtId="49" fontId="9" fillId="0" borderId="0" xfId="0" applyNumberFormat="1" applyFont="1" applyAlignment="1">
      <alignment wrapText="1"/>
    </xf>
    <xf numFmtId="49" fontId="34" fillId="0" borderId="0" xfId="0" applyNumberFormat="1" applyFont="1" applyAlignment="1">
      <alignment horizontal="left" vertical="top"/>
    </xf>
    <xf numFmtId="0" fontId="34" fillId="0" borderId="0" xfId="0" applyFont="1" applyAlignment="1">
      <alignment horizontal="left" vertical="top"/>
    </xf>
    <xf numFmtId="49" fontId="9" fillId="0" borderId="1" xfId="0" applyNumberFormat="1" applyFont="1" applyBorder="1"/>
    <xf numFmtId="3" fontId="60" fillId="5" borderId="1" xfId="0" applyNumberFormat="1" applyFont="1" applyFill="1" applyBorder="1" applyAlignment="1">
      <alignment horizontal="center" vertical="center"/>
    </xf>
    <xf numFmtId="0" fontId="9" fillId="0" borderId="1" xfId="0" applyFont="1" applyBorder="1" applyAlignment="1">
      <alignment horizontal="center"/>
    </xf>
    <xf numFmtId="0" fontId="61" fillId="0" borderId="1" xfId="0" applyFont="1" applyBorder="1"/>
    <xf numFmtId="3" fontId="9" fillId="5" borderId="1" xfId="0" applyNumberFormat="1" applyFont="1" applyFill="1" applyBorder="1" applyAlignment="1">
      <alignment horizontal="center" vertical="center"/>
    </xf>
    <xf numFmtId="3" fontId="15" fillId="0" borderId="0" xfId="0" applyNumberFormat="1" applyFont="1"/>
    <xf numFmtId="3" fontId="9" fillId="0" borderId="0" xfId="0" applyNumberFormat="1" applyFont="1" applyAlignment="1">
      <alignment horizontal="left" vertical="center"/>
    </xf>
    <xf numFmtId="3" fontId="9" fillId="0" borderId="0" xfId="20052" applyNumberFormat="1" applyFont="1" applyBorder="1" applyAlignment="1">
      <alignment horizontal="left" vertical="center"/>
    </xf>
    <xf numFmtId="3" fontId="9" fillId="0" borderId="0" xfId="0" applyNumberFormat="1" applyFont="1" applyAlignment="1">
      <alignment horizontal="left"/>
    </xf>
    <xf numFmtId="0" fontId="9" fillId="0" borderId="0" xfId="0" applyFont="1" applyAlignment="1">
      <alignment horizontal="left"/>
    </xf>
    <xf numFmtId="0" fontId="61" fillId="0" borderId="0" xfId="0" applyFont="1"/>
    <xf numFmtId="3" fontId="61" fillId="0" borderId="0" xfId="0" applyNumberFormat="1" applyFont="1"/>
    <xf numFmtId="0" fontId="9" fillId="0" borderId="1" xfId="0" applyFont="1" applyBorder="1" applyAlignment="1">
      <alignment horizontal="left"/>
    </xf>
    <xf numFmtId="0" fontId="64" fillId="0" borderId="1" xfId="0" applyFont="1" applyBorder="1" applyAlignment="1">
      <alignment horizontal="center"/>
    </xf>
    <xf numFmtId="3" fontId="64" fillId="0" borderId="1" xfId="0" applyNumberFormat="1" applyFont="1" applyBorder="1" applyAlignment="1">
      <alignment horizontal="center"/>
    </xf>
    <xf numFmtId="3" fontId="64" fillId="0" borderId="1" xfId="0" applyNumberFormat="1" applyFont="1" applyBorder="1"/>
    <xf numFmtId="0" fontId="64" fillId="0" borderId="1" xfId="0" applyFont="1" applyBorder="1"/>
    <xf numFmtId="0" fontId="64" fillId="0" borderId="1" xfId="0" applyFont="1" applyBorder="1" applyAlignment="1">
      <alignment horizontal="center" wrapText="1"/>
    </xf>
    <xf numFmtId="0" fontId="0" fillId="0" borderId="1" xfId="0" applyBorder="1"/>
    <xf numFmtId="3" fontId="0" fillId="0" borderId="1" xfId="0" applyNumberFormat="1" applyBorder="1"/>
    <xf numFmtId="0" fontId="65" fillId="0" borderId="1" xfId="0" applyFont="1" applyBorder="1"/>
    <xf numFmtId="0" fontId="8" fillId="0" borderId="1" xfId="0" applyFont="1" applyBorder="1"/>
    <xf numFmtId="3" fontId="8" fillId="0" borderId="1" xfId="0" applyNumberFormat="1" applyFont="1" applyBorder="1"/>
    <xf numFmtId="49" fontId="9" fillId="13" borderId="1" xfId="0" applyNumberFormat="1" applyFont="1" applyFill="1" applyBorder="1"/>
    <xf numFmtId="0" fontId="9" fillId="13" borderId="1" xfId="0" applyFont="1" applyFill="1" applyBorder="1"/>
    <xf numFmtId="49" fontId="10" fillId="0" borderId="0" xfId="0" applyNumberFormat="1" applyFont="1"/>
    <xf numFmtId="49" fontId="34" fillId="0" borderId="0" xfId="0" applyNumberFormat="1" applyFont="1"/>
    <xf numFmtId="3" fontId="9" fillId="0" borderId="1" xfId="0" applyNumberFormat="1" applyFont="1" applyBorder="1"/>
    <xf numFmtId="0" fontId="3" fillId="0" borderId="0" xfId="20053"/>
    <xf numFmtId="0" fontId="67" fillId="0" borderId="62" xfId="20053" applyFont="1" applyBorder="1" applyAlignment="1">
      <alignment horizontal="center" vertical="center" wrapText="1"/>
    </xf>
    <xf numFmtId="0" fontId="67" fillId="0" borderId="0" xfId="20053" applyFont="1"/>
    <xf numFmtId="0" fontId="18" fillId="0" borderId="1" xfId="20054" applyFont="1" applyBorder="1" applyAlignment="1">
      <alignment horizontal="center" vertical="center" wrapText="1"/>
    </xf>
    <xf numFmtId="0" fontId="69" fillId="0" borderId="1" xfId="20054" applyFont="1" applyBorder="1" applyAlignment="1">
      <alignment horizontal="center" vertical="center" wrapText="1"/>
    </xf>
    <xf numFmtId="0" fontId="69" fillId="0" borderId="0" xfId="20054" applyFont="1" applyAlignment="1">
      <alignment horizontal="center" vertical="center" wrapText="1"/>
    </xf>
    <xf numFmtId="1" fontId="70" fillId="0" borderId="1" xfId="20053" applyNumberFormat="1" applyFont="1" applyBorder="1" applyAlignment="1">
      <alignment horizontal="center" vertical="center" wrapText="1"/>
    </xf>
    <xf numFmtId="1" fontId="71" fillId="17" borderId="1" xfId="20053" applyNumberFormat="1" applyFont="1" applyFill="1" applyBorder="1" applyAlignment="1">
      <alignment horizontal="center" vertical="center" wrapText="1"/>
    </xf>
    <xf numFmtId="0" fontId="65" fillId="0" borderId="0" xfId="20053" applyFont="1" applyAlignment="1">
      <alignment horizontal="center" vertical="center"/>
    </xf>
    <xf numFmtId="0" fontId="66" fillId="0" borderId="52" xfId="20053" applyFont="1" applyBorder="1" applyAlignment="1">
      <alignment horizontal="center" vertical="center" wrapText="1"/>
    </xf>
    <xf numFmtId="0" fontId="66" fillId="0" borderId="1" xfId="20053" applyFont="1" applyBorder="1" applyAlignment="1">
      <alignment horizontal="center" vertical="center"/>
    </xf>
    <xf numFmtId="0" fontId="66" fillId="18" borderId="1" xfId="20053" applyFont="1" applyFill="1" applyBorder="1" applyAlignment="1">
      <alignment horizontal="center" vertical="center" wrapText="1"/>
    </xf>
    <xf numFmtId="0" fontId="66" fillId="19" borderId="52" xfId="20053" applyFont="1" applyFill="1" applyBorder="1" applyAlignment="1">
      <alignment horizontal="center" vertical="center" wrapText="1"/>
    </xf>
    <xf numFmtId="1" fontId="66" fillId="18" borderId="1" xfId="20053" applyNumberFormat="1" applyFont="1" applyFill="1" applyBorder="1" applyAlignment="1">
      <alignment horizontal="center" vertical="center" wrapText="1"/>
    </xf>
    <xf numFmtId="1" fontId="66" fillId="19" borderId="1" xfId="20053" applyNumberFormat="1" applyFont="1" applyFill="1" applyBorder="1" applyAlignment="1">
      <alignment horizontal="center" vertical="center" wrapText="1"/>
    </xf>
    <xf numFmtId="1" fontId="66" fillId="0" borderId="1" xfId="20053" applyNumberFormat="1" applyFont="1" applyBorder="1" applyAlignment="1">
      <alignment horizontal="center" vertical="center" wrapText="1"/>
    </xf>
    <xf numFmtId="0" fontId="66" fillId="0" borderId="1" xfId="20053" applyFont="1" applyBorder="1" applyAlignment="1">
      <alignment horizontal="center" vertical="center" wrapText="1"/>
    </xf>
    <xf numFmtId="0" fontId="8" fillId="0" borderId="0" xfId="10" applyFont="1" applyAlignment="1">
      <alignment horizontal="center" vertical="center"/>
    </xf>
    <xf numFmtId="3" fontId="8" fillId="0" borderId="0" xfId="10" applyNumberFormat="1" applyFont="1" applyAlignment="1">
      <alignment horizontal="center" vertical="center"/>
    </xf>
    <xf numFmtId="0" fontId="67" fillId="0" borderId="1" xfId="20053" applyFont="1" applyBorder="1" applyAlignment="1">
      <alignment horizontal="left" vertical="center" wrapText="1"/>
    </xf>
    <xf numFmtId="4" fontId="67" fillId="18" borderId="1" xfId="10" applyNumberFormat="1" applyFont="1" applyFill="1" applyBorder="1" applyAlignment="1">
      <alignment horizontal="right" vertical="center"/>
    </xf>
    <xf numFmtId="4" fontId="67" fillId="19" borderId="1" xfId="20053" applyNumberFormat="1" applyFont="1" applyFill="1" applyBorder="1" applyAlignment="1">
      <alignment horizontal="right" vertical="center"/>
    </xf>
    <xf numFmtId="4" fontId="67" fillId="18" borderId="1" xfId="20053" applyNumberFormat="1" applyFont="1" applyFill="1" applyBorder="1" applyAlignment="1">
      <alignment horizontal="right" vertical="center"/>
    </xf>
    <xf numFmtId="4" fontId="67" fillId="0" borderId="1" xfId="20053" applyNumberFormat="1" applyFont="1" applyBorder="1" applyAlignment="1">
      <alignment horizontal="right" vertical="center"/>
    </xf>
    <xf numFmtId="0" fontId="8" fillId="0" borderId="0" xfId="10" applyFont="1" applyAlignment="1">
      <alignment horizontal="left"/>
    </xf>
    <xf numFmtId="3" fontId="9" fillId="0" borderId="0" xfId="10" applyNumberFormat="1" applyFont="1"/>
    <xf numFmtId="1" fontId="66" fillId="0" borderId="0" xfId="20053" applyNumberFormat="1" applyFont="1" applyAlignment="1">
      <alignment wrapText="1"/>
    </xf>
    <xf numFmtId="4" fontId="66" fillId="20" borderId="1" xfId="20053" applyNumberFormat="1" applyFont="1" applyFill="1" applyBorder="1"/>
    <xf numFmtId="4" fontId="67" fillId="20" borderId="1" xfId="20053" applyNumberFormat="1" applyFont="1" applyFill="1" applyBorder="1"/>
    <xf numFmtId="0" fontId="67" fillId="0" borderId="0" xfId="20053" applyFont="1" applyAlignment="1">
      <alignment wrapText="1"/>
    </xf>
    <xf numFmtId="1" fontId="67" fillId="0" borderId="0" xfId="20053" applyNumberFormat="1" applyFont="1"/>
    <xf numFmtId="0" fontId="68" fillId="0" borderId="0" xfId="10" applyFont="1"/>
    <xf numFmtId="3" fontId="68" fillId="0" borderId="0" xfId="10" applyNumberFormat="1" applyFont="1"/>
    <xf numFmtId="165" fontId="68" fillId="0" borderId="0" xfId="7" applyNumberFormat="1" applyFont="1" applyBorder="1"/>
    <xf numFmtId="0" fontId="3" fillId="0" borderId="0" xfId="20053" applyAlignment="1">
      <alignment wrapText="1"/>
    </xf>
    <xf numFmtId="0" fontId="4" fillId="0" borderId="0" xfId="10"/>
    <xf numFmtId="3" fontId="4" fillId="0" borderId="0" xfId="10" applyNumberFormat="1"/>
    <xf numFmtId="1" fontId="3" fillId="0" borderId="0" xfId="20053" applyNumberFormat="1"/>
    <xf numFmtId="4" fontId="73" fillId="0" borderId="0" xfId="10" applyNumberFormat="1" applyFont="1" applyAlignment="1">
      <alignment horizontal="right" vertical="center"/>
    </xf>
    <xf numFmtId="1" fontId="74" fillId="0" borderId="0" xfId="20053" applyNumberFormat="1" applyFont="1"/>
    <xf numFmtId="1" fontId="75" fillId="0" borderId="0" xfId="20053" applyNumberFormat="1" applyFont="1"/>
    <xf numFmtId="3" fontId="73" fillId="0" borderId="0" xfId="10" applyNumberFormat="1" applyFont="1" applyAlignment="1">
      <alignment horizontal="right" vertical="center"/>
    </xf>
    <xf numFmtId="0" fontId="30" fillId="4" borderId="2" xfId="0" applyFont="1" applyFill="1" applyBorder="1" applyAlignment="1">
      <alignment horizontal="left" wrapText="1"/>
    </xf>
    <xf numFmtId="3" fontId="30" fillId="4" borderId="3" xfId="0" applyNumberFormat="1" applyFont="1" applyFill="1" applyBorder="1" applyAlignment="1">
      <alignment horizontal="right" wrapText="1"/>
    </xf>
    <xf numFmtId="0" fontId="30" fillId="4" borderId="3" xfId="0" applyFont="1" applyFill="1" applyBorder="1" applyAlignment="1">
      <alignment horizontal="left" wrapText="1"/>
    </xf>
    <xf numFmtId="3" fontId="30" fillId="4" borderId="3" xfId="0" applyNumberFormat="1" applyFont="1" applyFill="1" applyBorder="1" applyAlignment="1">
      <alignment horizontal="left" wrapText="1"/>
    </xf>
    <xf numFmtId="0" fontId="30" fillId="4" borderId="3" xfId="0" applyFont="1" applyFill="1" applyBorder="1" applyAlignment="1">
      <alignment horizontal="right" wrapText="1"/>
    </xf>
    <xf numFmtId="0" fontId="30" fillId="4" borderId="23" xfId="0" applyFont="1" applyFill="1" applyBorder="1" applyAlignment="1">
      <alignment horizontal="right" wrapText="1"/>
    </xf>
    <xf numFmtId="0" fontId="30" fillId="4" borderId="6" xfId="0" applyFont="1" applyFill="1" applyBorder="1" applyAlignment="1">
      <alignment horizontal="left" wrapText="1"/>
    </xf>
    <xf numFmtId="3" fontId="30" fillId="4" borderId="7" xfId="0" applyNumberFormat="1" applyFont="1" applyFill="1" applyBorder="1" applyAlignment="1">
      <alignment horizontal="right" wrapText="1"/>
    </xf>
    <xf numFmtId="0" fontId="30" fillId="4" borderId="7" xfId="0" applyFont="1" applyFill="1" applyBorder="1" applyAlignment="1">
      <alignment horizontal="left" wrapText="1"/>
    </xf>
    <xf numFmtId="3" fontId="30" fillId="4" borderId="7" xfId="0" applyNumberFormat="1" applyFont="1" applyFill="1" applyBorder="1" applyAlignment="1">
      <alignment horizontal="left" wrapText="1"/>
    </xf>
    <xf numFmtId="0" fontId="30" fillId="4" borderId="7" xfId="0" applyFont="1" applyFill="1" applyBorder="1" applyAlignment="1">
      <alignment horizontal="right" wrapText="1"/>
    </xf>
    <xf numFmtId="0" fontId="30" fillId="4" borderId="8" xfId="0" applyFont="1" applyFill="1" applyBorder="1" applyAlignment="1">
      <alignment horizontal="right" wrapText="1"/>
    </xf>
    <xf numFmtId="49" fontId="9" fillId="9" borderId="1" xfId="0" applyNumberFormat="1" applyFont="1" applyFill="1" applyBorder="1"/>
    <xf numFmtId="0" fontId="9" fillId="9" borderId="1" xfId="0" applyFont="1" applyFill="1" applyBorder="1"/>
    <xf numFmtId="0" fontId="23" fillId="9" borderId="1" xfId="0" applyFont="1" applyFill="1" applyBorder="1" applyAlignment="1">
      <alignment horizontal="center" vertical="center" wrapText="1"/>
    </xf>
    <xf numFmtId="3" fontId="64" fillId="0" borderId="67" xfId="0" applyNumberFormat="1" applyFont="1" applyBorder="1"/>
    <xf numFmtId="3" fontId="64" fillId="17" borderId="67" xfId="0" applyNumberFormat="1" applyFont="1" applyFill="1" applyBorder="1"/>
    <xf numFmtId="3" fontId="66" fillId="0" borderId="1" xfId="20053" applyNumberFormat="1" applyFont="1" applyBorder="1" applyAlignment="1">
      <alignment horizontal="right" vertical="center"/>
    </xf>
    <xf numFmtId="4" fontId="77" fillId="0" borderId="0" xfId="20053" applyNumberFormat="1" applyFont="1"/>
    <xf numFmtId="3" fontId="66" fillId="20" borderId="1" xfId="20053" applyNumberFormat="1" applyFont="1" applyFill="1" applyBorder="1"/>
    <xf numFmtId="4" fontId="3" fillId="0" borderId="0" xfId="20053" applyNumberFormat="1"/>
    <xf numFmtId="3" fontId="67" fillId="0" borderId="0" xfId="20053" applyNumberFormat="1" applyFont="1"/>
    <xf numFmtId="49" fontId="8" fillId="0" borderId="1" xfId="0" applyNumberFormat="1" applyFont="1" applyBorder="1" applyAlignment="1">
      <alignment horizontal="left" vertical="top" wrapText="1"/>
    </xf>
    <xf numFmtId="0" fontId="34" fillId="0" borderId="1" xfId="0" applyFont="1" applyBorder="1" applyAlignment="1">
      <alignment horizontal="left" vertical="top" wrapText="1"/>
    </xf>
    <xf numFmtId="49" fontId="9" fillId="0" borderId="1" xfId="0" applyNumberFormat="1" applyFont="1" applyBorder="1" applyAlignment="1">
      <alignment horizontal="left" vertical="top" wrapText="1"/>
    </xf>
    <xf numFmtId="0" fontId="44" fillId="0" borderId="1" xfId="0" applyFont="1" applyBorder="1" applyAlignment="1">
      <alignment horizontal="left" vertical="top" wrapText="1"/>
    </xf>
    <xf numFmtId="49" fontId="8" fillId="3" borderId="1" xfId="0" applyNumberFormat="1" applyFont="1" applyFill="1" applyBorder="1" applyAlignment="1">
      <alignment horizontal="left" vertical="top" wrapText="1"/>
    </xf>
    <xf numFmtId="0" fontId="8" fillId="3" borderId="1" xfId="0" applyFont="1" applyFill="1" applyBorder="1" applyAlignment="1">
      <alignment horizontal="left" vertical="top" wrapText="1"/>
    </xf>
    <xf numFmtId="49" fontId="9" fillId="0" borderId="1" xfId="0" applyNumberFormat="1" applyFont="1" applyBorder="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49" fontId="13" fillId="0" borderId="1" xfId="0" applyNumberFormat="1" applyFont="1" applyBorder="1" applyAlignment="1">
      <alignment horizontal="left" vertical="top" wrapText="1"/>
    </xf>
    <xf numFmtId="49" fontId="34" fillId="0" borderId="1" xfId="0" applyNumberFormat="1" applyFont="1" applyBorder="1" applyAlignment="1">
      <alignment horizontal="left" vertical="top" wrapText="1"/>
    </xf>
    <xf numFmtId="0" fontId="34" fillId="5" borderId="1" xfId="0" applyFont="1" applyFill="1" applyBorder="1" applyAlignment="1">
      <alignment horizontal="left" vertical="top" wrapText="1"/>
    </xf>
    <xf numFmtId="49" fontId="34" fillId="0" borderId="1" xfId="0" applyNumberFormat="1"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34" fillId="0" borderId="1" xfId="0" applyFont="1" applyBorder="1" applyAlignment="1" applyProtection="1">
      <alignment horizontal="left" vertical="top" wrapText="1"/>
      <protection locked="0"/>
    </xf>
    <xf numFmtId="0" fontId="9" fillId="0" borderId="0" xfId="0" applyFont="1" applyAlignment="1" applyProtection="1">
      <alignment horizontal="left" vertical="top"/>
      <protection locked="0"/>
    </xf>
    <xf numFmtId="49" fontId="8" fillId="0" borderId="1" xfId="0" applyNumberFormat="1" applyFont="1" applyBorder="1" applyAlignment="1" applyProtection="1">
      <alignment horizontal="left" vertical="top" wrapText="1"/>
      <protection locked="0"/>
    </xf>
    <xf numFmtId="49" fontId="13" fillId="0" borderId="1" xfId="0" applyNumberFormat="1" applyFont="1" applyBorder="1" applyAlignment="1" applyProtection="1">
      <alignment horizontal="left" vertical="top" wrapText="1"/>
      <protection locked="0"/>
    </xf>
    <xf numFmtId="0" fontId="79" fillId="0" borderId="1" xfId="0" applyFont="1" applyBorder="1" applyAlignment="1" applyProtection="1">
      <alignment horizontal="left" vertical="top" wrapText="1"/>
      <protection locked="0"/>
    </xf>
    <xf numFmtId="49" fontId="9" fillId="0" borderId="1" xfId="0" applyNumberFormat="1" applyFont="1" applyBorder="1" applyAlignment="1">
      <alignment horizontal="left" vertical="top"/>
    </xf>
    <xf numFmtId="0" fontId="0" fillId="0" borderId="0" xfId="0" applyAlignment="1">
      <alignment wrapText="1"/>
    </xf>
    <xf numFmtId="0" fontId="9" fillId="5" borderId="1" xfId="0" applyFont="1" applyFill="1" applyBorder="1"/>
    <xf numFmtId="49" fontId="9" fillId="5" borderId="1" xfId="0" applyNumberFormat="1" applyFont="1" applyFill="1" applyBorder="1" applyAlignment="1">
      <alignment horizontal="right"/>
    </xf>
    <xf numFmtId="0" fontId="9" fillId="5" borderId="1" xfId="0" applyFont="1" applyFill="1" applyBorder="1" applyAlignment="1">
      <alignment wrapText="1"/>
    </xf>
    <xf numFmtId="49" fontId="9" fillId="5" borderId="1" xfId="0" applyNumberFormat="1" applyFont="1" applyFill="1" applyBorder="1"/>
    <xf numFmtId="0" fontId="9" fillId="5" borderId="1" xfId="0" applyFont="1" applyFill="1" applyBorder="1" applyAlignment="1">
      <alignment horizontal="center" vertical="center"/>
    </xf>
    <xf numFmtId="3" fontId="63" fillId="5" borderId="1" xfId="0" applyNumberFormat="1" applyFont="1" applyFill="1" applyBorder="1" applyAlignment="1">
      <alignment horizontal="center" vertical="center"/>
    </xf>
    <xf numFmtId="0" fontId="31" fillId="4" borderId="38" xfId="0" applyFont="1" applyFill="1" applyBorder="1" applyAlignment="1">
      <alignment horizontal="left"/>
    </xf>
    <xf numFmtId="0" fontId="81" fillId="0" borderId="1" xfId="0" applyFont="1" applyBorder="1" applyAlignment="1">
      <alignment horizontal="center"/>
    </xf>
    <xf numFmtId="3" fontId="81" fillId="0" borderId="1" xfId="0" applyNumberFormat="1" applyFont="1" applyBorder="1" applyAlignment="1">
      <alignment horizontal="center"/>
    </xf>
    <xf numFmtId="3" fontId="81" fillId="0" borderId="1" xfId="0" applyNumberFormat="1" applyFont="1" applyBorder="1"/>
    <xf numFmtId="0" fontId="81" fillId="0" borderId="1" xfId="0" applyFont="1" applyBorder="1"/>
    <xf numFmtId="0" fontId="81" fillId="0" borderId="1" xfId="0" applyFont="1" applyBorder="1" applyAlignment="1">
      <alignment horizontal="right"/>
    </xf>
    <xf numFmtId="0" fontId="81" fillId="0" borderId="0" xfId="0" applyFont="1"/>
    <xf numFmtId="3" fontId="81" fillId="0" borderId="67" xfId="0" applyNumberFormat="1" applyFont="1" applyBorder="1"/>
    <xf numFmtId="0" fontId="65" fillId="0" borderId="1" xfId="0" applyFont="1" applyBorder="1" applyAlignment="1">
      <alignment horizontal="center" vertical="center"/>
    </xf>
    <xf numFmtId="0" fontId="81" fillId="0" borderId="1" xfId="0" applyFont="1" applyBorder="1" applyAlignment="1">
      <alignment horizontal="center" vertical="center"/>
    </xf>
    <xf numFmtId="3" fontId="81" fillId="0" borderId="1" xfId="0" applyNumberFormat="1" applyFont="1" applyBorder="1" applyAlignment="1">
      <alignment horizontal="center" vertical="center"/>
    </xf>
    <xf numFmtId="3" fontId="77" fillId="0" borderId="1" xfId="0" applyNumberFormat="1" applyFont="1" applyBorder="1"/>
    <xf numFmtId="3" fontId="63" fillId="0" borderId="1" xfId="0" applyNumberFormat="1" applyFont="1" applyBorder="1" applyAlignment="1">
      <alignment horizontal="center" vertical="center"/>
    </xf>
    <xf numFmtId="3" fontId="9" fillId="17" borderId="1" xfId="0" applyNumberFormat="1" applyFont="1" applyFill="1" applyBorder="1" applyAlignment="1">
      <alignment horizontal="center" vertical="center"/>
    </xf>
    <xf numFmtId="0" fontId="9" fillId="5" borderId="0" xfId="0" applyFont="1" applyFill="1"/>
    <xf numFmtId="4" fontId="9" fillId="5" borderId="0" xfId="0" applyNumberFormat="1" applyFont="1" applyFill="1"/>
    <xf numFmtId="165" fontId="9" fillId="17" borderId="1" xfId="0" applyNumberFormat="1" applyFont="1" applyFill="1" applyBorder="1" applyAlignment="1">
      <alignment horizontal="center" vertical="center"/>
    </xf>
    <xf numFmtId="0" fontId="9" fillId="0" borderId="0" xfId="0" applyFont="1" applyAlignment="1">
      <alignment horizontal="center" vertical="center"/>
    </xf>
    <xf numFmtId="3" fontId="8" fillId="0" borderId="0" xfId="0" applyNumberFormat="1" applyFont="1" applyAlignment="1">
      <alignment horizontal="center" vertical="center" wrapText="1"/>
    </xf>
    <xf numFmtId="49" fontId="9" fillId="0" borderId="52" xfId="0" applyNumberFormat="1" applyFont="1" applyBorder="1" applyAlignment="1">
      <alignment horizontal="right"/>
    </xf>
    <xf numFmtId="0" fontId="9" fillId="0" borderId="67" xfId="0" applyFont="1" applyBorder="1" applyAlignment="1">
      <alignment horizontal="center" vertical="center" wrapText="1"/>
    </xf>
    <xf numFmtId="3" fontId="9" fillId="0" borderId="73" xfId="0" applyNumberFormat="1" applyFont="1" applyBorder="1"/>
    <xf numFmtId="165" fontId="9" fillId="13" borderId="1" xfId="0" applyNumberFormat="1" applyFont="1" applyFill="1" applyBorder="1" applyAlignment="1">
      <alignment horizontal="center" vertical="center"/>
    </xf>
    <xf numFmtId="0" fontId="9" fillId="0" borderId="54" xfId="0" applyFont="1" applyBorder="1" applyAlignment="1">
      <alignment horizontal="center" vertical="center" wrapText="1"/>
    </xf>
    <xf numFmtId="3" fontId="8" fillId="3" borderId="0" xfId="0" applyNumberFormat="1" applyFont="1" applyFill="1" applyAlignment="1">
      <alignment horizontal="center" vertical="center" wrapText="1"/>
    </xf>
    <xf numFmtId="165" fontId="8" fillId="3" borderId="0" xfId="0" applyNumberFormat="1" applyFont="1" applyFill="1" applyAlignment="1">
      <alignment horizontal="center" vertical="center" wrapText="1"/>
    </xf>
    <xf numFmtId="1" fontId="76" fillId="0" borderId="1" xfId="20053" applyNumberFormat="1" applyFont="1" applyBorder="1" applyAlignment="1">
      <alignment horizontal="center" vertical="center" wrapText="1"/>
    </xf>
    <xf numFmtId="3" fontId="3" fillId="0" borderId="0" xfId="20053" applyNumberFormat="1"/>
    <xf numFmtId="0" fontId="9" fillId="0" borderId="1" xfId="0" applyFont="1" applyBorder="1" applyAlignment="1">
      <alignment horizontal="right" vertical="center"/>
    </xf>
    <xf numFmtId="3" fontId="9" fillId="0" borderId="54" xfId="0" applyNumberFormat="1" applyFont="1" applyBorder="1"/>
    <xf numFmtId="3" fontId="9" fillId="0" borderId="52" xfId="0" applyNumberFormat="1" applyFont="1" applyBorder="1"/>
    <xf numFmtId="165" fontId="9" fillId="0" borderId="1" xfId="0" applyNumberFormat="1" applyFont="1" applyBorder="1"/>
    <xf numFmtId="3" fontId="9" fillId="21" borderId="1" xfId="0" applyNumberFormat="1" applyFont="1" applyFill="1" applyBorder="1" applyAlignment="1">
      <alignment horizontal="center" vertical="center"/>
    </xf>
    <xf numFmtId="165" fontId="9" fillId="21" borderId="1" xfId="0" applyNumberFormat="1" applyFont="1" applyFill="1" applyBorder="1" applyAlignment="1">
      <alignment horizontal="center" vertical="center"/>
    </xf>
    <xf numFmtId="0" fontId="84" fillId="0" borderId="1" xfId="0" applyFont="1" applyBorder="1"/>
    <xf numFmtId="49" fontId="34" fillId="0" borderId="1" xfId="1" applyNumberFormat="1" applyFont="1" applyBorder="1" applyAlignment="1">
      <alignment horizontal="right"/>
    </xf>
    <xf numFmtId="0" fontId="34" fillId="0" borderId="0" xfId="0" applyFont="1"/>
    <xf numFmtId="49" fontId="34" fillId="0" borderId="1" xfId="0" applyNumberFormat="1" applyFont="1" applyBorder="1"/>
    <xf numFmtId="0" fontId="34" fillId="0" borderId="1" xfId="0" applyFont="1" applyBorder="1" applyAlignment="1">
      <alignment horizontal="center" vertical="center" wrapText="1"/>
    </xf>
    <xf numFmtId="3" fontId="34" fillId="0" borderId="0" xfId="0" applyNumberFormat="1" applyFont="1"/>
    <xf numFmtId="0" fontId="61" fillId="0" borderId="1" xfId="0" applyFont="1" applyBorder="1" applyAlignment="1">
      <alignment horizontal="left"/>
    </xf>
    <xf numFmtId="49" fontId="8" fillId="20" borderId="1" xfId="0" applyNumberFormat="1" applyFont="1" applyFill="1" applyBorder="1"/>
    <xf numFmtId="0" fontId="9" fillId="20" borderId="1" xfId="0" applyFont="1" applyFill="1" applyBorder="1" applyAlignment="1">
      <alignment wrapText="1"/>
    </xf>
    <xf numFmtId="0" fontId="8" fillId="20" borderId="1" xfId="0" applyFont="1" applyFill="1" applyBorder="1" applyAlignment="1">
      <alignment wrapText="1"/>
    </xf>
    <xf numFmtId="0" fontId="8" fillId="20" borderId="1" xfId="0" applyFont="1" applyFill="1" applyBorder="1" applyAlignment="1">
      <alignment horizontal="center" vertical="center" wrapText="1"/>
    </xf>
    <xf numFmtId="3" fontId="8" fillId="20" borderId="1" xfId="0" applyNumberFormat="1" applyFont="1" applyFill="1" applyBorder="1" applyAlignment="1">
      <alignment horizontal="center" vertical="center" wrapText="1"/>
    </xf>
    <xf numFmtId="49" fontId="8" fillId="22" borderId="0" xfId="0" applyNumberFormat="1" applyFont="1" applyFill="1"/>
    <xf numFmtId="0" fontId="9" fillId="22" borderId="0" xfId="0" applyFont="1" applyFill="1"/>
    <xf numFmtId="1" fontId="71" fillId="0" borderId="1" xfId="20053" applyNumberFormat="1" applyFont="1" applyBorder="1" applyAlignment="1">
      <alignment horizontal="center" vertical="center" wrapText="1"/>
    </xf>
    <xf numFmtId="1" fontId="66" fillId="17" borderId="1" xfId="20053" applyNumberFormat="1" applyFont="1" applyFill="1" applyBorder="1" applyAlignment="1">
      <alignment horizontal="center" wrapText="1"/>
    </xf>
    <xf numFmtId="49" fontId="9" fillId="0" borderId="1" xfId="0" applyNumberFormat="1" applyFont="1" applyBorder="1" applyAlignment="1">
      <alignment horizontal="left"/>
    </xf>
    <xf numFmtId="0" fontId="9" fillId="9" borderId="1" xfId="0" applyFont="1" applyFill="1" applyBorder="1" applyAlignment="1">
      <alignment horizontal="center" vertical="center" wrapText="1"/>
    </xf>
    <xf numFmtId="0" fontId="13" fillId="0" borderId="1" xfId="0" applyFont="1" applyBorder="1" applyAlignment="1">
      <alignment wrapText="1"/>
    </xf>
    <xf numFmtId="49" fontId="9" fillId="0" borderId="1" xfId="0" applyNumberFormat="1" applyFont="1" applyBorder="1" applyAlignment="1">
      <alignment wrapText="1"/>
    </xf>
    <xf numFmtId="9" fontId="8" fillId="3" borderId="1" xfId="20052" applyFont="1" applyFill="1" applyBorder="1" applyAlignment="1">
      <alignment horizontal="center" vertical="center" wrapText="1"/>
    </xf>
    <xf numFmtId="3" fontId="60" fillId="0" borderId="1" xfId="0" applyNumberFormat="1" applyFont="1" applyBorder="1" applyAlignment="1">
      <alignment horizontal="center" vertical="center"/>
    </xf>
    <xf numFmtId="3" fontId="9" fillId="23" borderId="1" xfId="0" applyNumberFormat="1" applyFont="1" applyFill="1" applyBorder="1" applyAlignment="1">
      <alignment horizontal="center" vertical="center"/>
    </xf>
    <xf numFmtId="0" fontId="85" fillId="0" borderId="1" xfId="0" applyFont="1" applyBorder="1"/>
    <xf numFmtId="0" fontId="9" fillId="0" borderId="0" xfId="0" applyFont="1" applyAlignment="1">
      <alignment wrapText="1"/>
    </xf>
    <xf numFmtId="0" fontId="86" fillId="0" borderId="0" xfId="0" applyFont="1"/>
    <xf numFmtId="0" fontId="84" fillId="0" borderId="1" xfId="0" applyFont="1" applyBorder="1" applyAlignment="1">
      <alignment wrapText="1"/>
    </xf>
    <xf numFmtId="0" fontId="26" fillId="0" borderId="0" xfId="3"/>
    <xf numFmtId="0" fontId="85" fillId="0" borderId="1" xfId="0" applyFont="1" applyBorder="1" applyAlignment="1">
      <alignment vertical="center" wrapText="1"/>
    </xf>
    <xf numFmtId="3" fontId="63" fillId="0" borderId="0" xfId="0" applyNumberFormat="1" applyFont="1" applyAlignment="1">
      <alignment horizontal="center" vertical="center"/>
    </xf>
    <xf numFmtId="3" fontId="61" fillId="0" borderId="1" xfId="0" applyNumberFormat="1" applyFont="1" applyBorder="1"/>
    <xf numFmtId="3" fontId="9" fillId="24" borderId="1" xfId="0" applyNumberFormat="1" applyFont="1" applyFill="1" applyBorder="1" applyAlignment="1">
      <alignment horizontal="center" vertical="center"/>
    </xf>
    <xf numFmtId="0" fontId="9" fillId="0" borderId="1" xfId="0" applyFont="1" applyBorder="1" applyAlignment="1">
      <alignment vertical="top" wrapText="1"/>
    </xf>
    <xf numFmtId="3" fontId="9" fillId="0" borderId="1" xfId="0" applyNumberFormat="1" applyFont="1" applyBorder="1" applyAlignment="1">
      <alignment horizontal="right"/>
    </xf>
    <xf numFmtId="0" fontId="89" fillId="0" borderId="0" xfId="0" applyFont="1"/>
    <xf numFmtId="0" fontId="91" fillId="0" borderId="55" xfId="0" applyFont="1" applyBorder="1" applyAlignment="1">
      <alignment horizontal="center" vertical="top" wrapText="1" readingOrder="1"/>
    </xf>
    <xf numFmtId="0" fontId="92" fillId="11" borderId="58" xfId="0" applyFont="1" applyFill="1" applyBorder="1" applyAlignment="1">
      <alignment vertical="top" wrapText="1" readingOrder="1"/>
    </xf>
    <xf numFmtId="166" fontId="92" fillId="11" borderId="58" xfId="0" applyNumberFormat="1" applyFont="1" applyFill="1" applyBorder="1" applyAlignment="1">
      <alignment vertical="top" wrapText="1" readingOrder="1"/>
    </xf>
    <xf numFmtId="167" fontId="92" fillId="11" borderId="58" xfId="0" applyNumberFormat="1" applyFont="1" applyFill="1" applyBorder="1" applyAlignment="1">
      <alignment vertical="top" wrapText="1" readingOrder="1"/>
    </xf>
    <xf numFmtId="0" fontId="92" fillId="12" borderId="58" xfId="0" applyFont="1" applyFill="1" applyBorder="1" applyAlignment="1">
      <alignment vertical="top" wrapText="1" readingOrder="1"/>
    </xf>
    <xf numFmtId="166" fontId="92" fillId="12" borderId="58" xfId="0" applyNumberFormat="1" applyFont="1" applyFill="1" applyBorder="1" applyAlignment="1">
      <alignment vertical="top" wrapText="1" readingOrder="1"/>
    </xf>
    <xf numFmtId="167" fontId="92" fillId="12" borderId="58" xfId="0" applyNumberFormat="1" applyFont="1" applyFill="1" applyBorder="1" applyAlignment="1">
      <alignment vertical="top" wrapText="1" readingOrder="1"/>
    </xf>
    <xf numFmtId="0" fontId="92" fillId="0" borderId="58" xfId="0" applyFont="1" applyBorder="1" applyAlignment="1">
      <alignment vertical="top" wrapText="1" readingOrder="1"/>
    </xf>
    <xf numFmtId="166" fontId="92" fillId="0" borderId="58" xfId="0" applyNumberFormat="1" applyFont="1" applyBorder="1" applyAlignment="1">
      <alignment vertical="top" wrapText="1" readingOrder="1"/>
    </xf>
    <xf numFmtId="167" fontId="92" fillId="0" borderId="58" xfId="0" applyNumberFormat="1" applyFont="1" applyBorder="1" applyAlignment="1">
      <alignment vertical="top" wrapText="1" readingOrder="1"/>
    </xf>
    <xf numFmtId="3" fontId="9" fillId="24" borderId="0" xfId="0" applyNumberFormat="1" applyFont="1" applyFill="1" applyAlignment="1">
      <alignment horizontal="center" vertical="center"/>
    </xf>
    <xf numFmtId="165" fontId="9" fillId="24" borderId="0" xfId="0" applyNumberFormat="1" applyFont="1" applyFill="1" applyAlignment="1">
      <alignment horizontal="center" vertical="center"/>
    </xf>
    <xf numFmtId="3" fontId="9" fillId="0" borderId="52" xfId="0" applyNumberFormat="1" applyFont="1" applyBorder="1" applyAlignment="1">
      <alignment horizontal="center" vertical="center"/>
    </xf>
    <xf numFmtId="0" fontId="89" fillId="0" borderId="71" xfId="0" applyFont="1" applyBorder="1" applyAlignment="1">
      <alignment vertical="top" wrapText="1"/>
    </xf>
    <xf numFmtId="0" fontId="89" fillId="0" borderId="72" xfId="0" applyFont="1" applyBorder="1" applyAlignment="1">
      <alignment vertical="top" wrapText="1"/>
    </xf>
    <xf numFmtId="3" fontId="9" fillId="17" borderId="0" xfId="0" applyNumberFormat="1" applyFont="1" applyFill="1"/>
    <xf numFmtId="0" fontId="92" fillId="17" borderId="58" xfId="0" applyFont="1" applyFill="1" applyBorder="1" applyAlignment="1">
      <alignment vertical="top" wrapText="1" readingOrder="1"/>
    </xf>
    <xf numFmtId="166" fontId="92" fillId="17" borderId="58" xfId="0" applyNumberFormat="1" applyFont="1" applyFill="1" applyBorder="1" applyAlignment="1">
      <alignment vertical="top" wrapText="1" readingOrder="1"/>
    </xf>
    <xf numFmtId="0" fontId="8" fillId="3" borderId="50" xfId="0" applyFont="1" applyFill="1" applyBorder="1" applyAlignment="1">
      <alignment horizontal="center" wrapText="1"/>
    </xf>
    <xf numFmtId="0" fontId="8" fillId="3" borderId="51" xfId="0" applyFont="1" applyFill="1" applyBorder="1" applyAlignment="1">
      <alignment horizontal="center" wrapText="1"/>
    </xf>
    <xf numFmtId="0" fontId="8" fillId="3" borderId="49" xfId="0" applyFont="1" applyFill="1" applyBorder="1" applyAlignment="1">
      <alignment horizontal="center" wrapText="1"/>
    </xf>
    <xf numFmtId="0" fontId="8" fillId="14" borderId="62" xfId="0" applyFont="1" applyFill="1" applyBorder="1" applyAlignment="1">
      <alignment horizontal="center"/>
    </xf>
    <xf numFmtId="0" fontId="10" fillId="0" borderId="0" xfId="0" applyFont="1" applyAlignment="1">
      <alignment horizontal="center" wrapText="1"/>
    </xf>
    <xf numFmtId="0" fontId="10" fillId="0" borderId="0" xfId="0" applyFont="1" applyAlignment="1">
      <alignment horizontal="center" vertical="center"/>
    </xf>
    <xf numFmtId="49" fontId="9" fillId="0" borderId="0" xfId="0" applyNumberFormat="1" applyFont="1" applyAlignment="1" applyProtection="1">
      <alignment horizontal="left" wrapText="1"/>
      <protection locked="0"/>
    </xf>
    <xf numFmtId="0" fontId="8" fillId="3" borderId="1" xfId="0" applyFont="1" applyFill="1" applyBorder="1" applyAlignment="1">
      <alignment horizontal="center" vertical="center"/>
    </xf>
    <xf numFmtId="0" fontId="8" fillId="3" borderId="50" xfId="0" applyFont="1" applyFill="1" applyBorder="1" applyAlignment="1">
      <alignment horizontal="center" vertical="center"/>
    </xf>
    <xf numFmtId="0" fontId="8" fillId="3" borderId="51" xfId="0" applyFont="1" applyFill="1" applyBorder="1" applyAlignment="1">
      <alignment horizontal="center" vertical="center"/>
    </xf>
    <xf numFmtId="0" fontId="8" fillId="3" borderId="49" xfId="0" applyFont="1" applyFill="1" applyBorder="1" applyAlignment="1">
      <alignment horizontal="center" vertical="center"/>
    </xf>
    <xf numFmtId="0" fontId="64" fillId="0" borderId="51" xfId="0" applyFont="1" applyBorder="1" applyAlignment="1">
      <alignment horizontal="right"/>
    </xf>
    <xf numFmtId="0" fontId="64" fillId="0" borderId="49" xfId="0" applyFont="1" applyBorder="1" applyAlignment="1">
      <alignment horizontal="right"/>
    </xf>
    <xf numFmtId="0" fontId="64" fillId="0" borderId="54" xfId="0" applyFont="1" applyBorder="1" applyAlignment="1">
      <alignment horizontal="center"/>
    </xf>
    <xf numFmtId="0" fontId="64" fillId="0" borderId="67" xfId="0" applyFont="1" applyBorder="1" applyAlignment="1">
      <alignment horizontal="center"/>
    </xf>
    <xf numFmtId="0" fontId="64" fillId="0" borderId="52" xfId="0" applyFont="1" applyBorder="1" applyAlignment="1">
      <alignment horizontal="center"/>
    </xf>
    <xf numFmtId="0" fontId="64" fillId="0" borderId="1" xfId="0" applyFont="1" applyBorder="1" applyAlignment="1">
      <alignment horizontal="center"/>
    </xf>
    <xf numFmtId="3" fontId="64" fillId="0" borderId="1" xfId="0" applyNumberFormat="1" applyFont="1" applyBorder="1" applyAlignment="1">
      <alignment horizontal="center"/>
    </xf>
    <xf numFmtId="0" fontId="64" fillId="0" borderId="1" xfId="0" applyFont="1" applyBorder="1" applyAlignment="1">
      <alignment horizontal="right"/>
    </xf>
    <xf numFmtId="0" fontId="8" fillId="2" borderId="1" xfId="0" applyFont="1" applyFill="1" applyBorder="1" applyAlignment="1">
      <alignment horizontal="center"/>
    </xf>
    <xf numFmtId="0" fontId="8" fillId="2" borderId="50" xfId="0" applyFont="1" applyFill="1" applyBorder="1" applyAlignment="1">
      <alignment horizontal="center"/>
    </xf>
    <xf numFmtId="0" fontId="8" fillId="2" borderId="51" xfId="0" applyFont="1" applyFill="1" applyBorder="1" applyAlignment="1">
      <alignment horizontal="center"/>
    </xf>
    <xf numFmtId="0" fontId="8" fillId="2" borderId="49" xfId="0" applyFont="1" applyFill="1" applyBorder="1" applyAlignment="1">
      <alignment horizontal="center"/>
    </xf>
    <xf numFmtId="0" fontId="10" fillId="0" borderId="0" xfId="0" applyFont="1" applyAlignment="1">
      <alignment horizontal="center"/>
    </xf>
    <xf numFmtId="0" fontId="18" fillId="0" borderId="48"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70" xfId="0" applyFont="1" applyFill="1" applyBorder="1" applyAlignment="1">
      <alignment horizontal="center"/>
    </xf>
    <xf numFmtId="0" fontId="29" fillId="3" borderId="3" xfId="0" applyFont="1" applyFill="1" applyBorder="1" applyAlignment="1">
      <alignment horizontal="center" vertical="center" wrapText="1"/>
    </xf>
    <xf numFmtId="0" fontId="8" fillId="3" borderId="3" xfId="0" applyFont="1" applyFill="1" applyBorder="1" applyAlignment="1">
      <alignment horizontal="center" vertical="center"/>
    </xf>
    <xf numFmtId="0" fontId="8" fillId="3" borderId="23"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3" borderId="59" xfId="0" applyFont="1" applyFill="1" applyBorder="1" applyAlignment="1">
      <alignment horizontal="center" vertical="center"/>
    </xf>
    <xf numFmtId="0" fontId="8" fillId="3" borderId="60" xfId="0" applyFont="1" applyFill="1" applyBorder="1" applyAlignment="1">
      <alignment horizontal="center" vertical="center"/>
    </xf>
    <xf numFmtId="0" fontId="8" fillId="3" borderId="61" xfId="0" applyFont="1" applyFill="1" applyBorder="1" applyAlignment="1">
      <alignment horizontal="center" vertical="center"/>
    </xf>
    <xf numFmtId="0" fontId="81" fillId="0" borderId="1" xfId="0" applyFont="1" applyBorder="1" applyAlignment="1">
      <alignment horizontal="center"/>
    </xf>
    <xf numFmtId="0" fontId="81" fillId="0" borderId="1" xfId="0" applyFont="1" applyBorder="1" applyAlignment="1">
      <alignment horizontal="center" wrapText="1"/>
    </xf>
    <xf numFmtId="0" fontId="81" fillId="0" borderId="1" xfId="0" applyFont="1" applyBorder="1" applyAlignment="1">
      <alignment horizontal="right"/>
    </xf>
    <xf numFmtId="3" fontId="81" fillId="0" borderId="50" xfId="0" applyNumberFormat="1" applyFont="1" applyBorder="1" applyAlignment="1">
      <alignment horizontal="center"/>
    </xf>
    <xf numFmtId="3" fontId="81" fillId="0" borderId="51" xfId="0" applyNumberFormat="1" applyFont="1" applyBorder="1" applyAlignment="1">
      <alignment horizontal="center"/>
    </xf>
    <xf numFmtId="3" fontId="81" fillId="0" borderId="49" xfId="0" applyNumberFormat="1" applyFont="1" applyBorder="1" applyAlignment="1">
      <alignment horizontal="center"/>
    </xf>
    <xf numFmtId="0" fontId="65" fillId="0" borderId="54" xfId="0" applyFont="1" applyBorder="1" applyAlignment="1">
      <alignment horizontal="center"/>
    </xf>
    <xf numFmtId="0" fontId="65" fillId="0" borderId="52" xfId="0" applyFont="1" applyBorder="1" applyAlignment="1">
      <alignment horizontal="center"/>
    </xf>
    <xf numFmtId="0" fontId="81" fillId="0" borderId="54" xfId="0" applyFont="1" applyBorder="1" applyAlignment="1">
      <alignment horizontal="right"/>
    </xf>
    <xf numFmtId="0" fontId="24" fillId="0" borderId="0" xfId="0" applyFont="1" applyAlignment="1">
      <alignment horizontal="center"/>
    </xf>
    <xf numFmtId="0" fontId="23" fillId="9"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5" fillId="8" borderId="53" xfId="0" applyFont="1" applyFill="1" applyBorder="1" applyAlignment="1">
      <alignment horizontal="center" vertical="center" wrapText="1"/>
    </xf>
    <xf numFmtId="0" fontId="25" fillId="8" borderId="62" xfId="0"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6" fillId="6" borderId="46" xfId="0" applyFont="1" applyFill="1" applyBorder="1" applyAlignment="1">
      <alignment horizontal="center" vertical="center" wrapText="1"/>
    </xf>
    <xf numFmtId="0" fontId="16" fillId="6" borderId="47"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6" fillId="6" borderId="18" xfId="0" applyFont="1" applyFill="1" applyBorder="1" applyAlignment="1">
      <alignment horizontal="center" vertical="center" wrapText="1"/>
    </xf>
    <xf numFmtId="167" fontId="92" fillId="12" borderId="74" xfId="0" applyNumberFormat="1" applyFont="1" applyFill="1" applyBorder="1" applyAlignment="1">
      <alignment vertical="top" wrapText="1" readingOrder="1"/>
    </xf>
    <xf numFmtId="167" fontId="92" fillId="12" borderId="72" xfId="0" applyNumberFormat="1" applyFont="1" applyFill="1" applyBorder="1" applyAlignment="1">
      <alignment vertical="top" wrapText="1" readingOrder="1"/>
    </xf>
    <xf numFmtId="167" fontId="92" fillId="12" borderId="71" xfId="0" applyNumberFormat="1" applyFont="1" applyFill="1" applyBorder="1" applyAlignment="1">
      <alignment vertical="top" wrapText="1" readingOrder="1"/>
    </xf>
    <xf numFmtId="166" fontId="92" fillId="0" borderId="74" xfId="0" applyNumberFormat="1" applyFont="1" applyBorder="1" applyAlignment="1">
      <alignment vertical="top" wrapText="1" readingOrder="1"/>
    </xf>
    <xf numFmtId="166" fontId="92" fillId="0" borderId="71" xfId="0" applyNumberFormat="1" applyFont="1" applyBorder="1" applyAlignment="1">
      <alignment vertical="top" wrapText="1" readingOrder="1"/>
    </xf>
    <xf numFmtId="167" fontId="92" fillId="0" borderId="74" xfId="0" applyNumberFormat="1" applyFont="1" applyBorder="1" applyAlignment="1">
      <alignment vertical="top" wrapText="1" readingOrder="1"/>
    </xf>
    <xf numFmtId="167" fontId="92" fillId="0" borderId="72" xfId="0" applyNumberFormat="1" applyFont="1" applyBorder="1" applyAlignment="1">
      <alignment vertical="top" wrapText="1" readingOrder="1"/>
    </xf>
    <xf numFmtId="167" fontId="92" fillId="0" borderId="71" xfId="0" applyNumberFormat="1" applyFont="1" applyBorder="1" applyAlignment="1">
      <alignment vertical="top" wrapText="1" readingOrder="1"/>
    </xf>
    <xf numFmtId="166" fontId="92" fillId="12" borderId="74" xfId="0" applyNumberFormat="1" applyFont="1" applyFill="1" applyBorder="1" applyAlignment="1">
      <alignment vertical="top" wrapText="1" readingOrder="1"/>
    </xf>
    <xf numFmtId="166" fontId="92" fillId="12" borderId="71" xfId="0" applyNumberFormat="1" applyFont="1" applyFill="1" applyBorder="1" applyAlignment="1">
      <alignment vertical="top" wrapText="1" readingOrder="1"/>
    </xf>
    <xf numFmtId="0" fontId="88" fillId="0" borderId="0" xfId="0" applyFont="1" applyAlignment="1">
      <alignment wrapText="1" readingOrder="1"/>
    </xf>
    <xf numFmtId="0" fontId="89" fillId="0" borderId="0" xfId="0" applyFont="1"/>
    <xf numFmtId="0" fontId="90" fillId="0" borderId="0" xfId="0" applyFont="1" applyAlignment="1">
      <alignment vertical="top" wrapText="1" readingOrder="1"/>
    </xf>
    <xf numFmtId="0" fontId="91" fillId="0" borderId="77" xfId="0" applyFont="1" applyBorder="1" applyAlignment="1">
      <alignment horizontal="center" vertical="top" wrapText="1" readingOrder="1"/>
    </xf>
    <xf numFmtId="0" fontId="91" fillId="0" borderId="56" xfId="0" applyFont="1" applyBorder="1" applyAlignment="1">
      <alignment horizontal="center" vertical="top" wrapText="1" readingOrder="1"/>
    </xf>
    <xf numFmtId="0" fontId="91" fillId="0" borderId="57" xfId="0" applyFont="1" applyBorder="1" applyAlignment="1">
      <alignment horizontal="center" vertical="top" wrapText="1" readingOrder="1"/>
    </xf>
    <xf numFmtId="166" fontId="92" fillId="11" borderId="75" xfId="0" applyNumberFormat="1" applyFont="1" applyFill="1" applyBorder="1" applyAlignment="1">
      <alignment vertical="top" wrapText="1" readingOrder="1"/>
    </xf>
    <xf numFmtId="166" fontId="92" fillId="11" borderId="76" xfId="0" applyNumberFormat="1" applyFont="1" applyFill="1" applyBorder="1" applyAlignment="1">
      <alignment vertical="top" wrapText="1" readingOrder="1"/>
    </xf>
    <xf numFmtId="166" fontId="92" fillId="11" borderId="74" xfId="0" applyNumberFormat="1" applyFont="1" applyFill="1" applyBorder="1" applyAlignment="1">
      <alignment vertical="top" wrapText="1" readingOrder="1"/>
    </xf>
    <xf numFmtId="166" fontId="92" fillId="11" borderId="71" xfId="0" applyNumberFormat="1" applyFont="1" applyFill="1" applyBorder="1" applyAlignment="1">
      <alignment vertical="top" wrapText="1" readingOrder="1"/>
    </xf>
    <xf numFmtId="0" fontId="90" fillId="0" borderId="0" xfId="0" applyFont="1" applyAlignment="1">
      <alignment horizontal="left" vertical="top" wrapText="1" readingOrder="1"/>
    </xf>
    <xf numFmtId="167" fontId="92" fillId="11" borderId="75" xfId="0" applyNumberFormat="1" applyFont="1" applyFill="1" applyBorder="1" applyAlignment="1">
      <alignment vertical="top" wrapText="1" readingOrder="1"/>
    </xf>
    <xf numFmtId="167" fontId="92" fillId="11" borderId="78" xfId="0" applyNumberFormat="1" applyFont="1" applyFill="1" applyBorder="1" applyAlignment="1">
      <alignment vertical="top" wrapText="1" readingOrder="1"/>
    </xf>
    <xf numFmtId="167" fontId="92" fillId="11" borderId="76" xfId="0" applyNumberFormat="1" applyFont="1" applyFill="1" applyBorder="1" applyAlignment="1">
      <alignment vertical="top" wrapText="1" readingOrder="1"/>
    </xf>
    <xf numFmtId="167" fontId="92" fillId="11" borderId="74" xfId="0" applyNumberFormat="1" applyFont="1" applyFill="1" applyBorder="1" applyAlignment="1">
      <alignment vertical="top" wrapText="1" readingOrder="1"/>
    </xf>
    <xf numFmtId="167" fontId="92" fillId="11" borderId="72" xfId="0" applyNumberFormat="1" applyFont="1" applyFill="1" applyBorder="1" applyAlignment="1">
      <alignment vertical="top" wrapText="1" readingOrder="1"/>
    </xf>
    <xf numFmtId="167" fontId="92" fillId="11" borderId="71" xfId="0" applyNumberFormat="1" applyFont="1" applyFill="1" applyBorder="1" applyAlignment="1">
      <alignment vertical="top" wrapText="1" readingOrder="1"/>
    </xf>
    <xf numFmtId="0" fontId="92" fillId="0" borderId="0" xfId="0" applyFont="1" applyAlignment="1">
      <alignment vertical="top" wrapText="1" readingOrder="1"/>
    </xf>
    <xf numFmtId="0" fontId="92" fillId="0" borderId="0" xfId="0" applyFont="1" applyAlignment="1">
      <alignment horizontal="left" vertical="top" wrapText="1" readingOrder="1"/>
    </xf>
    <xf numFmtId="0" fontId="91" fillId="0" borderId="0" xfId="0" applyFont="1" applyAlignment="1">
      <alignment vertical="top" wrapText="1" readingOrder="1"/>
    </xf>
    <xf numFmtId="0" fontId="66" fillId="0" borderId="0" xfId="20053" applyFont="1" applyAlignment="1">
      <alignment horizontal="left" vertical="center" wrapText="1"/>
    </xf>
    <xf numFmtId="0" fontId="66" fillId="20" borderId="1" xfId="20053" applyFont="1" applyFill="1" applyBorder="1" applyAlignment="1">
      <alignment horizontal="right" vertical="center"/>
    </xf>
    <xf numFmtId="4" fontId="66" fillId="20" borderId="1" xfId="20053" applyNumberFormat="1" applyFont="1" applyFill="1" applyBorder="1" applyAlignment="1">
      <alignment horizontal="center"/>
    </xf>
    <xf numFmtId="4" fontId="66" fillId="20" borderId="50" xfId="20053" applyNumberFormat="1" applyFont="1" applyFill="1" applyBorder="1" applyAlignment="1">
      <alignment horizontal="center"/>
    </xf>
    <xf numFmtId="4" fontId="66" fillId="20" borderId="49" xfId="20053" applyNumberFormat="1" applyFont="1" applyFill="1" applyBorder="1" applyAlignment="1">
      <alignment horizontal="center"/>
    </xf>
    <xf numFmtId="0" fontId="56" fillId="0" borderId="0" xfId="20051" applyFont="1" applyAlignment="1">
      <alignment vertical="top" wrapText="1"/>
    </xf>
    <xf numFmtId="0" fontId="55" fillId="0" borderId="0" xfId="20051" applyFont="1" applyAlignment="1">
      <alignment vertical="top" wrapText="1"/>
    </xf>
    <xf numFmtId="0" fontId="51" fillId="0" borderId="0" xfId="20051" applyAlignment="1">
      <alignment vertical="top" wrapText="1"/>
    </xf>
  </cellXfs>
  <cellStyles count="40107">
    <cellStyle name="Comma 2" xfId="4" xr:uid="{00000000-0005-0000-0000-000000000000}"/>
    <cellStyle name="Comma 2 10" xfId="8972" xr:uid="{00000000-0005-0000-0000-000001000000}"/>
    <cellStyle name="Comma 2 10 2" xfId="18002" xr:uid="{00000000-0005-0000-0000-000002000000}"/>
    <cellStyle name="Comma 2 10 2 2" xfId="18398" xr:uid="{00000000-0005-0000-0000-000003000000}"/>
    <cellStyle name="Comma 2 10 2 2 2" xfId="38450" xr:uid="{00000000-0005-0000-0000-000004000000}"/>
    <cellStyle name="Comma 2 10 2 3" xfId="18794" xr:uid="{00000000-0005-0000-0000-000005000000}"/>
    <cellStyle name="Comma 2 10 2 3 2" xfId="38846" xr:uid="{00000000-0005-0000-0000-000006000000}"/>
    <cellStyle name="Comma 2 10 2 4" xfId="19190" xr:uid="{00000000-0005-0000-0000-000007000000}"/>
    <cellStyle name="Comma 2 10 2 4 2" xfId="39242" xr:uid="{00000000-0005-0000-0000-000008000000}"/>
    <cellStyle name="Comma 2 10 2 5" xfId="19586" xr:uid="{00000000-0005-0000-0000-000009000000}"/>
    <cellStyle name="Comma 2 10 2 5 2" xfId="39638" xr:uid="{00000000-0005-0000-0000-00000A000000}"/>
    <cellStyle name="Comma 2 10 2 6" xfId="19982" xr:uid="{00000000-0005-0000-0000-00000B000000}"/>
    <cellStyle name="Comma 2 10 2 6 2" xfId="40034" xr:uid="{00000000-0005-0000-0000-00000C000000}"/>
    <cellStyle name="Comma 2 10 2 7" xfId="38054" xr:uid="{00000000-0005-0000-0000-00000D000000}"/>
    <cellStyle name="Comma 2 10 3" xfId="18200" xr:uid="{00000000-0005-0000-0000-00000E000000}"/>
    <cellStyle name="Comma 2 10 3 2" xfId="38252" xr:uid="{00000000-0005-0000-0000-00000F000000}"/>
    <cellStyle name="Comma 2 10 4" xfId="18596" xr:uid="{00000000-0005-0000-0000-000010000000}"/>
    <cellStyle name="Comma 2 10 4 2" xfId="38648" xr:uid="{00000000-0005-0000-0000-000011000000}"/>
    <cellStyle name="Comma 2 10 5" xfId="18992" xr:uid="{00000000-0005-0000-0000-000012000000}"/>
    <cellStyle name="Comma 2 10 5 2" xfId="39044" xr:uid="{00000000-0005-0000-0000-000013000000}"/>
    <cellStyle name="Comma 2 10 6" xfId="19388" xr:uid="{00000000-0005-0000-0000-000014000000}"/>
    <cellStyle name="Comma 2 10 6 2" xfId="39440" xr:uid="{00000000-0005-0000-0000-000015000000}"/>
    <cellStyle name="Comma 2 10 7" xfId="19784" xr:uid="{00000000-0005-0000-0000-000016000000}"/>
    <cellStyle name="Comma 2 10 7 2" xfId="39836" xr:uid="{00000000-0005-0000-0000-000017000000}"/>
    <cellStyle name="Comma 2 10 8" xfId="29024" xr:uid="{00000000-0005-0000-0000-000018000000}"/>
    <cellStyle name="Comma 2 11" xfId="9107" xr:uid="{00000000-0005-0000-0000-000019000000}"/>
    <cellStyle name="Comma 2 11 2" xfId="18266" xr:uid="{00000000-0005-0000-0000-00001A000000}"/>
    <cellStyle name="Comma 2 11 2 2" xfId="38318" xr:uid="{00000000-0005-0000-0000-00001B000000}"/>
    <cellStyle name="Comma 2 11 3" xfId="18662" xr:uid="{00000000-0005-0000-0000-00001C000000}"/>
    <cellStyle name="Comma 2 11 3 2" xfId="38714" xr:uid="{00000000-0005-0000-0000-00001D000000}"/>
    <cellStyle name="Comma 2 11 4" xfId="19058" xr:uid="{00000000-0005-0000-0000-00001E000000}"/>
    <cellStyle name="Comma 2 11 4 2" xfId="39110" xr:uid="{00000000-0005-0000-0000-00001F000000}"/>
    <cellStyle name="Comma 2 11 5" xfId="19454" xr:uid="{00000000-0005-0000-0000-000020000000}"/>
    <cellStyle name="Comma 2 11 5 2" xfId="39506" xr:uid="{00000000-0005-0000-0000-000021000000}"/>
    <cellStyle name="Comma 2 11 6" xfId="19850" xr:uid="{00000000-0005-0000-0000-000022000000}"/>
    <cellStyle name="Comma 2 11 6 2" xfId="39902" xr:uid="{00000000-0005-0000-0000-000023000000}"/>
    <cellStyle name="Comma 2 11 7" xfId="29159" xr:uid="{00000000-0005-0000-0000-000024000000}"/>
    <cellStyle name="Comma 2 12" xfId="18068" xr:uid="{00000000-0005-0000-0000-000025000000}"/>
    <cellStyle name="Comma 2 12 2" xfId="38120" xr:uid="{00000000-0005-0000-0000-000026000000}"/>
    <cellStyle name="Comma 2 13" xfId="18464" xr:uid="{00000000-0005-0000-0000-000027000000}"/>
    <cellStyle name="Comma 2 13 2" xfId="38516" xr:uid="{00000000-0005-0000-0000-000028000000}"/>
    <cellStyle name="Comma 2 14" xfId="18860" xr:uid="{00000000-0005-0000-0000-000029000000}"/>
    <cellStyle name="Comma 2 14 2" xfId="38912" xr:uid="{00000000-0005-0000-0000-00002A000000}"/>
    <cellStyle name="Comma 2 15" xfId="19256" xr:uid="{00000000-0005-0000-0000-00002B000000}"/>
    <cellStyle name="Comma 2 15 2" xfId="39308" xr:uid="{00000000-0005-0000-0000-00002C000000}"/>
    <cellStyle name="Comma 2 16" xfId="19652" xr:uid="{00000000-0005-0000-0000-00002D000000}"/>
    <cellStyle name="Comma 2 16 2" xfId="39704" xr:uid="{00000000-0005-0000-0000-00002E000000}"/>
    <cellStyle name="Comma 2 17" xfId="77" xr:uid="{00000000-0005-0000-0000-00002F000000}"/>
    <cellStyle name="Comma 2 17 2" xfId="20129" xr:uid="{00000000-0005-0000-0000-000030000000}"/>
    <cellStyle name="Comma 2 18" xfId="20061" xr:uid="{00000000-0005-0000-0000-000031000000}"/>
    <cellStyle name="Comma 2 2" xfId="263" xr:uid="{00000000-0005-0000-0000-000032000000}"/>
    <cellStyle name="Comma 2 2 10" xfId="18862" xr:uid="{00000000-0005-0000-0000-000033000000}"/>
    <cellStyle name="Comma 2 2 10 2" xfId="38914" xr:uid="{00000000-0005-0000-0000-000034000000}"/>
    <cellStyle name="Comma 2 2 11" xfId="19258" xr:uid="{00000000-0005-0000-0000-000035000000}"/>
    <cellStyle name="Comma 2 2 11 2" xfId="39310" xr:uid="{00000000-0005-0000-0000-000036000000}"/>
    <cellStyle name="Comma 2 2 12" xfId="19654" xr:uid="{00000000-0005-0000-0000-000037000000}"/>
    <cellStyle name="Comma 2 2 12 2" xfId="39706" xr:uid="{00000000-0005-0000-0000-000038000000}"/>
    <cellStyle name="Comma 2 2 13" xfId="20315" xr:uid="{00000000-0005-0000-0000-000039000000}"/>
    <cellStyle name="Comma 2 2 2" xfId="1125" xr:uid="{00000000-0005-0000-0000-00003A000000}"/>
    <cellStyle name="Comma 2 2 2 10" xfId="19269" xr:uid="{00000000-0005-0000-0000-00003B000000}"/>
    <cellStyle name="Comma 2 2 2 10 2" xfId="39321" xr:uid="{00000000-0005-0000-0000-00003C000000}"/>
    <cellStyle name="Comma 2 2 2 11" xfId="19665" xr:uid="{00000000-0005-0000-0000-00003D000000}"/>
    <cellStyle name="Comma 2 2 2 11 2" xfId="39717" xr:uid="{00000000-0005-0000-0000-00003E000000}"/>
    <cellStyle name="Comma 2 2 2 12" xfId="21177" xr:uid="{00000000-0005-0000-0000-00003F000000}"/>
    <cellStyle name="Comma 2 2 2 2" xfId="2619" xr:uid="{00000000-0005-0000-0000-000040000000}"/>
    <cellStyle name="Comma 2 2 2 2 10" xfId="22671" xr:uid="{00000000-0005-0000-0000-000041000000}"/>
    <cellStyle name="Comma 2 2 2 2 2" xfId="7101" xr:uid="{00000000-0005-0000-0000-000042000000}"/>
    <cellStyle name="Comma 2 2 2 2 2 2" xfId="16131" xr:uid="{00000000-0005-0000-0000-000043000000}"/>
    <cellStyle name="Comma 2 2 2 2 2 2 2" xfId="18367" xr:uid="{00000000-0005-0000-0000-000044000000}"/>
    <cellStyle name="Comma 2 2 2 2 2 2 2 2" xfId="38419" xr:uid="{00000000-0005-0000-0000-000045000000}"/>
    <cellStyle name="Comma 2 2 2 2 2 2 3" xfId="18763" xr:uid="{00000000-0005-0000-0000-000046000000}"/>
    <cellStyle name="Comma 2 2 2 2 2 2 3 2" xfId="38815" xr:uid="{00000000-0005-0000-0000-000047000000}"/>
    <cellStyle name="Comma 2 2 2 2 2 2 4" xfId="19159" xr:uid="{00000000-0005-0000-0000-000048000000}"/>
    <cellStyle name="Comma 2 2 2 2 2 2 4 2" xfId="39211" xr:uid="{00000000-0005-0000-0000-000049000000}"/>
    <cellStyle name="Comma 2 2 2 2 2 2 5" xfId="19555" xr:uid="{00000000-0005-0000-0000-00004A000000}"/>
    <cellStyle name="Comma 2 2 2 2 2 2 5 2" xfId="39607" xr:uid="{00000000-0005-0000-0000-00004B000000}"/>
    <cellStyle name="Comma 2 2 2 2 2 2 6" xfId="19951" xr:uid="{00000000-0005-0000-0000-00004C000000}"/>
    <cellStyle name="Comma 2 2 2 2 2 2 6 2" xfId="40003" xr:uid="{00000000-0005-0000-0000-00004D000000}"/>
    <cellStyle name="Comma 2 2 2 2 2 2 7" xfId="36183" xr:uid="{00000000-0005-0000-0000-00004E000000}"/>
    <cellStyle name="Comma 2 2 2 2 2 3" xfId="18169" xr:uid="{00000000-0005-0000-0000-00004F000000}"/>
    <cellStyle name="Comma 2 2 2 2 2 3 2" xfId="38221" xr:uid="{00000000-0005-0000-0000-000050000000}"/>
    <cellStyle name="Comma 2 2 2 2 2 4" xfId="18565" xr:uid="{00000000-0005-0000-0000-000051000000}"/>
    <cellStyle name="Comma 2 2 2 2 2 4 2" xfId="38617" xr:uid="{00000000-0005-0000-0000-000052000000}"/>
    <cellStyle name="Comma 2 2 2 2 2 5" xfId="18961" xr:uid="{00000000-0005-0000-0000-000053000000}"/>
    <cellStyle name="Comma 2 2 2 2 2 5 2" xfId="39013" xr:uid="{00000000-0005-0000-0000-000054000000}"/>
    <cellStyle name="Comma 2 2 2 2 2 6" xfId="19357" xr:uid="{00000000-0005-0000-0000-000055000000}"/>
    <cellStyle name="Comma 2 2 2 2 2 6 2" xfId="39409" xr:uid="{00000000-0005-0000-0000-000056000000}"/>
    <cellStyle name="Comma 2 2 2 2 2 7" xfId="19753" xr:uid="{00000000-0005-0000-0000-000057000000}"/>
    <cellStyle name="Comma 2 2 2 2 2 7 2" xfId="39805" xr:uid="{00000000-0005-0000-0000-000058000000}"/>
    <cellStyle name="Comma 2 2 2 2 2 8" xfId="27153" xr:uid="{00000000-0005-0000-0000-000059000000}"/>
    <cellStyle name="Comma 2 2 2 2 3" xfId="9007" xr:uid="{00000000-0005-0000-0000-00005A000000}"/>
    <cellStyle name="Comma 2 2 2 2 3 2" xfId="18037" xr:uid="{00000000-0005-0000-0000-00005B000000}"/>
    <cellStyle name="Comma 2 2 2 2 3 2 2" xfId="18433" xr:uid="{00000000-0005-0000-0000-00005C000000}"/>
    <cellStyle name="Comma 2 2 2 2 3 2 2 2" xfId="38485" xr:uid="{00000000-0005-0000-0000-00005D000000}"/>
    <cellStyle name="Comma 2 2 2 2 3 2 3" xfId="18829" xr:uid="{00000000-0005-0000-0000-00005E000000}"/>
    <cellStyle name="Comma 2 2 2 2 3 2 3 2" xfId="38881" xr:uid="{00000000-0005-0000-0000-00005F000000}"/>
    <cellStyle name="Comma 2 2 2 2 3 2 4" xfId="19225" xr:uid="{00000000-0005-0000-0000-000060000000}"/>
    <cellStyle name="Comma 2 2 2 2 3 2 4 2" xfId="39277" xr:uid="{00000000-0005-0000-0000-000061000000}"/>
    <cellStyle name="Comma 2 2 2 2 3 2 5" xfId="19621" xr:uid="{00000000-0005-0000-0000-000062000000}"/>
    <cellStyle name="Comma 2 2 2 2 3 2 5 2" xfId="39673" xr:uid="{00000000-0005-0000-0000-000063000000}"/>
    <cellStyle name="Comma 2 2 2 2 3 2 6" xfId="20017" xr:uid="{00000000-0005-0000-0000-000064000000}"/>
    <cellStyle name="Comma 2 2 2 2 3 2 6 2" xfId="40069" xr:uid="{00000000-0005-0000-0000-000065000000}"/>
    <cellStyle name="Comma 2 2 2 2 3 2 7" xfId="38089" xr:uid="{00000000-0005-0000-0000-000066000000}"/>
    <cellStyle name="Comma 2 2 2 2 3 3" xfId="18235" xr:uid="{00000000-0005-0000-0000-000067000000}"/>
    <cellStyle name="Comma 2 2 2 2 3 3 2" xfId="38287" xr:uid="{00000000-0005-0000-0000-000068000000}"/>
    <cellStyle name="Comma 2 2 2 2 3 4" xfId="18631" xr:uid="{00000000-0005-0000-0000-000069000000}"/>
    <cellStyle name="Comma 2 2 2 2 3 4 2" xfId="38683" xr:uid="{00000000-0005-0000-0000-00006A000000}"/>
    <cellStyle name="Comma 2 2 2 2 3 5" xfId="19027" xr:uid="{00000000-0005-0000-0000-00006B000000}"/>
    <cellStyle name="Comma 2 2 2 2 3 5 2" xfId="39079" xr:uid="{00000000-0005-0000-0000-00006C000000}"/>
    <cellStyle name="Comma 2 2 2 2 3 6" xfId="19423" xr:uid="{00000000-0005-0000-0000-00006D000000}"/>
    <cellStyle name="Comma 2 2 2 2 3 6 2" xfId="39475" xr:uid="{00000000-0005-0000-0000-00006E000000}"/>
    <cellStyle name="Comma 2 2 2 2 3 7" xfId="19819" xr:uid="{00000000-0005-0000-0000-00006F000000}"/>
    <cellStyle name="Comma 2 2 2 2 3 7 2" xfId="39871" xr:uid="{00000000-0005-0000-0000-000070000000}"/>
    <cellStyle name="Comma 2 2 2 2 3 8" xfId="29059" xr:uid="{00000000-0005-0000-0000-000071000000}"/>
    <cellStyle name="Comma 2 2 2 2 4" xfId="11649" xr:uid="{00000000-0005-0000-0000-000072000000}"/>
    <cellStyle name="Comma 2 2 2 2 4 2" xfId="18301" xr:uid="{00000000-0005-0000-0000-000073000000}"/>
    <cellStyle name="Comma 2 2 2 2 4 2 2" xfId="38353" xr:uid="{00000000-0005-0000-0000-000074000000}"/>
    <cellStyle name="Comma 2 2 2 2 4 3" xfId="18697" xr:uid="{00000000-0005-0000-0000-000075000000}"/>
    <cellStyle name="Comma 2 2 2 2 4 3 2" xfId="38749" xr:uid="{00000000-0005-0000-0000-000076000000}"/>
    <cellStyle name="Comma 2 2 2 2 4 4" xfId="19093" xr:uid="{00000000-0005-0000-0000-000077000000}"/>
    <cellStyle name="Comma 2 2 2 2 4 4 2" xfId="39145" xr:uid="{00000000-0005-0000-0000-000078000000}"/>
    <cellStyle name="Comma 2 2 2 2 4 5" xfId="19489" xr:uid="{00000000-0005-0000-0000-000079000000}"/>
    <cellStyle name="Comma 2 2 2 2 4 5 2" xfId="39541" xr:uid="{00000000-0005-0000-0000-00007A000000}"/>
    <cellStyle name="Comma 2 2 2 2 4 6" xfId="19885" xr:uid="{00000000-0005-0000-0000-00007B000000}"/>
    <cellStyle name="Comma 2 2 2 2 4 6 2" xfId="39937" xr:uid="{00000000-0005-0000-0000-00007C000000}"/>
    <cellStyle name="Comma 2 2 2 2 4 7" xfId="31701" xr:uid="{00000000-0005-0000-0000-00007D000000}"/>
    <cellStyle name="Comma 2 2 2 2 5" xfId="18103" xr:uid="{00000000-0005-0000-0000-00007E000000}"/>
    <cellStyle name="Comma 2 2 2 2 5 2" xfId="38155" xr:uid="{00000000-0005-0000-0000-00007F000000}"/>
    <cellStyle name="Comma 2 2 2 2 6" xfId="18499" xr:uid="{00000000-0005-0000-0000-000080000000}"/>
    <cellStyle name="Comma 2 2 2 2 6 2" xfId="38551" xr:uid="{00000000-0005-0000-0000-000081000000}"/>
    <cellStyle name="Comma 2 2 2 2 7" xfId="18895" xr:uid="{00000000-0005-0000-0000-000082000000}"/>
    <cellStyle name="Comma 2 2 2 2 7 2" xfId="38947" xr:uid="{00000000-0005-0000-0000-000083000000}"/>
    <cellStyle name="Comma 2 2 2 2 8" xfId="19291" xr:uid="{00000000-0005-0000-0000-000084000000}"/>
    <cellStyle name="Comma 2 2 2 2 8 2" xfId="39343" xr:uid="{00000000-0005-0000-0000-000085000000}"/>
    <cellStyle name="Comma 2 2 2 2 9" xfId="19687" xr:uid="{00000000-0005-0000-0000-000086000000}"/>
    <cellStyle name="Comma 2 2 2 2 9 2" xfId="39739" xr:uid="{00000000-0005-0000-0000-000087000000}"/>
    <cellStyle name="Comma 2 2 2 3" xfId="4113" xr:uid="{00000000-0005-0000-0000-000088000000}"/>
    <cellStyle name="Comma 2 2 2 3 10" xfId="24165" xr:uid="{00000000-0005-0000-0000-000089000000}"/>
    <cellStyle name="Comma 2 2 2 3 2" xfId="8595" xr:uid="{00000000-0005-0000-0000-00008A000000}"/>
    <cellStyle name="Comma 2 2 2 3 2 2" xfId="17625" xr:uid="{00000000-0005-0000-0000-00008B000000}"/>
    <cellStyle name="Comma 2 2 2 3 2 2 2" xfId="18389" xr:uid="{00000000-0005-0000-0000-00008C000000}"/>
    <cellStyle name="Comma 2 2 2 3 2 2 2 2" xfId="38441" xr:uid="{00000000-0005-0000-0000-00008D000000}"/>
    <cellStyle name="Comma 2 2 2 3 2 2 3" xfId="18785" xr:uid="{00000000-0005-0000-0000-00008E000000}"/>
    <cellStyle name="Comma 2 2 2 3 2 2 3 2" xfId="38837" xr:uid="{00000000-0005-0000-0000-00008F000000}"/>
    <cellStyle name="Comma 2 2 2 3 2 2 4" xfId="19181" xr:uid="{00000000-0005-0000-0000-000090000000}"/>
    <cellStyle name="Comma 2 2 2 3 2 2 4 2" xfId="39233" xr:uid="{00000000-0005-0000-0000-000091000000}"/>
    <cellStyle name="Comma 2 2 2 3 2 2 5" xfId="19577" xr:uid="{00000000-0005-0000-0000-000092000000}"/>
    <cellStyle name="Comma 2 2 2 3 2 2 5 2" xfId="39629" xr:uid="{00000000-0005-0000-0000-000093000000}"/>
    <cellStyle name="Comma 2 2 2 3 2 2 6" xfId="19973" xr:uid="{00000000-0005-0000-0000-000094000000}"/>
    <cellStyle name="Comma 2 2 2 3 2 2 6 2" xfId="40025" xr:uid="{00000000-0005-0000-0000-000095000000}"/>
    <cellStyle name="Comma 2 2 2 3 2 2 7" xfId="37677" xr:uid="{00000000-0005-0000-0000-000096000000}"/>
    <cellStyle name="Comma 2 2 2 3 2 3" xfId="18191" xr:uid="{00000000-0005-0000-0000-000097000000}"/>
    <cellStyle name="Comma 2 2 2 3 2 3 2" xfId="38243" xr:uid="{00000000-0005-0000-0000-000098000000}"/>
    <cellStyle name="Comma 2 2 2 3 2 4" xfId="18587" xr:uid="{00000000-0005-0000-0000-000099000000}"/>
    <cellStyle name="Comma 2 2 2 3 2 4 2" xfId="38639" xr:uid="{00000000-0005-0000-0000-00009A000000}"/>
    <cellStyle name="Comma 2 2 2 3 2 5" xfId="18983" xr:uid="{00000000-0005-0000-0000-00009B000000}"/>
    <cellStyle name="Comma 2 2 2 3 2 5 2" xfId="39035" xr:uid="{00000000-0005-0000-0000-00009C000000}"/>
    <cellStyle name="Comma 2 2 2 3 2 6" xfId="19379" xr:uid="{00000000-0005-0000-0000-00009D000000}"/>
    <cellStyle name="Comma 2 2 2 3 2 6 2" xfId="39431" xr:uid="{00000000-0005-0000-0000-00009E000000}"/>
    <cellStyle name="Comma 2 2 2 3 2 7" xfId="19775" xr:uid="{00000000-0005-0000-0000-00009F000000}"/>
    <cellStyle name="Comma 2 2 2 3 2 7 2" xfId="39827" xr:uid="{00000000-0005-0000-0000-0000A0000000}"/>
    <cellStyle name="Comma 2 2 2 3 2 8" xfId="28647" xr:uid="{00000000-0005-0000-0000-0000A1000000}"/>
    <cellStyle name="Comma 2 2 2 3 3" xfId="9029" xr:uid="{00000000-0005-0000-0000-0000A2000000}"/>
    <cellStyle name="Comma 2 2 2 3 3 2" xfId="18059" xr:uid="{00000000-0005-0000-0000-0000A3000000}"/>
    <cellStyle name="Comma 2 2 2 3 3 2 2" xfId="18455" xr:uid="{00000000-0005-0000-0000-0000A4000000}"/>
    <cellStyle name="Comma 2 2 2 3 3 2 2 2" xfId="38507" xr:uid="{00000000-0005-0000-0000-0000A5000000}"/>
    <cellStyle name="Comma 2 2 2 3 3 2 3" xfId="18851" xr:uid="{00000000-0005-0000-0000-0000A6000000}"/>
    <cellStyle name="Comma 2 2 2 3 3 2 3 2" xfId="38903" xr:uid="{00000000-0005-0000-0000-0000A7000000}"/>
    <cellStyle name="Comma 2 2 2 3 3 2 4" xfId="19247" xr:uid="{00000000-0005-0000-0000-0000A8000000}"/>
    <cellStyle name="Comma 2 2 2 3 3 2 4 2" xfId="39299" xr:uid="{00000000-0005-0000-0000-0000A9000000}"/>
    <cellStyle name="Comma 2 2 2 3 3 2 5" xfId="19643" xr:uid="{00000000-0005-0000-0000-0000AA000000}"/>
    <cellStyle name="Comma 2 2 2 3 3 2 5 2" xfId="39695" xr:uid="{00000000-0005-0000-0000-0000AB000000}"/>
    <cellStyle name="Comma 2 2 2 3 3 2 6" xfId="20039" xr:uid="{00000000-0005-0000-0000-0000AC000000}"/>
    <cellStyle name="Comma 2 2 2 3 3 2 6 2" xfId="40091" xr:uid="{00000000-0005-0000-0000-0000AD000000}"/>
    <cellStyle name="Comma 2 2 2 3 3 2 7" xfId="38111" xr:uid="{00000000-0005-0000-0000-0000AE000000}"/>
    <cellStyle name="Comma 2 2 2 3 3 3" xfId="18257" xr:uid="{00000000-0005-0000-0000-0000AF000000}"/>
    <cellStyle name="Comma 2 2 2 3 3 3 2" xfId="38309" xr:uid="{00000000-0005-0000-0000-0000B0000000}"/>
    <cellStyle name="Comma 2 2 2 3 3 4" xfId="18653" xr:uid="{00000000-0005-0000-0000-0000B1000000}"/>
    <cellStyle name="Comma 2 2 2 3 3 4 2" xfId="38705" xr:uid="{00000000-0005-0000-0000-0000B2000000}"/>
    <cellStyle name="Comma 2 2 2 3 3 5" xfId="19049" xr:uid="{00000000-0005-0000-0000-0000B3000000}"/>
    <cellStyle name="Comma 2 2 2 3 3 5 2" xfId="39101" xr:uid="{00000000-0005-0000-0000-0000B4000000}"/>
    <cellStyle name="Comma 2 2 2 3 3 6" xfId="19445" xr:uid="{00000000-0005-0000-0000-0000B5000000}"/>
    <cellStyle name="Comma 2 2 2 3 3 6 2" xfId="39497" xr:uid="{00000000-0005-0000-0000-0000B6000000}"/>
    <cellStyle name="Comma 2 2 2 3 3 7" xfId="19841" xr:uid="{00000000-0005-0000-0000-0000B7000000}"/>
    <cellStyle name="Comma 2 2 2 3 3 7 2" xfId="39893" xr:uid="{00000000-0005-0000-0000-0000B8000000}"/>
    <cellStyle name="Comma 2 2 2 3 3 8" xfId="29081" xr:uid="{00000000-0005-0000-0000-0000B9000000}"/>
    <cellStyle name="Comma 2 2 2 3 4" xfId="13143" xr:uid="{00000000-0005-0000-0000-0000BA000000}"/>
    <cellStyle name="Comma 2 2 2 3 4 2" xfId="18323" xr:uid="{00000000-0005-0000-0000-0000BB000000}"/>
    <cellStyle name="Comma 2 2 2 3 4 2 2" xfId="38375" xr:uid="{00000000-0005-0000-0000-0000BC000000}"/>
    <cellStyle name="Comma 2 2 2 3 4 3" xfId="18719" xr:uid="{00000000-0005-0000-0000-0000BD000000}"/>
    <cellStyle name="Comma 2 2 2 3 4 3 2" xfId="38771" xr:uid="{00000000-0005-0000-0000-0000BE000000}"/>
    <cellStyle name="Comma 2 2 2 3 4 4" xfId="19115" xr:uid="{00000000-0005-0000-0000-0000BF000000}"/>
    <cellStyle name="Comma 2 2 2 3 4 4 2" xfId="39167" xr:uid="{00000000-0005-0000-0000-0000C0000000}"/>
    <cellStyle name="Comma 2 2 2 3 4 5" xfId="19511" xr:uid="{00000000-0005-0000-0000-0000C1000000}"/>
    <cellStyle name="Comma 2 2 2 3 4 5 2" xfId="39563" xr:uid="{00000000-0005-0000-0000-0000C2000000}"/>
    <cellStyle name="Comma 2 2 2 3 4 6" xfId="19907" xr:uid="{00000000-0005-0000-0000-0000C3000000}"/>
    <cellStyle name="Comma 2 2 2 3 4 6 2" xfId="39959" xr:uid="{00000000-0005-0000-0000-0000C4000000}"/>
    <cellStyle name="Comma 2 2 2 3 4 7" xfId="33195" xr:uid="{00000000-0005-0000-0000-0000C5000000}"/>
    <cellStyle name="Comma 2 2 2 3 5" xfId="18125" xr:uid="{00000000-0005-0000-0000-0000C6000000}"/>
    <cellStyle name="Comma 2 2 2 3 5 2" xfId="38177" xr:uid="{00000000-0005-0000-0000-0000C7000000}"/>
    <cellStyle name="Comma 2 2 2 3 6" xfId="18521" xr:uid="{00000000-0005-0000-0000-0000C8000000}"/>
    <cellStyle name="Comma 2 2 2 3 6 2" xfId="38573" xr:uid="{00000000-0005-0000-0000-0000C9000000}"/>
    <cellStyle name="Comma 2 2 2 3 7" xfId="18917" xr:uid="{00000000-0005-0000-0000-0000CA000000}"/>
    <cellStyle name="Comma 2 2 2 3 7 2" xfId="38969" xr:uid="{00000000-0005-0000-0000-0000CB000000}"/>
    <cellStyle name="Comma 2 2 2 3 8" xfId="19313" xr:uid="{00000000-0005-0000-0000-0000CC000000}"/>
    <cellStyle name="Comma 2 2 2 3 8 2" xfId="39365" xr:uid="{00000000-0005-0000-0000-0000CD000000}"/>
    <cellStyle name="Comma 2 2 2 3 9" xfId="19709" xr:uid="{00000000-0005-0000-0000-0000CE000000}"/>
    <cellStyle name="Comma 2 2 2 3 9 2" xfId="39761" xr:uid="{00000000-0005-0000-0000-0000CF000000}"/>
    <cellStyle name="Comma 2 2 2 4" xfId="5607" xr:uid="{00000000-0005-0000-0000-0000D0000000}"/>
    <cellStyle name="Comma 2 2 2 4 2" xfId="14637" xr:uid="{00000000-0005-0000-0000-0000D1000000}"/>
    <cellStyle name="Comma 2 2 2 4 2 2" xfId="18345" xr:uid="{00000000-0005-0000-0000-0000D2000000}"/>
    <cellStyle name="Comma 2 2 2 4 2 2 2" xfId="38397" xr:uid="{00000000-0005-0000-0000-0000D3000000}"/>
    <cellStyle name="Comma 2 2 2 4 2 3" xfId="18741" xr:uid="{00000000-0005-0000-0000-0000D4000000}"/>
    <cellStyle name="Comma 2 2 2 4 2 3 2" xfId="38793" xr:uid="{00000000-0005-0000-0000-0000D5000000}"/>
    <cellStyle name="Comma 2 2 2 4 2 4" xfId="19137" xr:uid="{00000000-0005-0000-0000-0000D6000000}"/>
    <cellStyle name="Comma 2 2 2 4 2 4 2" xfId="39189" xr:uid="{00000000-0005-0000-0000-0000D7000000}"/>
    <cellStyle name="Comma 2 2 2 4 2 5" xfId="19533" xr:uid="{00000000-0005-0000-0000-0000D8000000}"/>
    <cellStyle name="Comma 2 2 2 4 2 5 2" xfId="39585" xr:uid="{00000000-0005-0000-0000-0000D9000000}"/>
    <cellStyle name="Comma 2 2 2 4 2 6" xfId="19929" xr:uid="{00000000-0005-0000-0000-0000DA000000}"/>
    <cellStyle name="Comma 2 2 2 4 2 6 2" xfId="39981" xr:uid="{00000000-0005-0000-0000-0000DB000000}"/>
    <cellStyle name="Comma 2 2 2 4 2 7" xfId="34689" xr:uid="{00000000-0005-0000-0000-0000DC000000}"/>
    <cellStyle name="Comma 2 2 2 4 3" xfId="18147" xr:uid="{00000000-0005-0000-0000-0000DD000000}"/>
    <cellStyle name="Comma 2 2 2 4 3 2" xfId="38199" xr:uid="{00000000-0005-0000-0000-0000DE000000}"/>
    <cellStyle name="Comma 2 2 2 4 4" xfId="18543" xr:uid="{00000000-0005-0000-0000-0000DF000000}"/>
    <cellStyle name="Comma 2 2 2 4 4 2" xfId="38595" xr:uid="{00000000-0005-0000-0000-0000E0000000}"/>
    <cellStyle name="Comma 2 2 2 4 5" xfId="18939" xr:uid="{00000000-0005-0000-0000-0000E1000000}"/>
    <cellStyle name="Comma 2 2 2 4 5 2" xfId="38991" xr:uid="{00000000-0005-0000-0000-0000E2000000}"/>
    <cellStyle name="Comma 2 2 2 4 6" xfId="19335" xr:uid="{00000000-0005-0000-0000-0000E3000000}"/>
    <cellStyle name="Comma 2 2 2 4 6 2" xfId="39387" xr:uid="{00000000-0005-0000-0000-0000E4000000}"/>
    <cellStyle name="Comma 2 2 2 4 7" xfId="19731" xr:uid="{00000000-0005-0000-0000-0000E5000000}"/>
    <cellStyle name="Comma 2 2 2 4 7 2" xfId="39783" xr:uid="{00000000-0005-0000-0000-0000E6000000}"/>
    <cellStyle name="Comma 2 2 2 4 8" xfId="25659" xr:uid="{00000000-0005-0000-0000-0000E7000000}"/>
    <cellStyle name="Comma 2 2 2 5" xfId="8985" xr:uid="{00000000-0005-0000-0000-0000E8000000}"/>
    <cellStyle name="Comma 2 2 2 5 2" xfId="18015" xr:uid="{00000000-0005-0000-0000-0000E9000000}"/>
    <cellStyle name="Comma 2 2 2 5 2 2" xfId="18411" xr:uid="{00000000-0005-0000-0000-0000EA000000}"/>
    <cellStyle name="Comma 2 2 2 5 2 2 2" xfId="38463" xr:uid="{00000000-0005-0000-0000-0000EB000000}"/>
    <cellStyle name="Comma 2 2 2 5 2 3" xfId="18807" xr:uid="{00000000-0005-0000-0000-0000EC000000}"/>
    <cellStyle name="Comma 2 2 2 5 2 3 2" xfId="38859" xr:uid="{00000000-0005-0000-0000-0000ED000000}"/>
    <cellStyle name="Comma 2 2 2 5 2 4" xfId="19203" xr:uid="{00000000-0005-0000-0000-0000EE000000}"/>
    <cellStyle name="Comma 2 2 2 5 2 4 2" xfId="39255" xr:uid="{00000000-0005-0000-0000-0000EF000000}"/>
    <cellStyle name="Comma 2 2 2 5 2 5" xfId="19599" xr:uid="{00000000-0005-0000-0000-0000F0000000}"/>
    <cellStyle name="Comma 2 2 2 5 2 5 2" xfId="39651" xr:uid="{00000000-0005-0000-0000-0000F1000000}"/>
    <cellStyle name="Comma 2 2 2 5 2 6" xfId="19995" xr:uid="{00000000-0005-0000-0000-0000F2000000}"/>
    <cellStyle name="Comma 2 2 2 5 2 6 2" xfId="40047" xr:uid="{00000000-0005-0000-0000-0000F3000000}"/>
    <cellStyle name="Comma 2 2 2 5 2 7" xfId="38067" xr:uid="{00000000-0005-0000-0000-0000F4000000}"/>
    <cellStyle name="Comma 2 2 2 5 3" xfId="18213" xr:uid="{00000000-0005-0000-0000-0000F5000000}"/>
    <cellStyle name="Comma 2 2 2 5 3 2" xfId="38265" xr:uid="{00000000-0005-0000-0000-0000F6000000}"/>
    <cellStyle name="Comma 2 2 2 5 4" xfId="18609" xr:uid="{00000000-0005-0000-0000-0000F7000000}"/>
    <cellStyle name="Comma 2 2 2 5 4 2" xfId="38661" xr:uid="{00000000-0005-0000-0000-0000F8000000}"/>
    <cellStyle name="Comma 2 2 2 5 5" xfId="19005" xr:uid="{00000000-0005-0000-0000-0000F9000000}"/>
    <cellStyle name="Comma 2 2 2 5 5 2" xfId="39057" xr:uid="{00000000-0005-0000-0000-0000FA000000}"/>
    <cellStyle name="Comma 2 2 2 5 6" xfId="19401" xr:uid="{00000000-0005-0000-0000-0000FB000000}"/>
    <cellStyle name="Comma 2 2 2 5 6 2" xfId="39453" xr:uid="{00000000-0005-0000-0000-0000FC000000}"/>
    <cellStyle name="Comma 2 2 2 5 7" xfId="19797" xr:uid="{00000000-0005-0000-0000-0000FD000000}"/>
    <cellStyle name="Comma 2 2 2 5 7 2" xfId="39849" xr:uid="{00000000-0005-0000-0000-0000FE000000}"/>
    <cellStyle name="Comma 2 2 2 5 8" xfId="29037" xr:uid="{00000000-0005-0000-0000-0000FF000000}"/>
    <cellStyle name="Comma 2 2 2 6" xfId="10155" xr:uid="{00000000-0005-0000-0000-000000010000}"/>
    <cellStyle name="Comma 2 2 2 6 2" xfId="18279" xr:uid="{00000000-0005-0000-0000-000001010000}"/>
    <cellStyle name="Comma 2 2 2 6 2 2" xfId="38331" xr:uid="{00000000-0005-0000-0000-000002010000}"/>
    <cellStyle name="Comma 2 2 2 6 3" xfId="18675" xr:uid="{00000000-0005-0000-0000-000003010000}"/>
    <cellStyle name="Comma 2 2 2 6 3 2" xfId="38727" xr:uid="{00000000-0005-0000-0000-000004010000}"/>
    <cellStyle name="Comma 2 2 2 6 4" xfId="19071" xr:uid="{00000000-0005-0000-0000-000005010000}"/>
    <cellStyle name="Comma 2 2 2 6 4 2" xfId="39123" xr:uid="{00000000-0005-0000-0000-000006010000}"/>
    <cellStyle name="Comma 2 2 2 6 5" xfId="19467" xr:uid="{00000000-0005-0000-0000-000007010000}"/>
    <cellStyle name="Comma 2 2 2 6 5 2" xfId="39519" xr:uid="{00000000-0005-0000-0000-000008010000}"/>
    <cellStyle name="Comma 2 2 2 6 6" xfId="19863" xr:uid="{00000000-0005-0000-0000-000009010000}"/>
    <cellStyle name="Comma 2 2 2 6 6 2" xfId="39915" xr:uid="{00000000-0005-0000-0000-00000A010000}"/>
    <cellStyle name="Comma 2 2 2 6 7" xfId="30207" xr:uid="{00000000-0005-0000-0000-00000B010000}"/>
    <cellStyle name="Comma 2 2 2 7" xfId="18081" xr:uid="{00000000-0005-0000-0000-00000C010000}"/>
    <cellStyle name="Comma 2 2 2 7 2" xfId="38133" xr:uid="{00000000-0005-0000-0000-00000D010000}"/>
    <cellStyle name="Comma 2 2 2 8" xfId="18477" xr:uid="{00000000-0005-0000-0000-00000E010000}"/>
    <cellStyle name="Comma 2 2 2 8 2" xfId="38529" xr:uid="{00000000-0005-0000-0000-00000F010000}"/>
    <cellStyle name="Comma 2 2 2 9" xfId="18873" xr:uid="{00000000-0005-0000-0000-000010010000}"/>
    <cellStyle name="Comma 2 2 2 9 2" xfId="38925" xr:uid="{00000000-0005-0000-0000-000011010000}"/>
    <cellStyle name="Comma 2 2 3" xfId="1757" xr:uid="{00000000-0005-0000-0000-000012010000}"/>
    <cellStyle name="Comma 2 2 3 10" xfId="21809" xr:uid="{00000000-0005-0000-0000-000013010000}"/>
    <cellStyle name="Comma 2 2 3 2" xfId="6239" xr:uid="{00000000-0005-0000-0000-000014010000}"/>
    <cellStyle name="Comma 2 2 3 2 2" xfId="15269" xr:uid="{00000000-0005-0000-0000-000015010000}"/>
    <cellStyle name="Comma 2 2 3 2 2 2" xfId="18356" xr:uid="{00000000-0005-0000-0000-000016010000}"/>
    <cellStyle name="Comma 2 2 3 2 2 2 2" xfId="38408" xr:uid="{00000000-0005-0000-0000-000017010000}"/>
    <cellStyle name="Comma 2 2 3 2 2 3" xfId="18752" xr:uid="{00000000-0005-0000-0000-000018010000}"/>
    <cellStyle name="Comma 2 2 3 2 2 3 2" xfId="38804" xr:uid="{00000000-0005-0000-0000-000019010000}"/>
    <cellStyle name="Comma 2 2 3 2 2 4" xfId="19148" xr:uid="{00000000-0005-0000-0000-00001A010000}"/>
    <cellStyle name="Comma 2 2 3 2 2 4 2" xfId="39200" xr:uid="{00000000-0005-0000-0000-00001B010000}"/>
    <cellStyle name="Comma 2 2 3 2 2 5" xfId="19544" xr:uid="{00000000-0005-0000-0000-00001C010000}"/>
    <cellStyle name="Comma 2 2 3 2 2 5 2" xfId="39596" xr:uid="{00000000-0005-0000-0000-00001D010000}"/>
    <cellStyle name="Comma 2 2 3 2 2 6" xfId="19940" xr:uid="{00000000-0005-0000-0000-00001E010000}"/>
    <cellStyle name="Comma 2 2 3 2 2 6 2" xfId="39992" xr:uid="{00000000-0005-0000-0000-00001F010000}"/>
    <cellStyle name="Comma 2 2 3 2 2 7" xfId="35321" xr:uid="{00000000-0005-0000-0000-000020010000}"/>
    <cellStyle name="Comma 2 2 3 2 3" xfId="18158" xr:uid="{00000000-0005-0000-0000-000021010000}"/>
    <cellStyle name="Comma 2 2 3 2 3 2" xfId="38210" xr:uid="{00000000-0005-0000-0000-000022010000}"/>
    <cellStyle name="Comma 2 2 3 2 4" xfId="18554" xr:uid="{00000000-0005-0000-0000-000023010000}"/>
    <cellStyle name="Comma 2 2 3 2 4 2" xfId="38606" xr:uid="{00000000-0005-0000-0000-000024010000}"/>
    <cellStyle name="Comma 2 2 3 2 5" xfId="18950" xr:uid="{00000000-0005-0000-0000-000025010000}"/>
    <cellStyle name="Comma 2 2 3 2 5 2" xfId="39002" xr:uid="{00000000-0005-0000-0000-000026010000}"/>
    <cellStyle name="Comma 2 2 3 2 6" xfId="19346" xr:uid="{00000000-0005-0000-0000-000027010000}"/>
    <cellStyle name="Comma 2 2 3 2 6 2" xfId="39398" xr:uid="{00000000-0005-0000-0000-000028010000}"/>
    <cellStyle name="Comma 2 2 3 2 7" xfId="19742" xr:uid="{00000000-0005-0000-0000-000029010000}"/>
    <cellStyle name="Comma 2 2 3 2 7 2" xfId="39794" xr:uid="{00000000-0005-0000-0000-00002A010000}"/>
    <cellStyle name="Comma 2 2 3 2 8" xfId="26291" xr:uid="{00000000-0005-0000-0000-00002B010000}"/>
    <cellStyle name="Comma 2 2 3 3" xfId="8996" xr:uid="{00000000-0005-0000-0000-00002C010000}"/>
    <cellStyle name="Comma 2 2 3 3 2" xfId="18026" xr:uid="{00000000-0005-0000-0000-00002D010000}"/>
    <cellStyle name="Comma 2 2 3 3 2 2" xfId="18422" xr:uid="{00000000-0005-0000-0000-00002E010000}"/>
    <cellStyle name="Comma 2 2 3 3 2 2 2" xfId="38474" xr:uid="{00000000-0005-0000-0000-00002F010000}"/>
    <cellStyle name="Comma 2 2 3 3 2 3" xfId="18818" xr:uid="{00000000-0005-0000-0000-000030010000}"/>
    <cellStyle name="Comma 2 2 3 3 2 3 2" xfId="38870" xr:uid="{00000000-0005-0000-0000-000031010000}"/>
    <cellStyle name="Comma 2 2 3 3 2 4" xfId="19214" xr:uid="{00000000-0005-0000-0000-000032010000}"/>
    <cellStyle name="Comma 2 2 3 3 2 4 2" xfId="39266" xr:uid="{00000000-0005-0000-0000-000033010000}"/>
    <cellStyle name="Comma 2 2 3 3 2 5" xfId="19610" xr:uid="{00000000-0005-0000-0000-000034010000}"/>
    <cellStyle name="Comma 2 2 3 3 2 5 2" xfId="39662" xr:uid="{00000000-0005-0000-0000-000035010000}"/>
    <cellStyle name="Comma 2 2 3 3 2 6" xfId="20006" xr:uid="{00000000-0005-0000-0000-000036010000}"/>
    <cellStyle name="Comma 2 2 3 3 2 6 2" xfId="40058" xr:uid="{00000000-0005-0000-0000-000037010000}"/>
    <cellStyle name="Comma 2 2 3 3 2 7" xfId="38078" xr:uid="{00000000-0005-0000-0000-000038010000}"/>
    <cellStyle name="Comma 2 2 3 3 3" xfId="18224" xr:uid="{00000000-0005-0000-0000-000039010000}"/>
    <cellStyle name="Comma 2 2 3 3 3 2" xfId="38276" xr:uid="{00000000-0005-0000-0000-00003A010000}"/>
    <cellStyle name="Comma 2 2 3 3 4" xfId="18620" xr:uid="{00000000-0005-0000-0000-00003B010000}"/>
    <cellStyle name="Comma 2 2 3 3 4 2" xfId="38672" xr:uid="{00000000-0005-0000-0000-00003C010000}"/>
    <cellStyle name="Comma 2 2 3 3 5" xfId="19016" xr:uid="{00000000-0005-0000-0000-00003D010000}"/>
    <cellStyle name="Comma 2 2 3 3 5 2" xfId="39068" xr:uid="{00000000-0005-0000-0000-00003E010000}"/>
    <cellStyle name="Comma 2 2 3 3 6" xfId="19412" xr:uid="{00000000-0005-0000-0000-00003F010000}"/>
    <cellStyle name="Comma 2 2 3 3 6 2" xfId="39464" xr:uid="{00000000-0005-0000-0000-000040010000}"/>
    <cellStyle name="Comma 2 2 3 3 7" xfId="19808" xr:uid="{00000000-0005-0000-0000-000041010000}"/>
    <cellStyle name="Comma 2 2 3 3 7 2" xfId="39860" xr:uid="{00000000-0005-0000-0000-000042010000}"/>
    <cellStyle name="Comma 2 2 3 3 8" xfId="29048" xr:uid="{00000000-0005-0000-0000-000043010000}"/>
    <cellStyle name="Comma 2 2 3 4" xfId="10787" xr:uid="{00000000-0005-0000-0000-000044010000}"/>
    <cellStyle name="Comma 2 2 3 4 2" xfId="18290" xr:uid="{00000000-0005-0000-0000-000045010000}"/>
    <cellStyle name="Comma 2 2 3 4 2 2" xfId="38342" xr:uid="{00000000-0005-0000-0000-000046010000}"/>
    <cellStyle name="Comma 2 2 3 4 3" xfId="18686" xr:uid="{00000000-0005-0000-0000-000047010000}"/>
    <cellStyle name="Comma 2 2 3 4 3 2" xfId="38738" xr:uid="{00000000-0005-0000-0000-000048010000}"/>
    <cellStyle name="Comma 2 2 3 4 4" xfId="19082" xr:uid="{00000000-0005-0000-0000-000049010000}"/>
    <cellStyle name="Comma 2 2 3 4 4 2" xfId="39134" xr:uid="{00000000-0005-0000-0000-00004A010000}"/>
    <cellStyle name="Comma 2 2 3 4 5" xfId="19478" xr:uid="{00000000-0005-0000-0000-00004B010000}"/>
    <cellStyle name="Comma 2 2 3 4 5 2" xfId="39530" xr:uid="{00000000-0005-0000-0000-00004C010000}"/>
    <cellStyle name="Comma 2 2 3 4 6" xfId="19874" xr:uid="{00000000-0005-0000-0000-00004D010000}"/>
    <cellStyle name="Comma 2 2 3 4 6 2" xfId="39926" xr:uid="{00000000-0005-0000-0000-00004E010000}"/>
    <cellStyle name="Comma 2 2 3 4 7" xfId="30839" xr:uid="{00000000-0005-0000-0000-00004F010000}"/>
    <cellStyle name="Comma 2 2 3 5" xfId="18092" xr:uid="{00000000-0005-0000-0000-000050010000}"/>
    <cellStyle name="Comma 2 2 3 5 2" xfId="38144" xr:uid="{00000000-0005-0000-0000-000051010000}"/>
    <cellStyle name="Comma 2 2 3 6" xfId="18488" xr:uid="{00000000-0005-0000-0000-000052010000}"/>
    <cellStyle name="Comma 2 2 3 6 2" xfId="38540" xr:uid="{00000000-0005-0000-0000-000053010000}"/>
    <cellStyle name="Comma 2 2 3 7" xfId="18884" xr:uid="{00000000-0005-0000-0000-000054010000}"/>
    <cellStyle name="Comma 2 2 3 7 2" xfId="38936" xr:uid="{00000000-0005-0000-0000-000055010000}"/>
    <cellStyle name="Comma 2 2 3 8" xfId="19280" xr:uid="{00000000-0005-0000-0000-000056010000}"/>
    <cellStyle name="Comma 2 2 3 8 2" xfId="39332" xr:uid="{00000000-0005-0000-0000-000057010000}"/>
    <cellStyle name="Comma 2 2 3 9" xfId="19676" xr:uid="{00000000-0005-0000-0000-000058010000}"/>
    <cellStyle name="Comma 2 2 3 9 2" xfId="39728" xr:uid="{00000000-0005-0000-0000-000059010000}"/>
    <cellStyle name="Comma 2 2 4" xfId="3251" xr:uid="{00000000-0005-0000-0000-00005A010000}"/>
    <cellStyle name="Comma 2 2 4 10" xfId="23303" xr:uid="{00000000-0005-0000-0000-00005B010000}"/>
    <cellStyle name="Comma 2 2 4 2" xfId="7733" xr:uid="{00000000-0005-0000-0000-00005C010000}"/>
    <cellStyle name="Comma 2 2 4 2 2" xfId="16763" xr:uid="{00000000-0005-0000-0000-00005D010000}"/>
    <cellStyle name="Comma 2 2 4 2 2 2" xfId="18378" xr:uid="{00000000-0005-0000-0000-00005E010000}"/>
    <cellStyle name="Comma 2 2 4 2 2 2 2" xfId="38430" xr:uid="{00000000-0005-0000-0000-00005F010000}"/>
    <cellStyle name="Comma 2 2 4 2 2 3" xfId="18774" xr:uid="{00000000-0005-0000-0000-000060010000}"/>
    <cellStyle name="Comma 2 2 4 2 2 3 2" xfId="38826" xr:uid="{00000000-0005-0000-0000-000061010000}"/>
    <cellStyle name="Comma 2 2 4 2 2 4" xfId="19170" xr:uid="{00000000-0005-0000-0000-000062010000}"/>
    <cellStyle name="Comma 2 2 4 2 2 4 2" xfId="39222" xr:uid="{00000000-0005-0000-0000-000063010000}"/>
    <cellStyle name="Comma 2 2 4 2 2 5" xfId="19566" xr:uid="{00000000-0005-0000-0000-000064010000}"/>
    <cellStyle name="Comma 2 2 4 2 2 5 2" xfId="39618" xr:uid="{00000000-0005-0000-0000-000065010000}"/>
    <cellStyle name="Comma 2 2 4 2 2 6" xfId="19962" xr:uid="{00000000-0005-0000-0000-000066010000}"/>
    <cellStyle name="Comma 2 2 4 2 2 6 2" xfId="40014" xr:uid="{00000000-0005-0000-0000-000067010000}"/>
    <cellStyle name="Comma 2 2 4 2 2 7" xfId="36815" xr:uid="{00000000-0005-0000-0000-000068010000}"/>
    <cellStyle name="Comma 2 2 4 2 3" xfId="18180" xr:uid="{00000000-0005-0000-0000-000069010000}"/>
    <cellStyle name="Comma 2 2 4 2 3 2" xfId="38232" xr:uid="{00000000-0005-0000-0000-00006A010000}"/>
    <cellStyle name="Comma 2 2 4 2 4" xfId="18576" xr:uid="{00000000-0005-0000-0000-00006B010000}"/>
    <cellStyle name="Comma 2 2 4 2 4 2" xfId="38628" xr:uid="{00000000-0005-0000-0000-00006C010000}"/>
    <cellStyle name="Comma 2 2 4 2 5" xfId="18972" xr:uid="{00000000-0005-0000-0000-00006D010000}"/>
    <cellStyle name="Comma 2 2 4 2 5 2" xfId="39024" xr:uid="{00000000-0005-0000-0000-00006E010000}"/>
    <cellStyle name="Comma 2 2 4 2 6" xfId="19368" xr:uid="{00000000-0005-0000-0000-00006F010000}"/>
    <cellStyle name="Comma 2 2 4 2 6 2" xfId="39420" xr:uid="{00000000-0005-0000-0000-000070010000}"/>
    <cellStyle name="Comma 2 2 4 2 7" xfId="19764" xr:uid="{00000000-0005-0000-0000-000071010000}"/>
    <cellStyle name="Comma 2 2 4 2 7 2" xfId="39816" xr:uid="{00000000-0005-0000-0000-000072010000}"/>
    <cellStyle name="Comma 2 2 4 2 8" xfId="27785" xr:uid="{00000000-0005-0000-0000-000073010000}"/>
    <cellStyle name="Comma 2 2 4 3" xfId="9018" xr:uid="{00000000-0005-0000-0000-000074010000}"/>
    <cellStyle name="Comma 2 2 4 3 2" xfId="18048" xr:uid="{00000000-0005-0000-0000-000075010000}"/>
    <cellStyle name="Comma 2 2 4 3 2 2" xfId="18444" xr:uid="{00000000-0005-0000-0000-000076010000}"/>
    <cellStyle name="Comma 2 2 4 3 2 2 2" xfId="38496" xr:uid="{00000000-0005-0000-0000-000077010000}"/>
    <cellStyle name="Comma 2 2 4 3 2 3" xfId="18840" xr:uid="{00000000-0005-0000-0000-000078010000}"/>
    <cellStyle name="Comma 2 2 4 3 2 3 2" xfId="38892" xr:uid="{00000000-0005-0000-0000-000079010000}"/>
    <cellStyle name="Comma 2 2 4 3 2 4" xfId="19236" xr:uid="{00000000-0005-0000-0000-00007A010000}"/>
    <cellStyle name="Comma 2 2 4 3 2 4 2" xfId="39288" xr:uid="{00000000-0005-0000-0000-00007B010000}"/>
    <cellStyle name="Comma 2 2 4 3 2 5" xfId="19632" xr:uid="{00000000-0005-0000-0000-00007C010000}"/>
    <cellStyle name="Comma 2 2 4 3 2 5 2" xfId="39684" xr:uid="{00000000-0005-0000-0000-00007D010000}"/>
    <cellStyle name="Comma 2 2 4 3 2 6" xfId="20028" xr:uid="{00000000-0005-0000-0000-00007E010000}"/>
    <cellStyle name="Comma 2 2 4 3 2 6 2" xfId="40080" xr:uid="{00000000-0005-0000-0000-00007F010000}"/>
    <cellStyle name="Comma 2 2 4 3 2 7" xfId="38100" xr:uid="{00000000-0005-0000-0000-000080010000}"/>
    <cellStyle name="Comma 2 2 4 3 3" xfId="18246" xr:uid="{00000000-0005-0000-0000-000081010000}"/>
    <cellStyle name="Comma 2 2 4 3 3 2" xfId="38298" xr:uid="{00000000-0005-0000-0000-000082010000}"/>
    <cellStyle name="Comma 2 2 4 3 4" xfId="18642" xr:uid="{00000000-0005-0000-0000-000083010000}"/>
    <cellStyle name="Comma 2 2 4 3 4 2" xfId="38694" xr:uid="{00000000-0005-0000-0000-000084010000}"/>
    <cellStyle name="Comma 2 2 4 3 5" xfId="19038" xr:uid="{00000000-0005-0000-0000-000085010000}"/>
    <cellStyle name="Comma 2 2 4 3 5 2" xfId="39090" xr:uid="{00000000-0005-0000-0000-000086010000}"/>
    <cellStyle name="Comma 2 2 4 3 6" xfId="19434" xr:uid="{00000000-0005-0000-0000-000087010000}"/>
    <cellStyle name="Comma 2 2 4 3 6 2" xfId="39486" xr:uid="{00000000-0005-0000-0000-000088010000}"/>
    <cellStyle name="Comma 2 2 4 3 7" xfId="19830" xr:uid="{00000000-0005-0000-0000-000089010000}"/>
    <cellStyle name="Comma 2 2 4 3 7 2" xfId="39882" xr:uid="{00000000-0005-0000-0000-00008A010000}"/>
    <cellStyle name="Comma 2 2 4 3 8" xfId="29070" xr:uid="{00000000-0005-0000-0000-00008B010000}"/>
    <cellStyle name="Comma 2 2 4 4" xfId="12281" xr:uid="{00000000-0005-0000-0000-00008C010000}"/>
    <cellStyle name="Comma 2 2 4 4 2" xfId="18312" xr:uid="{00000000-0005-0000-0000-00008D010000}"/>
    <cellStyle name="Comma 2 2 4 4 2 2" xfId="38364" xr:uid="{00000000-0005-0000-0000-00008E010000}"/>
    <cellStyle name="Comma 2 2 4 4 3" xfId="18708" xr:uid="{00000000-0005-0000-0000-00008F010000}"/>
    <cellStyle name="Comma 2 2 4 4 3 2" xfId="38760" xr:uid="{00000000-0005-0000-0000-000090010000}"/>
    <cellStyle name="Comma 2 2 4 4 4" xfId="19104" xr:uid="{00000000-0005-0000-0000-000091010000}"/>
    <cellStyle name="Comma 2 2 4 4 4 2" xfId="39156" xr:uid="{00000000-0005-0000-0000-000092010000}"/>
    <cellStyle name="Comma 2 2 4 4 5" xfId="19500" xr:uid="{00000000-0005-0000-0000-000093010000}"/>
    <cellStyle name="Comma 2 2 4 4 5 2" xfId="39552" xr:uid="{00000000-0005-0000-0000-000094010000}"/>
    <cellStyle name="Comma 2 2 4 4 6" xfId="19896" xr:uid="{00000000-0005-0000-0000-000095010000}"/>
    <cellStyle name="Comma 2 2 4 4 6 2" xfId="39948" xr:uid="{00000000-0005-0000-0000-000096010000}"/>
    <cellStyle name="Comma 2 2 4 4 7" xfId="32333" xr:uid="{00000000-0005-0000-0000-000097010000}"/>
    <cellStyle name="Comma 2 2 4 5" xfId="18114" xr:uid="{00000000-0005-0000-0000-000098010000}"/>
    <cellStyle name="Comma 2 2 4 5 2" xfId="38166" xr:uid="{00000000-0005-0000-0000-000099010000}"/>
    <cellStyle name="Comma 2 2 4 6" xfId="18510" xr:uid="{00000000-0005-0000-0000-00009A010000}"/>
    <cellStyle name="Comma 2 2 4 6 2" xfId="38562" xr:uid="{00000000-0005-0000-0000-00009B010000}"/>
    <cellStyle name="Comma 2 2 4 7" xfId="18906" xr:uid="{00000000-0005-0000-0000-00009C010000}"/>
    <cellStyle name="Comma 2 2 4 7 2" xfId="38958" xr:uid="{00000000-0005-0000-0000-00009D010000}"/>
    <cellStyle name="Comma 2 2 4 8" xfId="19302" xr:uid="{00000000-0005-0000-0000-00009E010000}"/>
    <cellStyle name="Comma 2 2 4 8 2" xfId="39354" xr:uid="{00000000-0005-0000-0000-00009F010000}"/>
    <cellStyle name="Comma 2 2 4 9" xfId="19698" xr:uid="{00000000-0005-0000-0000-0000A0010000}"/>
    <cellStyle name="Comma 2 2 4 9 2" xfId="39750" xr:uid="{00000000-0005-0000-0000-0000A1010000}"/>
    <cellStyle name="Comma 2 2 5" xfId="4745" xr:uid="{00000000-0005-0000-0000-0000A2010000}"/>
    <cellStyle name="Comma 2 2 5 2" xfId="13775" xr:uid="{00000000-0005-0000-0000-0000A3010000}"/>
    <cellStyle name="Comma 2 2 5 2 2" xfId="18334" xr:uid="{00000000-0005-0000-0000-0000A4010000}"/>
    <cellStyle name="Comma 2 2 5 2 2 2" xfId="38386" xr:uid="{00000000-0005-0000-0000-0000A5010000}"/>
    <cellStyle name="Comma 2 2 5 2 3" xfId="18730" xr:uid="{00000000-0005-0000-0000-0000A6010000}"/>
    <cellStyle name="Comma 2 2 5 2 3 2" xfId="38782" xr:uid="{00000000-0005-0000-0000-0000A7010000}"/>
    <cellStyle name="Comma 2 2 5 2 4" xfId="19126" xr:uid="{00000000-0005-0000-0000-0000A8010000}"/>
    <cellStyle name="Comma 2 2 5 2 4 2" xfId="39178" xr:uid="{00000000-0005-0000-0000-0000A9010000}"/>
    <cellStyle name="Comma 2 2 5 2 5" xfId="19522" xr:uid="{00000000-0005-0000-0000-0000AA010000}"/>
    <cellStyle name="Comma 2 2 5 2 5 2" xfId="39574" xr:uid="{00000000-0005-0000-0000-0000AB010000}"/>
    <cellStyle name="Comma 2 2 5 2 6" xfId="19918" xr:uid="{00000000-0005-0000-0000-0000AC010000}"/>
    <cellStyle name="Comma 2 2 5 2 6 2" xfId="39970" xr:uid="{00000000-0005-0000-0000-0000AD010000}"/>
    <cellStyle name="Comma 2 2 5 2 7" xfId="33827" xr:uid="{00000000-0005-0000-0000-0000AE010000}"/>
    <cellStyle name="Comma 2 2 5 3" xfId="18136" xr:uid="{00000000-0005-0000-0000-0000AF010000}"/>
    <cellStyle name="Comma 2 2 5 3 2" xfId="38188" xr:uid="{00000000-0005-0000-0000-0000B0010000}"/>
    <cellStyle name="Comma 2 2 5 4" xfId="18532" xr:uid="{00000000-0005-0000-0000-0000B1010000}"/>
    <cellStyle name="Comma 2 2 5 4 2" xfId="38584" xr:uid="{00000000-0005-0000-0000-0000B2010000}"/>
    <cellStyle name="Comma 2 2 5 5" xfId="18928" xr:uid="{00000000-0005-0000-0000-0000B3010000}"/>
    <cellStyle name="Comma 2 2 5 5 2" xfId="38980" xr:uid="{00000000-0005-0000-0000-0000B4010000}"/>
    <cellStyle name="Comma 2 2 5 6" xfId="19324" xr:uid="{00000000-0005-0000-0000-0000B5010000}"/>
    <cellStyle name="Comma 2 2 5 6 2" xfId="39376" xr:uid="{00000000-0005-0000-0000-0000B6010000}"/>
    <cellStyle name="Comma 2 2 5 7" xfId="19720" xr:uid="{00000000-0005-0000-0000-0000B7010000}"/>
    <cellStyle name="Comma 2 2 5 7 2" xfId="39772" xr:uid="{00000000-0005-0000-0000-0000B8010000}"/>
    <cellStyle name="Comma 2 2 5 8" xfId="24797" xr:uid="{00000000-0005-0000-0000-0000B9010000}"/>
    <cellStyle name="Comma 2 2 6" xfId="8974" xr:uid="{00000000-0005-0000-0000-0000BA010000}"/>
    <cellStyle name="Comma 2 2 6 2" xfId="18004" xr:uid="{00000000-0005-0000-0000-0000BB010000}"/>
    <cellStyle name="Comma 2 2 6 2 2" xfId="18400" xr:uid="{00000000-0005-0000-0000-0000BC010000}"/>
    <cellStyle name="Comma 2 2 6 2 2 2" xfId="38452" xr:uid="{00000000-0005-0000-0000-0000BD010000}"/>
    <cellStyle name="Comma 2 2 6 2 3" xfId="18796" xr:uid="{00000000-0005-0000-0000-0000BE010000}"/>
    <cellStyle name="Comma 2 2 6 2 3 2" xfId="38848" xr:uid="{00000000-0005-0000-0000-0000BF010000}"/>
    <cellStyle name="Comma 2 2 6 2 4" xfId="19192" xr:uid="{00000000-0005-0000-0000-0000C0010000}"/>
    <cellStyle name="Comma 2 2 6 2 4 2" xfId="39244" xr:uid="{00000000-0005-0000-0000-0000C1010000}"/>
    <cellStyle name="Comma 2 2 6 2 5" xfId="19588" xr:uid="{00000000-0005-0000-0000-0000C2010000}"/>
    <cellStyle name="Comma 2 2 6 2 5 2" xfId="39640" xr:uid="{00000000-0005-0000-0000-0000C3010000}"/>
    <cellStyle name="Comma 2 2 6 2 6" xfId="19984" xr:uid="{00000000-0005-0000-0000-0000C4010000}"/>
    <cellStyle name="Comma 2 2 6 2 6 2" xfId="40036" xr:uid="{00000000-0005-0000-0000-0000C5010000}"/>
    <cellStyle name="Comma 2 2 6 2 7" xfId="38056" xr:uid="{00000000-0005-0000-0000-0000C6010000}"/>
    <cellStyle name="Comma 2 2 6 3" xfId="18202" xr:uid="{00000000-0005-0000-0000-0000C7010000}"/>
    <cellStyle name="Comma 2 2 6 3 2" xfId="38254" xr:uid="{00000000-0005-0000-0000-0000C8010000}"/>
    <cellStyle name="Comma 2 2 6 4" xfId="18598" xr:uid="{00000000-0005-0000-0000-0000C9010000}"/>
    <cellStyle name="Comma 2 2 6 4 2" xfId="38650" xr:uid="{00000000-0005-0000-0000-0000CA010000}"/>
    <cellStyle name="Comma 2 2 6 5" xfId="18994" xr:uid="{00000000-0005-0000-0000-0000CB010000}"/>
    <cellStyle name="Comma 2 2 6 5 2" xfId="39046" xr:uid="{00000000-0005-0000-0000-0000CC010000}"/>
    <cellStyle name="Comma 2 2 6 6" xfId="19390" xr:uid="{00000000-0005-0000-0000-0000CD010000}"/>
    <cellStyle name="Comma 2 2 6 6 2" xfId="39442" xr:uid="{00000000-0005-0000-0000-0000CE010000}"/>
    <cellStyle name="Comma 2 2 6 7" xfId="19786" xr:uid="{00000000-0005-0000-0000-0000CF010000}"/>
    <cellStyle name="Comma 2 2 6 7 2" xfId="39838" xr:uid="{00000000-0005-0000-0000-0000D0010000}"/>
    <cellStyle name="Comma 2 2 6 8" xfId="29026" xr:uid="{00000000-0005-0000-0000-0000D1010000}"/>
    <cellStyle name="Comma 2 2 7" xfId="9293" xr:uid="{00000000-0005-0000-0000-0000D2010000}"/>
    <cellStyle name="Comma 2 2 7 2" xfId="18268" xr:uid="{00000000-0005-0000-0000-0000D3010000}"/>
    <cellStyle name="Comma 2 2 7 2 2" xfId="38320" xr:uid="{00000000-0005-0000-0000-0000D4010000}"/>
    <cellStyle name="Comma 2 2 7 3" xfId="18664" xr:uid="{00000000-0005-0000-0000-0000D5010000}"/>
    <cellStyle name="Comma 2 2 7 3 2" xfId="38716" xr:uid="{00000000-0005-0000-0000-0000D6010000}"/>
    <cellStyle name="Comma 2 2 7 4" xfId="19060" xr:uid="{00000000-0005-0000-0000-0000D7010000}"/>
    <cellStyle name="Comma 2 2 7 4 2" xfId="39112" xr:uid="{00000000-0005-0000-0000-0000D8010000}"/>
    <cellStyle name="Comma 2 2 7 5" xfId="19456" xr:uid="{00000000-0005-0000-0000-0000D9010000}"/>
    <cellStyle name="Comma 2 2 7 5 2" xfId="39508" xr:uid="{00000000-0005-0000-0000-0000DA010000}"/>
    <cellStyle name="Comma 2 2 7 6" xfId="19852" xr:uid="{00000000-0005-0000-0000-0000DB010000}"/>
    <cellStyle name="Comma 2 2 7 6 2" xfId="39904" xr:uid="{00000000-0005-0000-0000-0000DC010000}"/>
    <cellStyle name="Comma 2 2 7 7" xfId="29345" xr:uid="{00000000-0005-0000-0000-0000DD010000}"/>
    <cellStyle name="Comma 2 2 8" xfId="18070" xr:uid="{00000000-0005-0000-0000-0000DE010000}"/>
    <cellStyle name="Comma 2 2 8 2" xfId="38122" xr:uid="{00000000-0005-0000-0000-0000DF010000}"/>
    <cellStyle name="Comma 2 2 9" xfId="18466" xr:uid="{00000000-0005-0000-0000-0000E0010000}"/>
    <cellStyle name="Comma 2 2 9 2" xfId="38518" xr:uid="{00000000-0005-0000-0000-0000E1010000}"/>
    <cellStyle name="Comma 2 3" xfId="449" xr:uid="{00000000-0005-0000-0000-0000E2010000}"/>
    <cellStyle name="Comma 2 3 10" xfId="18864" xr:uid="{00000000-0005-0000-0000-0000E3010000}"/>
    <cellStyle name="Comma 2 3 10 2" xfId="38916" xr:uid="{00000000-0005-0000-0000-0000E4010000}"/>
    <cellStyle name="Comma 2 3 11" xfId="19260" xr:uid="{00000000-0005-0000-0000-0000E5010000}"/>
    <cellStyle name="Comma 2 3 11 2" xfId="39312" xr:uid="{00000000-0005-0000-0000-0000E6010000}"/>
    <cellStyle name="Comma 2 3 12" xfId="19656" xr:uid="{00000000-0005-0000-0000-0000E7010000}"/>
    <cellStyle name="Comma 2 3 12 2" xfId="39708" xr:uid="{00000000-0005-0000-0000-0000E8010000}"/>
    <cellStyle name="Comma 2 3 13" xfId="20501" xr:uid="{00000000-0005-0000-0000-0000E9010000}"/>
    <cellStyle name="Comma 2 3 2" xfId="1196" xr:uid="{00000000-0005-0000-0000-0000EA010000}"/>
    <cellStyle name="Comma 2 3 2 10" xfId="19271" xr:uid="{00000000-0005-0000-0000-0000EB010000}"/>
    <cellStyle name="Comma 2 3 2 10 2" xfId="39323" xr:uid="{00000000-0005-0000-0000-0000EC010000}"/>
    <cellStyle name="Comma 2 3 2 11" xfId="19667" xr:uid="{00000000-0005-0000-0000-0000ED010000}"/>
    <cellStyle name="Comma 2 3 2 11 2" xfId="39719" xr:uid="{00000000-0005-0000-0000-0000EE010000}"/>
    <cellStyle name="Comma 2 3 2 12" xfId="21248" xr:uid="{00000000-0005-0000-0000-0000EF010000}"/>
    <cellStyle name="Comma 2 3 2 2" xfId="2690" xr:uid="{00000000-0005-0000-0000-0000F0010000}"/>
    <cellStyle name="Comma 2 3 2 2 10" xfId="22742" xr:uid="{00000000-0005-0000-0000-0000F1010000}"/>
    <cellStyle name="Comma 2 3 2 2 2" xfId="7172" xr:uid="{00000000-0005-0000-0000-0000F2010000}"/>
    <cellStyle name="Comma 2 3 2 2 2 2" xfId="16202" xr:uid="{00000000-0005-0000-0000-0000F3010000}"/>
    <cellStyle name="Comma 2 3 2 2 2 2 2" xfId="18369" xr:uid="{00000000-0005-0000-0000-0000F4010000}"/>
    <cellStyle name="Comma 2 3 2 2 2 2 2 2" xfId="38421" xr:uid="{00000000-0005-0000-0000-0000F5010000}"/>
    <cellStyle name="Comma 2 3 2 2 2 2 3" xfId="18765" xr:uid="{00000000-0005-0000-0000-0000F6010000}"/>
    <cellStyle name="Comma 2 3 2 2 2 2 3 2" xfId="38817" xr:uid="{00000000-0005-0000-0000-0000F7010000}"/>
    <cellStyle name="Comma 2 3 2 2 2 2 4" xfId="19161" xr:uid="{00000000-0005-0000-0000-0000F8010000}"/>
    <cellStyle name="Comma 2 3 2 2 2 2 4 2" xfId="39213" xr:uid="{00000000-0005-0000-0000-0000F9010000}"/>
    <cellStyle name="Comma 2 3 2 2 2 2 5" xfId="19557" xr:uid="{00000000-0005-0000-0000-0000FA010000}"/>
    <cellStyle name="Comma 2 3 2 2 2 2 5 2" xfId="39609" xr:uid="{00000000-0005-0000-0000-0000FB010000}"/>
    <cellStyle name="Comma 2 3 2 2 2 2 6" xfId="19953" xr:uid="{00000000-0005-0000-0000-0000FC010000}"/>
    <cellStyle name="Comma 2 3 2 2 2 2 6 2" xfId="40005" xr:uid="{00000000-0005-0000-0000-0000FD010000}"/>
    <cellStyle name="Comma 2 3 2 2 2 2 7" xfId="36254" xr:uid="{00000000-0005-0000-0000-0000FE010000}"/>
    <cellStyle name="Comma 2 3 2 2 2 3" xfId="18171" xr:uid="{00000000-0005-0000-0000-0000FF010000}"/>
    <cellStyle name="Comma 2 3 2 2 2 3 2" xfId="38223" xr:uid="{00000000-0005-0000-0000-000000020000}"/>
    <cellStyle name="Comma 2 3 2 2 2 4" xfId="18567" xr:uid="{00000000-0005-0000-0000-000001020000}"/>
    <cellStyle name="Comma 2 3 2 2 2 4 2" xfId="38619" xr:uid="{00000000-0005-0000-0000-000002020000}"/>
    <cellStyle name="Comma 2 3 2 2 2 5" xfId="18963" xr:uid="{00000000-0005-0000-0000-000003020000}"/>
    <cellStyle name="Comma 2 3 2 2 2 5 2" xfId="39015" xr:uid="{00000000-0005-0000-0000-000004020000}"/>
    <cellStyle name="Comma 2 3 2 2 2 6" xfId="19359" xr:uid="{00000000-0005-0000-0000-000005020000}"/>
    <cellStyle name="Comma 2 3 2 2 2 6 2" xfId="39411" xr:uid="{00000000-0005-0000-0000-000006020000}"/>
    <cellStyle name="Comma 2 3 2 2 2 7" xfId="19755" xr:uid="{00000000-0005-0000-0000-000007020000}"/>
    <cellStyle name="Comma 2 3 2 2 2 7 2" xfId="39807" xr:uid="{00000000-0005-0000-0000-000008020000}"/>
    <cellStyle name="Comma 2 3 2 2 2 8" xfId="27224" xr:uid="{00000000-0005-0000-0000-000009020000}"/>
    <cellStyle name="Comma 2 3 2 2 3" xfId="9009" xr:uid="{00000000-0005-0000-0000-00000A020000}"/>
    <cellStyle name="Comma 2 3 2 2 3 2" xfId="18039" xr:uid="{00000000-0005-0000-0000-00000B020000}"/>
    <cellStyle name="Comma 2 3 2 2 3 2 2" xfId="18435" xr:uid="{00000000-0005-0000-0000-00000C020000}"/>
    <cellStyle name="Comma 2 3 2 2 3 2 2 2" xfId="38487" xr:uid="{00000000-0005-0000-0000-00000D020000}"/>
    <cellStyle name="Comma 2 3 2 2 3 2 3" xfId="18831" xr:uid="{00000000-0005-0000-0000-00000E020000}"/>
    <cellStyle name="Comma 2 3 2 2 3 2 3 2" xfId="38883" xr:uid="{00000000-0005-0000-0000-00000F020000}"/>
    <cellStyle name="Comma 2 3 2 2 3 2 4" xfId="19227" xr:uid="{00000000-0005-0000-0000-000010020000}"/>
    <cellStyle name="Comma 2 3 2 2 3 2 4 2" xfId="39279" xr:uid="{00000000-0005-0000-0000-000011020000}"/>
    <cellStyle name="Comma 2 3 2 2 3 2 5" xfId="19623" xr:uid="{00000000-0005-0000-0000-000012020000}"/>
    <cellStyle name="Comma 2 3 2 2 3 2 5 2" xfId="39675" xr:uid="{00000000-0005-0000-0000-000013020000}"/>
    <cellStyle name="Comma 2 3 2 2 3 2 6" xfId="20019" xr:uid="{00000000-0005-0000-0000-000014020000}"/>
    <cellStyle name="Comma 2 3 2 2 3 2 6 2" xfId="40071" xr:uid="{00000000-0005-0000-0000-000015020000}"/>
    <cellStyle name="Comma 2 3 2 2 3 2 7" xfId="38091" xr:uid="{00000000-0005-0000-0000-000016020000}"/>
    <cellStyle name="Comma 2 3 2 2 3 3" xfId="18237" xr:uid="{00000000-0005-0000-0000-000017020000}"/>
    <cellStyle name="Comma 2 3 2 2 3 3 2" xfId="38289" xr:uid="{00000000-0005-0000-0000-000018020000}"/>
    <cellStyle name="Comma 2 3 2 2 3 4" xfId="18633" xr:uid="{00000000-0005-0000-0000-000019020000}"/>
    <cellStyle name="Comma 2 3 2 2 3 4 2" xfId="38685" xr:uid="{00000000-0005-0000-0000-00001A020000}"/>
    <cellStyle name="Comma 2 3 2 2 3 5" xfId="19029" xr:uid="{00000000-0005-0000-0000-00001B020000}"/>
    <cellStyle name="Comma 2 3 2 2 3 5 2" xfId="39081" xr:uid="{00000000-0005-0000-0000-00001C020000}"/>
    <cellStyle name="Comma 2 3 2 2 3 6" xfId="19425" xr:uid="{00000000-0005-0000-0000-00001D020000}"/>
    <cellStyle name="Comma 2 3 2 2 3 6 2" xfId="39477" xr:uid="{00000000-0005-0000-0000-00001E020000}"/>
    <cellStyle name="Comma 2 3 2 2 3 7" xfId="19821" xr:uid="{00000000-0005-0000-0000-00001F020000}"/>
    <cellStyle name="Comma 2 3 2 2 3 7 2" xfId="39873" xr:uid="{00000000-0005-0000-0000-000020020000}"/>
    <cellStyle name="Comma 2 3 2 2 3 8" xfId="29061" xr:uid="{00000000-0005-0000-0000-000021020000}"/>
    <cellStyle name="Comma 2 3 2 2 4" xfId="11720" xr:uid="{00000000-0005-0000-0000-000022020000}"/>
    <cellStyle name="Comma 2 3 2 2 4 2" xfId="18303" xr:uid="{00000000-0005-0000-0000-000023020000}"/>
    <cellStyle name="Comma 2 3 2 2 4 2 2" xfId="38355" xr:uid="{00000000-0005-0000-0000-000024020000}"/>
    <cellStyle name="Comma 2 3 2 2 4 3" xfId="18699" xr:uid="{00000000-0005-0000-0000-000025020000}"/>
    <cellStyle name="Comma 2 3 2 2 4 3 2" xfId="38751" xr:uid="{00000000-0005-0000-0000-000026020000}"/>
    <cellStyle name="Comma 2 3 2 2 4 4" xfId="19095" xr:uid="{00000000-0005-0000-0000-000027020000}"/>
    <cellStyle name="Comma 2 3 2 2 4 4 2" xfId="39147" xr:uid="{00000000-0005-0000-0000-000028020000}"/>
    <cellStyle name="Comma 2 3 2 2 4 5" xfId="19491" xr:uid="{00000000-0005-0000-0000-000029020000}"/>
    <cellStyle name="Comma 2 3 2 2 4 5 2" xfId="39543" xr:uid="{00000000-0005-0000-0000-00002A020000}"/>
    <cellStyle name="Comma 2 3 2 2 4 6" xfId="19887" xr:uid="{00000000-0005-0000-0000-00002B020000}"/>
    <cellStyle name="Comma 2 3 2 2 4 6 2" xfId="39939" xr:uid="{00000000-0005-0000-0000-00002C020000}"/>
    <cellStyle name="Comma 2 3 2 2 4 7" xfId="31772" xr:uid="{00000000-0005-0000-0000-00002D020000}"/>
    <cellStyle name="Comma 2 3 2 2 5" xfId="18105" xr:uid="{00000000-0005-0000-0000-00002E020000}"/>
    <cellStyle name="Comma 2 3 2 2 5 2" xfId="38157" xr:uid="{00000000-0005-0000-0000-00002F020000}"/>
    <cellStyle name="Comma 2 3 2 2 6" xfId="18501" xr:uid="{00000000-0005-0000-0000-000030020000}"/>
    <cellStyle name="Comma 2 3 2 2 6 2" xfId="38553" xr:uid="{00000000-0005-0000-0000-000031020000}"/>
    <cellStyle name="Comma 2 3 2 2 7" xfId="18897" xr:uid="{00000000-0005-0000-0000-000032020000}"/>
    <cellStyle name="Comma 2 3 2 2 7 2" xfId="38949" xr:uid="{00000000-0005-0000-0000-000033020000}"/>
    <cellStyle name="Comma 2 3 2 2 8" xfId="19293" xr:uid="{00000000-0005-0000-0000-000034020000}"/>
    <cellStyle name="Comma 2 3 2 2 8 2" xfId="39345" xr:uid="{00000000-0005-0000-0000-000035020000}"/>
    <cellStyle name="Comma 2 3 2 2 9" xfId="19689" xr:uid="{00000000-0005-0000-0000-000036020000}"/>
    <cellStyle name="Comma 2 3 2 2 9 2" xfId="39741" xr:uid="{00000000-0005-0000-0000-000037020000}"/>
    <cellStyle name="Comma 2 3 2 3" xfId="4184" xr:uid="{00000000-0005-0000-0000-000038020000}"/>
    <cellStyle name="Comma 2 3 2 3 10" xfId="24236" xr:uid="{00000000-0005-0000-0000-000039020000}"/>
    <cellStyle name="Comma 2 3 2 3 2" xfId="8666" xr:uid="{00000000-0005-0000-0000-00003A020000}"/>
    <cellStyle name="Comma 2 3 2 3 2 2" xfId="17696" xr:uid="{00000000-0005-0000-0000-00003B020000}"/>
    <cellStyle name="Comma 2 3 2 3 2 2 2" xfId="18391" xr:uid="{00000000-0005-0000-0000-00003C020000}"/>
    <cellStyle name="Comma 2 3 2 3 2 2 2 2" xfId="38443" xr:uid="{00000000-0005-0000-0000-00003D020000}"/>
    <cellStyle name="Comma 2 3 2 3 2 2 3" xfId="18787" xr:uid="{00000000-0005-0000-0000-00003E020000}"/>
    <cellStyle name="Comma 2 3 2 3 2 2 3 2" xfId="38839" xr:uid="{00000000-0005-0000-0000-00003F020000}"/>
    <cellStyle name="Comma 2 3 2 3 2 2 4" xfId="19183" xr:uid="{00000000-0005-0000-0000-000040020000}"/>
    <cellStyle name="Comma 2 3 2 3 2 2 4 2" xfId="39235" xr:uid="{00000000-0005-0000-0000-000041020000}"/>
    <cellStyle name="Comma 2 3 2 3 2 2 5" xfId="19579" xr:uid="{00000000-0005-0000-0000-000042020000}"/>
    <cellStyle name="Comma 2 3 2 3 2 2 5 2" xfId="39631" xr:uid="{00000000-0005-0000-0000-000043020000}"/>
    <cellStyle name="Comma 2 3 2 3 2 2 6" xfId="19975" xr:uid="{00000000-0005-0000-0000-000044020000}"/>
    <cellStyle name="Comma 2 3 2 3 2 2 6 2" xfId="40027" xr:uid="{00000000-0005-0000-0000-000045020000}"/>
    <cellStyle name="Comma 2 3 2 3 2 2 7" xfId="37748" xr:uid="{00000000-0005-0000-0000-000046020000}"/>
    <cellStyle name="Comma 2 3 2 3 2 3" xfId="18193" xr:uid="{00000000-0005-0000-0000-000047020000}"/>
    <cellStyle name="Comma 2 3 2 3 2 3 2" xfId="38245" xr:uid="{00000000-0005-0000-0000-000048020000}"/>
    <cellStyle name="Comma 2 3 2 3 2 4" xfId="18589" xr:uid="{00000000-0005-0000-0000-000049020000}"/>
    <cellStyle name="Comma 2 3 2 3 2 4 2" xfId="38641" xr:uid="{00000000-0005-0000-0000-00004A020000}"/>
    <cellStyle name="Comma 2 3 2 3 2 5" xfId="18985" xr:uid="{00000000-0005-0000-0000-00004B020000}"/>
    <cellStyle name="Comma 2 3 2 3 2 5 2" xfId="39037" xr:uid="{00000000-0005-0000-0000-00004C020000}"/>
    <cellStyle name="Comma 2 3 2 3 2 6" xfId="19381" xr:uid="{00000000-0005-0000-0000-00004D020000}"/>
    <cellStyle name="Comma 2 3 2 3 2 6 2" xfId="39433" xr:uid="{00000000-0005-0000-0000-00004E020000}"/>
    <cellStyle name="Comma 2 3 2 3 2 7" xfId="19777" xr:uid="{00000000-0005-0000-0000-00004F020000}"/>
    <cellStyle name="Comma 2 3 2 3 2 7 2" xfId="39829" xr:uid="{00000000-0005-0000-0000-000050020000}"/>
    <cellStyle name="Comma 2 3 2 3 2 8" xfId="28718" xr:uid="{00000000-0005-0000-0000-000051020000}"/>
    <cellStyle name="Comma 2 3 2 3 3" xfId="9031" xr:uid="{00000000-0005-0000-0000-000052020000}"/>
    <cellStyle name="Comma 2 3 2 3 3 2" xfId="18061" xr:uid="{00000000-0005-0000-0000-000053020000}"/>
    <cellStyle name="Comma 2 3 2 3 3 2 2" xfId="18457" xr:uid="{00000000-0005-0000-0000-000054020000}"/>
    <cellStyle name="Comma 2 3 2 3 3 2 2 2" xfId="38509" xr:uid="{00000000-0005-0000-0000-000055020000}"/>
    <cellStyle name="Comma 2 3 2 3 3 2 3" xfId="18853" xr:uid="{00000000-0005-0000-0000-000056020000}"/>
    <cellStyle name="Comma 2 3 2 3 3 2 3 2" xfId="38905" xr:uid="{00000000-0005-0000-0000-000057020000}"/>
    <cellStyle name="Comma 2 3 2 3 3 2 4" xfId="19249" xr:uid="{00000000-0005-0000-0000-000058020000}"/>
    <cellStyle name="Comma 2 3 2 3 3 2 4 2" xfId="39301" xr:uid="{00000000-0005-0000-0000-000059020000}"/>
    <cellStyle name="Comma 2 3 2 3 3 2 5" xfId="19645" xr:uid="{00000000-0005-0000-0000-00005A020000}"/>
    <cellStyle name="Comma 2 3 2 3 3 2 5 2" xfId="39697" xr:uid="{00000000-0005-0000-0000-00005B020000}"/>
    <cellStyle name="Comma 2 3 2 3 3 2 6" xfId="20041" xr:uid="{00000000-0005-0000-0000-00005C020000}"/>
    <cellStyle name="Comma 2 3 2 3 3 2 6 2" xfId="40093" xr:uid="{00000000-0005-0000-0000-00005D020000}"/>
    <cellStyle name="Comma 2 3 2 3 3 2 7" xfId="38113" xr:uid="{00000000-0005-0000-0000-00005E020000}"/>
    <cellStyle name="Comma 2 3 2 3 3 3" xfId="18259" xr:uid="{00000000-0005-0000-0000-00005F020000}"/>
    <cellStyle name="Comma 2 3 2 3 3 3 2" xfId="38311" xr:uid="{00000000-0005-0000-0000-000060020000}"/>
    <cellStyle name="Comma 2 3 2 3 3 4" xfId="18655" xr:uid="{00000000-0005-0000-0000-000061020000}"/>
    <cellStyle name="Comma 2 3 2 3 3 4 2" xfId="38707" xr:uid="{00000000-0005-0000-0000-000062020000}"/>
    <cellStyle name="Comma 2 3 2 3 3 5" xfId="19051" xr:uid="{00000000-0005-0000-0000-000063020000}"/>
    <cellStyle name="Comma 2 3 2 3 3 5 2" xfId="39103" xr:uid="{00000000-0005-0000-0000-000064020000}"/>
    <cellStyle name="Comma 2 3 2 3 3 6" xfId="19447" xr:uid="{00000000-0005-0000-0000-000065020000}"/>
    <cellStyle name="Comma 2 3 2 3 3 6 2" xfId="39499" xr:uid="{00000000-0005-0000-0000-000066020000}"/>
    <cellStyle name="Comma 2 3 2 3 3 7" xfId="19843" xr:uid="{00000000-0005-0000-0000-000067020000}"/>
    <cellStyle name="Comma 2 3 2 3 3 7 2" xfId="39895" xr:uid="{00000000-0005-0000-0000-000068020000}"/>
    <cellStyle name="Comma 2 3 2 3 3 8" xfId="29083" xr:uid="{00000000-0005-0000-0000-000069020000}"/>
    <cellStyle name="Comma 2 3 2 3 4" xfId="13214" xr:uid="{00000000-0005-0000-0000-00006A020000}"/>
    <cellStyle name="Comma 2 3 2 3 4 2" xfId="18325" xr:uid="{00000000-0005-0000-0000-00006B020000}"/>
    <cellStyle name="Comma 2 3 2 3 4 2 2" xfId="38377" xr:uid="{00000000-0005-0000-0000-00006C020000}"/>
    <cellStyle name="Comma 2 3 2 3 4 3" xfId="18721" xr:uid="{00000000-0005-0000-0000-00006D020000}"/>
    <cellStyle name="Comma 2 3 2 3 4 3 2" xfId="38773" xr:uid="{00000000-0005-0000-0000-00006E020000}"/>
    <cellStyle name="Comma 2 3 2 3 4 4" xfId="19117" xr:uid="{00000000-0005-0000-0000-00006F020000}"/>
    <cellStyle name="Comma 2 3 2 3 4 4 2" xfId="39169" xr:uid="{00000000-0005-0000-0000-000070020000}"/>
    <cellStyle name="Comma 2 3 2 3 4 5" xfId="19513" xr:uid="{00000000-0005-0000-0000-000071020000}"/>
    <cellStyle name="Comma 2 3 2 3 4 5 2" xfId="39565" xr:uid="{00000000-0005-0000-0000-000072020000}"/>
    <cellStyle name="Comma 2 3 2 3 4 6" xfId="19909" xr:uid="{00000000-0005-0000-0000-000073020000}"/>
    <cellStyle name="Comma 2 3 2 3 4 6 2" xfId="39961" xr:uid="{00000000-0005-0000-0000-000074020000}"/>
    <cellStyle name="Comma 2 3 2 3 4 7" xfId="33266" xr:uid="{00000000-0005-0000-0000-000075020000}"/>
    <cellStyle name="Comma 2 3 2 3 5" xfId="18127" xr:uid="{00000000-0005-0000-0000-000076020000}"/>
    <cellStyle name="Comma 2 3 2 3 5 2" xfId="38179" xr:uid="{00000000-0005-0000-0000-000077020000}"/>
    <cellStyle name="Comma 2 3 2 3 6" xfId="18523" xr:uid="{00000000-0005-0000-0000-000078020000}"/>
    <cellStyle name="Comma 2 3 2 3 6 2" xfId="38575" xr:uid="{00000000-0005-0000-0000-000079020000}"/>
    <cellStyle name="Comma 2 3 2 3 7" xfId="18919" xr:uid="{00000000-0005-0000-0000-00007A020000}"/>
    <cellStyle name="Comma 2 3 2 3 7 2" xfId="38971" xr:uid="{00000000-0005-0000-0000-00007B020000}"/>
    <cellStyle name="Comma 2 3 2 3 8" xfId="19315" xr:uid="{00000000-0005-0000-0000-00007C020000}"/>
    <cellStyle name="Comma 2 3 2 3 8 2" xfId="39367" xr:uid="{00000000-0005-0000-0000-00007D020000}"/>
    <cellStyle name="Comma 2 3 2 3 9" xfId="19711" xr:uid="{00000000-0005-0000-0000-00007E020000}"/>
    <cellStyle name="Comma 2 3 2 3 9 2" xfId="39763" xr:uid="{00000000-0005-0000-0000-00007F020000}"/>
    <cellStyle name="Comma 2 3 2 4" xfId="5678" xr:uid="{00000000-0005-0000-0000-000080020000}"/>
    <cellStyle name="Comma 2 3 2 4 2" xfId="14708" xr:uid="{00000000-0005-0000-0000-000081020000}"/>
    <cellStyle name="Comma 2 3 2 4 2 2" xfId="18347" xr:uid="{00000000-0005-0000-0000-000082020000}"/>
    <cellStyle name="Comma 2 3 2 4 2 2 2" xfId="38399" xr:uid="{00000000-0005-0000-0000-000083020000}"/>
    <cellStyle name="Comma 2 3 2 4 2 3" xfId="18743" xr:uid="{00000000-0005-0000-0000-000084020000}"/>
    <cellStyle name="Comma 2 3 2 4 2 3 2" xfId="38795" xr:uid="{00000000-0005-0000-0000-000085020000}"/>
    <cellStyle name="Comma 2 3 2 4 2 4" xfId="19139" xr:uid="{00000000-0005-0000-0000-000086020000}"/>
    <cellStyle name="Comma 2 3 2 4 2 4 2" xfId="39191" xr:uid="{00000000-0005-0000-0000-000087020000}"/>
    <cellStyle name="Comma 2 3 2 4 2 5" xfId="19535" xr:uid="{00000000-0005-0000-0000-000088020000}"/>
    <cellStyle name="Comma 2 3 2 4 2 5 2" xfId="39587" xr:uid="{00000000-0005-0000-0000-000089020000}"/>
    <cellStyle name="Comma 2 3 2 4 2 6" xfId="19931" xr:uid="{00000000-0005-0000-0000-00008A020000}"/>
    <cellStyle name="Comma 2 3 2 4 2 6 2" xfId="39983" xr:uid="{00000000-0005-0000-0000-00008B020000}"/>
    <cellStyle name="Comma 2 3 2 4 2 7" xfId="34760" xr:uid="{00000000-0005-0000-0000-00008C020000}"/>
    <cellStyle name="Comma 2 3 2 4 3" xfId="18149" xr:uid="{00000000-0005-0000-0000-00008D020000}"/>
    <cellStyle name="Comma 2 3 2 4 3 2" xfId="38201" xr:uid="{00000000-0005-0000-0000-00008E020000}"/>
    <cellStyle name="Comma 2 3 2 4 4" xfId="18545" xr:uid="{00000000-0005-0000-0000-00008F020000}"/>
    <cellStyle name="Comma 2 3 2 4 4 2" xfId="38597" xr:uid="{00000000-0005-0000-0000-000090020000}"/>
    <cellStyle name="Comma 2 3 2 4 5" xfId="18941" xr:uid="{00000000-0005-0000-0000-000091020000}"/>
    <cellStyle name="Comma 2 3 2 4 5 2" xfId="38993" xr:uid="{00000000-0005-0000-0000-000092020000}"/>
    <cellStyle name="Comma 2 3 2 4 6" xfId="19337" xr:uid="{00000000-0005-0000-0000-000093020000}"/>
    <cellStyle name="Comma 2 3 2 4 6 2" xfId="39389" xr:uid="{00000000-0005-0000-0000-000094020000}"/>
    <cellStyle name="Comma 2 3 2 4 7" xfId="19733" xr:uid="{00000000-0005-0000-0000-000095020000}"/>
    <cellStyle name="Comma 2 3 2 4 7 2" xfId="39785" xr:uid="{00000000-0005-0000-0000-000096020000}"/>
    <cellStyle name="Comma 2 3 2 4 8" xfId="25730" xr:uid="{00000000-0005-0000-0000-000097020000}"/>
    <cellStyle name="Comma 2 3 2 5" xfId="8987" xr:uid="{00000000-0005-0000-0000-000098020000}"/>
    <cellStyle name="Comma 2 3 2 5 2" xfId="18017" xr:uid="{00000000-0005-0000-0000-000099020000}"/>
    <cellStyle name="Comma 2 3 2 5 2 2" xfId="18413" xr:uid="{00000000-0005-0000-0000-00009A020000}"/>
    <cellStyle name="Comma 2 3 2 5 2 2 2" xfId="38465" xr:uid="{00000000-0005-0000-0000-00009B020000}"/>
    <cellStyle name="Comma 2 3 2 5 2 3" xfId="18809" xr:uid="{00000000-0005-0000-0000-00009C020000}"/>
    <cellStyle name="Comma 2 3 2 5 2 3 2" xfId="38861" xr:uid="{00000000-0005-0000-0000-00009D020000}"/>
    <cellStyle name="Comma 2 3 2 5 2 4" xfId="19205" xr:uid="{00000000-0005-0000-0000-00009E020000}"/>
    <cellStyle name="Comma 2 3 2 5 2 4 2" xfId="39257" xr:uid="{00000000-0005-0000-0000-00009F020000}"/>
    <cellStyle name="Comma 2 3 2 5 2 5" xfId="19601" xr:uid="{00000000-0005-0000-0000-0000A0020000}"/>
    <cellStyle name="Comma 2 3 2 5 2 5 2" xfId="39653" xr:uid="{00000000-0005-0000-0000-0000A1020000}"/>
    <cellStyle name="Comma 2 3 2 5 2 6" xfId="19997" xr:uid="{00000000-0005-0000-0000-0000A2020000}"/>
    <cellStyle name="Comma 2 3 2 5 2 6 2" xfId="40049" xr:uid="{00000000-0005-0000-0000-0000A3020000}"/>
    <cellStyle name="Comma 2 3 2 5 2 7" xfId="38069" xr:uid="{00000000-0005-0000-0000-0000A4020000}"/>
    <cellStyle name="Comma 2 3 2 5 3" xfId="18215" xr:uid="{00000000-0005-0000-0000-0000A5020000}"/>
    <cellStyle name="Comma 2 3 2 5 3 2" xfId="38267" xr:uid="{00000000-0005-0000-0000-0000A6020000}"/>
    <cellStyle name="Comma 2 3 2 5 4" xfId="18611" xr:uid="{00000000-0005-0000-0000-0000A7020000}"/>
    <cellStyle name="Comma 2 3 2 5 4 2" xfId="38663" xr:uid="{00000000-0005-0000-0000-0000A8020000}"/>
    <cellStyle name="Comma 2 3 2 5 5" xfId="19007" xr:uid="{00000000-0005-0000-0000-0000A9020000}"/>
    <cellStyle name="Comma 2 3 2 5 5 2" xfId="39059" xr:uid="{00000000-0005-0000-0000-0000AA020000}"/>
    <cellStyle name="Comma 2 3 2 5 6" xfId="19403" xr:uid="{00000000-0005-0000-0000-0000AB020000}"/>
    <cellStyle name="Comma 2 3 2 5 6 2" xfId="39455" xr:uid="{00000000-0005-0000-0000-0000AC020000}"/>
    <cellStyle name="Comma 2 3 2 5 7" xfId="19799" xr:uid="{00000000-0005-0000-0000-0000AD020000}"/>
    <cellStyle name="Comma 2 3 2 5 7 2" xfId="39851" xr:uid="{00000000-0005-0000-0000-0000AE020000}"/>
    <cellStyle name="Comma 2 3 2 5 8" xfId="29039" xr:uid="{00000000-0005-0000-0000-0000AF020000}"/>
    <cellStyle name="Comma 2 3 2 6" xfId="10226" xr:uid="{00000000-0005-0000-0000-0000B0020000}"/>
    <cellStyle name="Comma 2 3 2 6 2" xfId="18281" xr:uid="{00000000-0005-0000-0000-0000B1020000}"/>
    <cellStyle name="Comma 2 3 2 6 2 2" xfId="38333" xr:uid="{00000000-0005-0000-0000-0000B2020000}"/>
    <cellStyle name="Comma 2 3 2 6 3" xfId="18677" xr:uid="{00000000-0005-0000-0000-0000B3020000}"/>
    <cellStyle name="Comma 2 3 2 6 3 2" xfId="38729" xr:uid="{00000000-0005-0000-0000-0000B4020000}"/>
    <cellStyle name="Comma 2 3 2 6 4" xfId="19073" xr:uid="{00000000-0005-0000-0000-0000B5020000}"/>
    <cellStyle name="Comma 2 3 2 6 4 2" xfId="39125" xr:uid="{00000000-0005-0000-0000-0000B6020000}"/>
    <cellStyle name="Comma 2 3 2 6 5" xfId="19469" xr:uid="{00000000-0005-0000-0000-0000B7020000}"/>
    <cellStyle name="Comma 2 3 2 6 5 2" xfId="39521" xr:uid="{00000000-0005-0000-0000-0000B8020000}"/>
    <cellStyle name="Comma 2 3 2 6 6" xfId="19865" xr:uid="{00000000-0005-0000-0000-0000B9020000}"/>
    <cellStyle name="Comma 2 3 2 6 6 2" xfId="39917" xr:uid="{00000000-0005-0000-0000-0000BA020000}"/>
    <cellStyle name="Comma 2 3 2 6 7" xfId="30278" xr:uid="{00000000-0005-0000-0000-0000BB020000}"/>
    <cellStyle name="Comma 2 3 2 7" xfId="18083" xr:uid="{00000000-0005-0000-0000-0000BC020000}"/>
    <cellStyle name="Comma 2 3 2 7 2" xfId="38135" xr:uid="{00000000-0005-0000-0000-0000BD020000}"/>
    <cellStyle name="Comma 2 3 2 8" xfId="18479" xr:uid="{00000000-0005-0000-0000-0000BE020000}"/>
    <cellStyle name="Comma 2 3 2 8 2" xfId="38531" xr:uid="{00000000-0005-0000-0000-0000BF020000}"/>
    <cellStyle name="Comma 2 3 2 9" xfId="18875" xr:uid="{00000000-0005-0000-0000-0000C0020000}"/>
    <cellStyle name="Comma 2 3 2 9 2" xfId="38927" xr:uid="{00000000-0005-0000-0000-0000C1020000}"/>
    <cellStyle name="Comma 2 3 3" xfId="1943" xr:uid="{00000000-0005-0000-0000-0000C2020000}"/>
    <cellStyle name="Comma 2 3 3 10" xfId="21995" xr:uid="{00000000-0005-0000-0000-0000C3020000}"/>
    <cellStyle name="Comma 2 3 3 2" xfId="6425" xr:uid="{00000000-0005-0000-0000-0000C4020000}"/>
    <cellStyle name="Comma 2 3 3 2 2" xfId="15455" xr:uid="{00000000-0005-0000-0000-0000C5020000}"/>
    <cellStyle name="Comma 2 3 3 2 2 2" xfId="18358" xr:uid="{00000000-0005-0000-0000-0000C6020000}"/>
    <cellStyle name="Comma 2 3 3 2 2 2 2" xfId="38410" xr:uid="{00000000-0005-0000-0000-0000C7020000}"/>
    <cellStyle name="Comma 2 3 3 2 2 3" xfId="18754" xr:uid="{00000000-0005-0000-0000-0000C8020000}"/>
    <cellStyle name="Comma 2 3 3 2 2 3 2" xfId="38806" xr:uid="{00000000-0005-0000-0000-0000C9020000}"/>
    <cellStyle name="Comma 2 3 3 2 2 4" xfId="19150" xr:uid="{00000000-0005-0000-0000-0000CA020000}"/>
    <cellStyle name="Comma 2 3 3 2 2 4 2" xfId="39202" xr:uid="{00000000-0005-0000-0000-0000CB020000}"/>
    <cellStyle name="Comma 2 3 3 2 2 5" xfId="19546" xr:uid="{00000000-0005-0000-0000-0000CC020000}"/>
    <cellStyle name="Comma 2 3 3 2 2 5 2" xfId="39598" xr:uid="{00000000-0005-0000-0000-0000CD020000}"/>
    <cellStyle name="Comma 2 3 3 2 2 6" xfId="19942" xr:uid="{00000000-0005-0000-0000-0000CE020000}"/>
    <cellStyle name="Comma 2 3 3 2 2 6 2" xfId="39994" xr:uid="{00000000-0005-0000-0000-0000CF020000}"/>
    <cellStyle name="Comma 2 3 3 2 2 7" xfId="35507" xr:uid="{00000000-0005-0000-0000-0000D0020000}"/>
    <cellStyle name="Comma 2 3 3 2 3" xfId="18160" xr:uid="{00000000-0005-0000-0000-0000D1020000}"/>
    <cellStyle name="Comma 2 3 3 2 3 2" xfId="38212" xr:uid="{00000000-0005-0000-0000-0000D2020000}"/>
    <cellStyle name="Comma 2 3 3 2 4" xfId="18556" xr:uid="{00000000-0005-0000-0000-0000D3020000}"/>
    <cellStyle name="Comma 2 3 3 2 4 2" xfId="38608" xr:uid="{00000000-0005-0000-0000-0000D4020000}"/>
    <cellStyle name="Comma 2 3 3 2 5" xfId="18952" xr:uid="{00000000-0005-0000-0000-0000D5020000}"/>
    <cellStyle name="Comma 2 3 3 2 5 2" xfId="39004" xr:uid="{00000000-0005-0000-0000-0000D6020000}"/>
    <cellStyle name="Comma 2 3 3 2 6" xfId="19348" xr:uid="{00000000-0005-0000-0000-0000D7020000}"/>
    <cellStyle name="Comma 2 3 3 2 6 2" xfId="39400" xr:uid="{00000000-0005-0000-0000-0000D8020000}"/>
    <cellStyle name="Comma 2 3 3 2 7" xfId="19744" xr:uid="{00000000-0005-0000-0000-0000D9020000}"/>
    <cellStyle name="Comma 2 3 3 2 7 2" xfId="39796" xr:uid="{00000000-0005-0000-0000-0000DA020000}"/>
    <cellStyle name="Comma 2 3 3 2 8" xfId="26477" xr:uid="{00000000-0005-0000-0000-0000DB020000}"/>
    <cellStyle name="Comma 2 3 3 3" xfId="8998" xr:uid="{00000000-0005-0000-0000-0000DC020000}"/>
    <cellStyle name="Comma 2 3 3 3 2" xfId="18028" xr:uid="{00000000-0005-0000-0000-0000DD020000}"/>
    <cellStyle name="Comma 2 3 3 3 2 2" xfId="18424" xr:uid="{00000000-0005-0000-0000-0000DE020000}"/>
    <cellStyle name="Comma 2 3 3 3 2 2 2" xfId="38476" xr:uid="{00000000-0005-0000-0000-0000DF020000}"/>
    <cellStyle name="Comma 2 3 3 3 2 3" xfId="18820" xr:uid="{00000000-0005-0000-0000-0000E0020000}"/>
    <cellStyle name="Comma 2 3 3 3 2 3 2" xfId="38872" xr:uid="{00000000-0005-0000-0000-0000E1020000}"/>
    <cellStyle name="Comma 2 3 3 3 2 4" xfId="19216" xr:uid="{00000000-0005-0000-0000-0000E2020000}"/>
    <cellStyle name="Comma 2 3 3 3 2 4 2" xfId="39268" xr:uid="{00000000-0005-0000-0000-0000E3020000}"/>
    <cellStyle name="Comma 2 3 3 3 2 5" xfId="19612" xr:uid="{00000000-0005-0000-0000-0000E4020000}"/>
    <cellStyle name="Comma 2 3 3 3 2 5 2" xfId="39664" xr:uid="{00000000-0005-0000-0000-0000E5020000}"/>
    <cellStyle name="Comma 2 3 3 3 2 6" xfId="20008" xr:uid="{00000000-0005-0000-0000-0000E6020000}"/>
    <cellStyle name="Comma 2 3 3 3 2 6 2" xfId="40060" xr:uid="{00000000-0005-0000-0000-0000E7020000}"/>
    <cellStyle name="Comma 2 3 3 3 2 7" xfId="38080" xr:uid="{00000000-0005-0000-0000-0000E8020000}"/>
    <cellStyle name="Comma 2 3 3 3 3" xfId="18226" xr:uid="{00000000-0005-0000-0000-0000E9020000}"/>
    <cellStyle name="Comma 2 3 3 3 3 2" xfId="38278" xr:uid="{00000000-0005-0000-0000-0000EA020000}"/>
    <cellStyle name="Comma 2 3 3 3 4" xfId="18622" xr:uid="{00000000-0005-0000-0000-0000EB020000}"/>
    <cellStyle name="Comma 2 3 3 3 4 2" xfId="38674" xr:uid="{00000000-0005-0000-0000-0000EC020000}"/>
    <cellStyle name="Comma 2 3 3 3 5" xfId="19018" xr:uid="{00000000-0005-0000-0000-0000ED020000}"/>
    <cellStyle name="Comma 2 3 3 3 5 2" xfId="39070" xr:uid="{00000000-0005-0000-0000-0000EE020000}"/>
    <cellStyle name="Comma 2 3 3 3 6" xfId="19414" xr:uid="{00000000-0005-0000-0000-0000EF020000}"/>
    <cellStyle name="Comma 2 3 3 3 6 2" xfId="39466" xr:uid="{00000000-0005-0000-0000-0000F0020000}"/>
    <cellStyle name="Comma 2 3 3 3 7" xfId="19810" xr:uid="{00000000-0005-0000-0000-0000F1020000}"/>
    <cellStyle name="Comma 2 3 3 3 7 2" xfId="39862" xr:uid="{00000000-0005-0000-0000-0000F2020000}"/>
    <cellStyle name="Comma 2 3 3 3 8" xfId="29050" xr:uid="{00000000-0005-0000-0000-0000F3020000}"/>
    <cellStyle name="Comma 2 3 3 4" xfId="10973" xr:uid="{00000000-0005-0000-0000-0000F4020000}"/>
    <cellStyle name="Comma 2 3 3 4 2" xfId="18292" xr:uid="{00000000-0005-0000-0000-0000F5020000}"/>
    <cellStyle name="Comma 2 3 3 4 2 2" xfId="38344" xr:uid="{00000000-0005-0000-0000-0000F6020000}"/>
    <cellStyle name="Comma 2 3 3 4 3" xfId="18688" xr:uid="{00000000-0005-0000-0000-0000F7020000}"/>
    <cellStyle name="Comma 2 3 3 4 3 2" xfId="38740" xr:uid="{00000000-0005-0000-0000-0000F8020000}"/>
    <cellStyle name="Comma 2 3 3 4 4" xfId="19084" xr:uid="{00000000-0005-0000-0000-0000F9020000}"/>
    <cellStyle name="Comma 2 3 3 4 4 2" xfId="39136" xr:uid="{00000000-0005-0000-0000-0000FA020000}"/>
    <cellStyle name="Comma 2 3 3 4 5" xfId="19480" xr:uid="{00000000-0005-0000-0000-0000FB020000}"/>
    <cellStyle name="Comma 2 3 3 4 5 2" xfId="39532" xr:uid="{00000000-0005-0000-0000-0000FC020000}"/>
    <cellStyle name="Comma 2 3 3 4 6" xfId="19876" xr:uid="{00000000-0005-0000-0000-0000FD020000}"/>
    <cellStyle name="Comma 2 3 3 4 6 2" xfId="39928" xr:uid="{00000000-0005-0000-0000-0000FE020000}"/>
    <cellStyle name="Comma 2 3 3 4 7" xfId="31025" xr:uid="{00000000-0005-0000-0000-0000FF020000}"/>
    <cellStyle name="Comma 2 3 3 5" xfId="18094" xr:uid="{00000000-0005-0000-0000-000000030000}"/>
    <cellStyle name="Comma 2 3 3 5 2" xfId="38146" xr:uid="{00000000-0005-0000-0000-000001030000}"/>
    <cellStyle name="Comma 2 3 3 6" xfId="18490" xr:uid="{00000000-0005-0000-0000-000002030000}"/>
    <cellStyle name="Comma 2 3 3 6 2" xfId="38542" xr:uid="{00000000-0005-0000-0000-000003030000}"/>
    <cellStyle name="Comma 2 3 3 7" xfId="18886" xr:uid="{00000000-0005-0000-0000-000004030000}"/>
    <cellStyle name="Comma 2 3 3 7 2" xfId="38938" xr:uid="{00000000-0005-0000-0000-000005030000}"/>
    <cellStyle name="Comma 2 3 3 8" xfId="19282" xr:uid="{00000000-0005-0000-0000-000006030000}"/>
    <cellStyle name="Comma 2 3 3 8 2" xfId="39334" xr:uid="{00000000-0005-0000-0000-000007030000}"/>
    <cellStyle name="Comma 2 3 3 9" xfId="19678" xr:uid="{00000000-0005-0000-0000-000008030000}"/>
    <cellStyle name="Comma 2 3 3 9 2" xfId="39730" xr:uid="{00000000-0005-0000-0000-000009030000}"/>
    <cellStyle name="Comma 2 3 4" xfId="3437" xr:uid="{00000000-0005-0000-0000-00000A030000}"/>
    <cellStyle name="Comma 2 3 4 10" xfId="23489" xr:uid="{00000000-0005-0000-0000-00000B030000}"/>
    <cellStyle name="Comma 2 3 4 2" xfId="7919" xr:uid="{00000000-0005-0000-0000-00000C030000}"/>
    <cellStyle name="Comma 2 3 4 2 2" xfId="16949" xr:uid="{00000000-0005-0000-0000-00000D030000}"/>
    <cellStyle name="Comma 2 3 4 2 2 2" xfId="18380" xr:uid="{00000000-0005-0000-0000-00000E030000}"/>
    <cellStyle name="Comma 2 3 4 2 2 2 2" xfId="38432" xr:uid="{00000000-0005-0000-0000-00000F030000}"/>
    <cellStyle name="Comma 2 3 4 2 2 3" xfId="18776" xr:uid="{00000000-0005-0000-0000-000010030000}"/>
    <cellStyle name="Comma 2 3 4 2 2 3 2" xfId="38828" xr:uid="{00000000-0005-0000-0000-000011030000}"/>
    <cellStyle name="Comma 2 3 4 2 2 4" xfId="19172" xr:uid="{00000000-0005-0000-0000-000012030000}"/>
    <cellStyle name="Comma 2 3 4 2 2 4 2" xfId="39224" xr:uid="{00000000-0005-0000-0000-000013030000}"/>
    <cellStyle name="Comma 2 3 4 2 2 5" xfId="19568" xr:uid="{00000000-0005-0000-0000-000014030000}"/>
    <cellStyle name="Comma 2 3 4 2 2 5 2" xfId="39620" xr:uid="{00000000-0005-0000-0000-000015030000}"/>
    <cellStyle name="Comma 2 3 4 2 2 6" xfId="19964" xr:uid="{00000000-0005-0000-0000-000016030000}"/>
    <cellStyle name="Comma 2 3 4 2 2 6 2" xfId="40016" xr:uid="{00000000-0005-0000-0000-000017030000}"/>
    <cellStyle name="Comma 2 3 4 2 2 7" xfId="37001" xr:uid="{00000000-0005-0000-0000-000018030000}"/>
    <cellStyle name="Comma 2 3 4 2 3" xfId="18182" xr:uid="{00000000-0005-0000-0000-000019030000}"/>
    <cellStyle name="Comma 2 3 4 2 3 2" xfId="38234" xr:uid="{00000000-0005-0000-0000-00001A030000}"/>
    <cellStyle name="Comma 2 3 4 2 4" xfId="18578" xr:uid="{00000000-0005-0000-0000-00001B030000}"/>
    <cellStyle name="Comma 2 3 4 2 4 2" xfId="38630" xr:uid="{00000000-0005-0000-0000-00001C030000}"/>
    <cellStyle name="Comma 2 3 4 2 5" xfId="18974" xr:uid="{00000000-0005-0000-0000-00001D030000}"/>
    <cellStyle name="Comma 2 3 4 2 5 2" xfId="39026" xr:uid="{00000000-0005-0000-0000-00001E030000}"/>
    <cellStyle name="Comma 2 3 4 2 6" xfId="19370" xr:uid="{00000000-0005-0000-0000-00001F030000}"/>
    <cellStyle name="Comma 2 3 4 2 6 2" xfId="39422" xr:uid="{00000000-0005-0000-0000-000020030000}"/>
    <cellStyle name="Comma 2 3 4 2 7" xfId="19766" xr:uid="{00000000-0005-0000-0000-000021030000}"/>
    <cellStyle name="Comma 2 3 4 2 7 2" xfId="39818" xr:uid="{00000000-0005-0000-0000-000022030000}"/>
    <cellStyle name="Comma 2 3 4 2 8" xfId="27971" xr:uid="{00000000-0005-0000-0000-000023030000}"/>
    <cellStyle name="Comma 2 3 4 3" xfId="9020" xr:uid="{00000000-0005-0000-0000-000024030000}"/>
    <cellStyle name="Comma 2 3 4 3 2" xfId="18050" xr:uid="{00000000-0005-0000-0000-000025030000}"/>
    <cellStyle name="Comma 2 3 4 3 2 2" xfId="18446" xr:uid="{00000000-0005-0000-0000-000026030000}"/>
    <cellStyle name="Comma 2 3 4 3 2 2 2" xfId="38498" xr:uid="{00000000-0005-0000-0000-000027030000}"/>
    <cellStyle name="Comma 2 3 4 3 2 3" xfId="18842" xr:uid="{00000000-0005-0000-0000-000028030000}"/>
    <cellStyle name="Comma 2 3 4 3 2 3 2" xfId="38894" xr:uid="{00000000-0005-0000-0000-000029030000}"/>
    <cellStyle name="Comma 2 3 4 3 2 4" xfId="19238" xr:uid="{00000000-0005-0000-0000-00002A030000}"/>
    <cellStyle name="Comma 2 3 4 3 2 4 2" xfId="39290" xr:uid="{00000000-0005-0000-0000-00002B030000}"/>
    <cellStyle name="Comma 2 3 4 3 2 5" xfId="19634" xr:uid="{00000000-0005-0000-0000-00002C030000}"/>
    <cellStyle name="Comma 2 3 4 3 2 5 2" xfId="39686" xr:uid="{00000000-0005-0000-0000-00002D030000}"/>
    <cellStyle name="Comma 2 3 4 3 2 6" xfId="20030" xr:uid="{00000000-0005-0000-0000-00002E030000}"/>
    <cellStyle name="Comma 2 3 4 3 2 6 2" xfId="40082" xr:uid="{00000000-0005-0000-0000-00002F030000}"/>
    <cellStyle name="Comma 2 3 4 3 2 7" xfId="38102" xr:uid="{00000000-0005-0000-0000-000030030000}"/>
    <cellStyle name="Comma 2 3 4 3 3" xfId="18248" xr:uid="{00000000-0005-0000-0000-000031030000}"/>
    <cellStyle name="Comma 2 3 4 3 3 2" xfId="38300" xr:uid="{00000000-0005-0000-0000-000032030000}"/>
    <cellStyle name="Comma 2 3 4 3 4" xfId="18644" xr:uid="{00000000-0005-0000-0000-000033030000}"/>
    <cellStyle name="Comma 2 3 4 3 4 2" xfId="38696" xr:uid="{00000000-0005-0000-0000-000034030000}"/>
    <cellStyle name="Comma 2 3 4 3 5" xfId="19040" xr:uid="{00000000-0005-0000-0000-000035030000}"/>
    <cellStyle name="Comma 2 3 4 3 5 2" xfId="39092" xr:uid="{00000000-0005-0000-0000-000036030000}"/>
    <cellStyle name="Comma 2 3 4 3 6" xfId="19436" xr:uid="{00000000-0005-0000-0000-000037030000}"/>
    <cellStyle name="Comma 2 3 4 3 6 2" xfId="39488" xr:uid="{00000000-0005-0000-0000-000038030000}"/>
    <cellStyle name="Comma 2 3 4 3 7" xfId="19832" xr:uid="{00000000-0005-0000-0000-000039030000}"/>
    <cellStyle name="Comma 2 3 4 3 7 2" xfId="39884" xr:uid="{00000000-0005-0000-0000-00003A030000}"/>
    <cellStyle name="Comma 2 3 4 3 8" xfId="29072" xr:uid="{00000000-0005-0000-0000-00003B030000}"/>
    <cellStyle name="Comma 2 3 4 4" xfId="12467" xr:uid="{00000000-0005-0000-0000-00003C030000}"/>
    <cellStyle name="Comma 2 3 4 4 2" xfId="18314" xr:uid="{00000000-0005-0000-0000-00003D030000}"/>
    <cellStyle name="Comma 2 3 4 4 2 2" xfId="38366" xr:uid="{00000000-0005-0000-0000-00003E030000}"/>
    <cellStyle name="Comma 2 3 4 4 3" xfId="18710" xr:uid="{00000000-0005-0000-0000-00003F030000}"/>
    <cellStyle name="Comma 2 3 4 4 3 2" xfId="38762" xr:uid="{00000000-0005-0000-0000-000040030000}"/>
    <cellStyle name="Comma 2 3 4 4 4" xfId="19106" xr:uid="{00000000-0005-0000-0000-000041030000}"/>
    <cellStyle name="Comma 2 3 4 4 4 2" xfId="39158" xr:uid="{00000000-0005-0000-0000-000042030000}"/>
    <cellStyle name="Comma 2 3 4 4 5" xfId="19502" xr:uid="{00000000-0005-0000-0000-000043030000}"/>
    <cellStyle name="Comma 2 3 4 4 5 2" xfId="39554" xr:uid="{00000000-0005-0000-0000-000044030000}"/>
    <cellStyle name="Comma 2 3 4 4 6" xfId="19898" xr:uid="{00000000-0005-0000-0000-000045030000}"/>
    <cellStyle name="Comma 2 3 4 4 6 2" xfId="39950" xr:uid="{00000000-0005-0000-0000-000046030000}"/>
    <cellStyle name="Comma 2 3 4 4 7" xfId="32519" xr:uid="{00000000-0005-0000-0000-000047030000}"/>
    <cellStyle name="Comma 2 3 4 5" xfId="18116" xr:uid="{00000000-0005-0000-0000-000048030000}"/>
    <cellStyle name="Comma 2 3 4 5 2" xfId="38168" xr:uid="{00000000-0005-0000-0000-000049030000}"/>
    <cellStyle name="Comma 2 3 4 6" xfId="18512" xr:uid="{00000000-0005-0000-0000-00004A030000}"/>
    <cellStyle name="Comma 2 3 4 6 2" xfId="38564" xr:uid="{00000000-0005-0000-0000-00004B030000}"/>
    <cellStyle name="Comma 2 3 4 7" xfId="18908" xr:uid="{00000000-0005-0000-0000-00004C030000}"/>
    <cellStyle name="Comma 2 3 4 7 2" xfId="38960" xr:uid="{00000000-0005-0000-0000-00004D030000}"/>
    <cellStyle name="Comma 2 3 4 8" xfId="19304" xr:uid="{00000000-0005-0000-0000-00004E030000}"/>
    <cellStyle name="Comma 2 3 4 8 2" xfId="39356" xr:uid="{00000000-0005-0000-0000-00004F030000}"/>
    <cellStyle name="Comma 2 3 4 9" xfId="19700" xr:uid="{00000000-0005-0000-0000-000050030000}"/>
    <cellStyle name="Comma 2 3 4 9 2" xfId="39752" xr:uid="{00000000-0005-0000-0000-000051030000}"/>
    <cellStyle name="Comma 2 3 5" xfId="4931" xr:uid="{00000000-0005-0000-0000-000052030000}"/>
    <cellStyle name="Comma 2 3 5 2" xfId="13961" xr:uid="{00000000-0005-0000-0000-000053030000}"/>
    <cellStyle name="Comma 2 3 5 2 2" xfId="18336" xr:uid="{00000000-0005-0000-0000-000054030000}"/>
    <cellStyle name="Comma 2 3 5 2 2 2" xfId="38388" xr:uid="{00000000-0005-0000-0000-000055030000}"/>
    <cellStyle name="Comma 2 3 5 2 3" xfId="18732" xr:uid="{00000000-0005-0000-0000-000056030000}"/>
    <cellStyle name="Comma 2 3 5 2 3 2" xfId="38784" xr:uid="{00000000-0005-0000-0000-000057030000}"/>
    <cellStyle name="Comma 2 3 5 2 4" xfId="19128" xr:uid="{00000000-0005-0000-0000-000058030000}"/>
    <cellStyle name="Comma 2 3 5 2 4 2" xfId="39180" xr:uid="{00000000-0005-0000-0000-000059030000}"/>
    <cellStyle name="Comma 2 3 5 2 5" xfId="19524" xr:uid="{00000000-0005-0000-0000-00005A030000}"/>
    <cellStyle name="Comma 2 3 5 2 5 2" xfId="39576" xr:uid="{00000000-0005-0000-0000-00005B030000}"/>
    <cellStyle name="Comma 2 3 5 2 6" xfId="19920" xr:uid="{00000000-0005-0000-0000-00005C030000}"/>
    <cellStyle name="Comma 2 3 5 2 6 2" xfId="39972" xr:uid="{00000000-0005-0000-0000-00005D030000}"/>
    <cellStyle name="Comma 2 3 5 2 7" xfId="34013" xr:uid="{00000000-0005-0000-0000-00005E030000}"/>
    <cellStyle name="Comma 2 3 5 3" xfId="18138" xr:uid="{00000000-0005-0000-0000-00005F030000}"/>
    <cellStyle name="Comma 2 3 5 3 2" xfId="38190" xr:uid="{00000000-0005-0000-0000-000060030000}"/>
    <cellStyle name="Comma 2 3 5 4" xfId="18534" xr:uid="{00000000-0005-0000-0000-000061030000}"/>
    <cellStyle name="Comma 2 3 5 4 2" xfId="38586" xr:uid="{00000000-0005-0000-0000-000062030000}"/>
    <cellStyle name="Comma 2 3 5 5" xfId="18930" xr:uid="{00000000-0005-0000-0000-000063030000}"/>
    <cellStyle name="Comma 2 3 5 5 2" xfId="38982" xr:uid="{00000000-0005-0000-0000-000064030000}"/>
    <cellStyle name="Comma 2 3 5 6" xfId="19326" xr:uid="{00000000-0005-0000-0000-000065030000}"/>
    <cellStyle name="Comma 2 3 5 6 2" xfId="39378" xr:uid="{00000000-0005-0000-0000-000066030000}"/>
    <cellStyle name="Comma 2 3 5 7" xfId="19722" xr:uid="{00000000-0005-0000-0000-000067030000}"/>
    <cellStyle name="Comma 2 3 5 7 2" xfId="39774" xr:uid="{00000000-0005-0000-0000-000068030000}"/>
    <cellStyle name="Comma 2 3 5 8" xfId="24983" xr:uid="{00000000-0005-0000-0000-000069030000}"/>
    <cellStyle name="Comma 2 3 6" xfId="8976" xr:uid="{00000000-0005-0000-0000-00006A030000}"/>
    <cellStyle name="Comma 2 3 6 2" xfId="18006" xr:uid="{00000000-0005-0000-0000-00006B030000}"/>
    <cellStyle name="Comma 2 3 6 2 2" xfId="18402" xr:uid="{00000000-0005-0000-0000-00006C030000}"/>
    <cellStyle name="Comma 2 3 6 2 2 2" xfId="38454" xr:uid="{00000000-0005-0000-0000-00006D030000}"/>
    <cellStyle name="Comma 2 3 6 2 3" xfId="18798" xr:uid="{00000000-0005-0000-0000-00006E030000}"/>
    <cellStyle name="Comma 2 3 6 2 3 2" xfId="38850" xr:uid="{00000000-0005-0000-0000-00006F030000}"/>
    <cellStyle name="Comma 2 3 6 2 4" xfId="19194" xr:uid="{00000000-0005-0000-0000-000070030000}"/>
    <cellStyle name="Comma 2 3 6 2 4 2" xfId="39246" xr:uid="{00000000-0005-0000-0000-000071030000}"/>
    <cellStyle name="Comma 2 3 6 2 5" xfId="19590" xr:uid="{00000000-0005-0000-0000-000072030000}"/>
    <cellStyle name="Comma 2 3 6 2 5 2" xfId="39642" xr:uid="{00000000-0005-0000-0000-000073030000}"/>
    <cellStyle name="Comma 2 3 6 2 6" xfId="19986" xr:uid="{00000000-0005-0000-0000-000074030000}"/>
    <cellStyle name="Comma 2 3 6 2 6 2" xfId="40038" xr:uid="{00000000-0005-0000-0000-000075030000}"/>
    <cellStyle name="Comma 2 3 6 2 7" xfId="38058" xr:uid="{00000000-0005-0000-0000-000076030000}"/>
    <cellStyle name="Comma 2 3 6 3" xfId="18204" xr:uid="{00000000-0005-0000-0000-000077030000}"/>
    <cellStyle name="Comma 2 3 6 3 2" xfId="38256" xr:uid="{00000000-0005-0000-0000-000078030000}"/>
    <cellStyle name="Comma 2 3 6 4" xfId="18600" xr:uid="{00000000-0005-0000-0000-000079030000}"/>
    <cellStyle name="Comma 2 3 6 4 2" xfId="38652" xr:uid="{00000000-0005-0000-0000-00007A030000}"/>
    <cellStyle name="Comma 2 3 6 5" xfId="18996" xr:uid="{00000000-0005-0000-0000-00007B030000}"/>
    <cellStyle name="Comma 2 3 6 5 2" xfId="39048" xr:uid="{00000000-0005-0000-0000-00007C030000}"/>
    <cellStyle name="Comma 2 3 6 6" xfId="19392" xr:uid="{00000000-0005-0000-0000-00007D030000}"/>
    <cellStyle name="Comma 2 3 6 6 2" xfId="39444" xr:uid="{00000000-0005-0000-0000-00007E030000}"/>
    <cellStyle name="Comma 2 3 6 7" xfId="19788" xr:uid="{00000000-0005-0000-0000-00007F030000}"/>
    <cellStyle name="Comma 2 3 6 7 2" xfId="39840" xr:uid="{00000000-0005-0000-0000-000080030000}"/>
    <cellStyle name="Comma 2 3 6 8" xfId="29028" xr:uid="{00000000-0005-0000-0000-000081030000}"/>
    <cellStyle name="Comma 2 3 7" xfId="9479" xr:uid="{00000000-0005-0000-0000-000082030000}"/>
    <cellStyle name="Comma 2 3 7 2" xfId="18270" xr:uid="{00000000-0005-0000-0000-000083030000}"/>
    <cellStyle name="Comma 2 3 7 2 2" xfId="38322" xr:uid="{00000000-0005-0000-0000-000084030000}"/>
    <cellStyle name="Comma 2 3 7 3" xfId="18666" xr:uid="{00000000-0005-0000-0000-000085030000}"/>
    <cellStyle name="Comma 2 3 7 3 2" xfId="38718" xr:uid="{00000000-0005-0000-0000-000086030000}"/>
    <cellStyle name="Comma 2 3 7 4" xfId="19062" xr:uid="{00000000-0005-0000-0000-000087030000}"/>
    <cellStyle name="Comma 2 3 7 4 2" xfId="39114" xr:uid="{00000000-0005-0000-0000-000088030000}"/>
    <cellStyle name="Comma 2 3 7 5" xfId="19458" xr:uid="{00000000-0005-0000-0000-000089030000}"/>
    <cellStyle name="Comma 2 3 7 5 2" xfId="39510" xr:uid="{00000000-0005-0000-0000-00008A030000}"/>
    <cellStyle name="Comma 2 3 7 6" xfId="19854" xr:uid="{00000000-0005-0000-0000-00008B030000}"/>
    <cellStyle name="Comma 2 3 7 6 2" xfId="39906" xr:uid="{00000000-0005-0000-0000-00008C030000}"/>
    <cellStyle name="Comma 2 3 7 7" xfId="29531" xr:uid="{00000000-0005-0000-0000-00008D030000}"/>
    <cellStyle name="Comma 2 3 8" xfId="18072" xr:uid="{00000000-0005-0000-0000-00008E030000}"/>
    <cellStyle name="Comma 2 3 8 2" xfId="38124" xr:uid="{00000000-0005-0000-0000-00008F030000}"/>
    <cellStyle name="Comma 2 3 9" xfId="18468" xr:uid="{00000000-0005-0000-0000-000090030000}"/>
    <cellStyle name="Comma 2 3 9 2" xfId="38520" xr:uid="{00000000-0005-0000-0000-000091030000}"/>
    <cellStyle name="Comma 2 4" xfId="635" xr:uid="{00000000-0005-0000-0000-000092030000}"/>
    <cellStyle name="Comma 2 4 10" xfId="18866" xr:uid="{00000000-0005-0000-0000-000093030000}"/>
    <cellStyle name="Comma 2 4 10 2" xfId="38918" xr:uid="{00000000-0005-0000-0000-000094030000}"/>
    <cellStyle name="Comma 2 4 11" xfId="19262" xr:uid="{00000000-0005-0000-0000-000095030000}"/>
    <cellStyle name="Comma 2 4 11 2" xfId="39314" xr:uid="{00000000-0005-0000-0000-000096030000}"/>
    <cellStyle name="Comma 2 4 12" xfId="19658" xr:uid="{00000000-0005-0000-0000-000097030000}"/>
    <cellStyle name="Comma 2 4 12 2" xfId="39710" xr:uid="{00000000-0005-0000-0000-000098030000}"/>
    <cellStyle name="Comma 2 4 13" xfId="20687" xr:uid="{00000000-0005-0000-0000-000099030000}"/>
    <cellStyle name="Comma 2 4 2" xfId="1382" xr:uid="{00000000-0005-0000-0000-00009A030000}"/>
    <cellStyle name="Comma 2 4 2 10" xfId="19273" xr:uid="{00000000-0005-0000-0000-00009B030000}"/>
    <cellStyle name="Comma 2 4 2 10 2" xfId="39325" xr:uid="{00000000-0005-0000-0000-00009C030000}"/>
    <cellStyle name="Comma 2 4 2 11" xfId="19669" xr:uid="{00000000-0005-0000-0000-00009D030000}"/>
    <cellStyle name="Comma 2 4 2 11 2" xfId="39721" xr:uid="{00000000-0005-0000-0000-00009E030000}"/>
    <cellStyle name="Comma 2 4 2 12" xfId="21434" xr:uid="{00000000-0005-0000-0000-00009F030000}"/>
    <cellStyle name="Comma 2 4 2 2" xfId="2876" xr:uid="{00000000-0005-0000-0000-0000A0030000}"/>
    <cellStyle name="Comma 2 4 2 2 10" xfId="22928" xr:uid="{00000000-0005-0000-0000-0000A1030000}"/>
    <cellStyle name="Comma 2 4 2 2 2" xfId="7358" xr:uid="{00000000-0005-0000-0000-0000A2030000}"/>
    <cellStyle name="Comma 2 4 2 2 2 2" xfId="16388" xr:uid="{00000000-0005-0000-0000-0000A3030000}"/>
    <cellStyle name="Comma 2 4 2 2 2 2 2" xfId="18371" xr:uid="{00000000-0005-0000-0000-0000A4030000}"/>
    <cellStyle name="Comma 2 4 2 2 2 2 2 2" xfId="38423" xr:uid="{00000000-0005-0000-0000-0000A5030000}"/>
    <cellStyle name="Comma 2 4 2 2 2 2 3" xfId="18767" xr:uid="{00000000-0005-0000-0000-0000A6030000}"/>
    <cellStyle name="Comma 2 4 2 2 2 2 3 2" xfId="38819" xr:uid="{00000000-0005-0000-0000-0000A7030000}"/>
    <cellStyle name="Comma 2 4 2 2 2 2 4" xfId="19163" xr:uid="{00000000-0005-0000-0000-0000A8030000}"/>
    <cellStyle name="Comma 2 4 2 2 2 2 4 2" xfId="39215" xr:uid="{00000000-0005-0000-0000-0000A9030000}"/>
    <cellStyle name="Comma 2 4 2 2 2 2 5" xfId="19559" xr:uid="{00000000-0005-0000-0000-0000AA030000}"/>
    <cellStyle name="Comma 2 4 2 2 2 2 5 2" xfId="39611" xr:uid="{00000000-0005-0000-0000-0000AB030000}"/>
    <cellStyle name="Comma 2 4 2 2 2 2 6" xfId="19955" xr:uid="{00000000-0005-0000-0000-0000AC030000}"/>
    <cellStyle name="Comma 2 4 2 2 2 2 6 2" xfId="40007" xr:uid="{00000000-0005-0000-0000-0000AD030000}"/>
    <cellStyle name="Comma 2 4 2 2 2 2 7" xfId="36440" xr:uid="{00000000-0005-0000-0000-0000AE030000}"/>
    <cellStyle name="Comma 2 4 2 2 2 3" xfId="18173" xr:uid="{00000000-0005-0000-0000-0000AF030000}"/>
    <cellStyle name="Comma 2 4 2 2 2 3 2" xfId="38225" xr:uid="{00000000-0005-0000-0000-0000B0030000}"/>
    <cellStyle name="Comma 2 4 2 2 2 4" xfId="18569" xr:uid="{00000000-0005-0000-0000-0000B1030000}"/>
    <cellStyle name="Comma 2 4 2 2 2 4 2" xfId="38621" xr:uid="{00000000-0005-0000-0000-0000B2030000}"/>
    <cellStyle name="Comma 2 4 2 2 2 5" xfId="18965" xr:uid="{00000000-0005-0000-0000-0000B3030000}"/>
    <cellStyle name="Comma 2 4 2 2 2 5 2" xfId="39017" xr:uid="{00000000-0005-0000-0000-0000B4030000}"/>
    <cellStyle name="Comma 2 4 2 2 2 6" xfId="19361" xr:uid="{00000000-0005-0000-0000-0000B5030000}"/>
    <cellStyle name="Comma 2 4 2 2 2 6 2" xfId="39413" xr:uid="{00000000-0005-0000-0000-0000B6030000}"/>
    <cellStyle name="Comma 2 4 2 2 2 7" xfId="19757" xr:uid="{00000000-0005-0000-0000-0000B7030000}"/>
    <cellStyle name="Comma 2 4 2 2 2 7 2" xfId="39809" xr:uid="{00000000-0005-0000-0000-0000B8030000}"/>
    <cellStyle name="Comma 2 4 2 2 2 8" xfId="27410" xr:uid="{00000000-0005-0000-0000-0000B9030000}"/>
    <cellStyle name="Comma 2 4 2 2 3" xfId="9011" xr:uid="{00000000-0005-0000-0000-0000BA030000}"/>
    <cellStyle name="Comma 2 4 2 2 3 2" xfId="18041" xr:uid="{00000000-0005-0000-0000-0000BB030000}"/>
    <cellStyle name="Comma 2 4 2 2 3 2 2" xfId="18437" xr:uid="{00000000-0005-0000-0000-0000BC030000}"/>
    <cellStyle name="Comma 2 4 2 2 3 2 2 2" xfId="38489" xr:uid="{00000000-0005-0000-0000-0000BD030000}"/>
    <cellStyle name="Comma 2 4 2 2 3 2 3" xfId="18833" xr:uid="{00000000-0005-0000-0000-0000BE030000}"/>
    <cellStyle name="Comma 2 4 2 2 3 2 3 2" xfId="38885" xr:uid="{00000000-0005-0000-0000-0000BF030000}"/>
    <cellStyle name="Comma 2 4 2 2 3 2 4" xfId="19229" xr:uid="{00000000-0005-0000-0000-0000C0030000}"/>
    <cellStyle name="Comma 2 4 2 2 3 2 4 2" xfId="39281" xr:uid="{00000000-0005-0000-0000-0000C1030000}"/>
    <cellStyle name="Comma 2 4 2 2 3 2 5" xfId="19625" xr:uid="{00000000-0005-0000-0000-0000C2030000}"/>
    <cellStyle name="Comma 2 4 2 2 3 2 5 2" xfId="39677" xr:uid="{00000000-0005-0000-0000-0000C3030000}"/>
    <cellStyle name="Comma 2 4 2 2 3 2 6" xfId="20021" xr:uid="{00000000-0005-0000-0000-0000C4030000}"/>
    <cellStyle name="Comma 2 4 2 2 3 2 6 2" xfId="40073" xr:uid="{00000000-0005-0000-0000-0000C5030000}"/>
    <cellStyle name="Comma 2 4 2 2 3 2 7" xfId="38093" xr:uid="{00000000-0005-0000-0000-0000C6030000}"/>
    <cellStyle name="Comma 2 4 2 2 3 3" xfId="18239" xr:uid="{00000000-0005-0000-0000-0000C7030000}"/>
    <cellStyle name="Comma 2 4 2 2 3 3 2" xfId="38291" xr:uid="{00000000-0005-0000-0000-0000C8030000}"/>
    <cellStyle name="Comma 2 4 2 2 3 4" xfId="18635" xr:uid="{00000000-0005-0000-0000-0000C9030000}"/>
    <cellStyle name="Comma 2 4 2 2 3 4 2" xfId="38687" xr:uid="{00000000-0005-0000-0000-0000CA030000}"/>
    <cellStyle name="Comma 2 4 2 2 3 5" xfId="19031" xr:uid="{00000000-0005-0000-0000-0000CB030000}"/>
    <cellStyle name="Comma 2 4 2 2 3 5 2" xfId="39083" xr:uid="{00000000-0005-0000-0000-0000CC030000}"/>
    <cellStyle name="Comma 2 4 2 2 3 6" xfId="19427" xr:uid="{00000000-0005-0000-0000-0000CD030000}"/>
    <cellStyle name="Comma 2 4 2 2 3 6 2" xfId="39479" xr:uid="{00000000-0005-0000-0000-0000CE030000}"/>
    <cellStyle name="Comma 2 4 2 2 3 7" xfId="19823" xr:uid="{00000000-0005-0000-0000-0000CF030000}"/>
    <cellStyle name="Comma 2 4 2 2 3 7 2" xfId="39875" xr:uid="{00000000-0005-0000-0000-0000D0030000}"/>
    <cellStyle name="Comma 2 4 2 2 3 8" xfId="29063" xr:uid="{00000000-0005-0000-0000-0000D1030000}"/>
    <cellStyle name="Comma 2 4 2 2 4" xfId="11906" xr:uid="{00000000-0005-0000-0000-0000D2030000}"/>
    <cellStyle name="Comma 2 4 2 2 4 2" xfId="18305" xr:uid="{00000000-0005-0000-0000-0000D3030000}"/>
    <cellStyle name="Comma 2 4 2 2 4 2 2" xfId="38357" xr:uid="{00000000-0005-0000-0000-0000D4030000}"/>
    <cellStyle name="Comma 2 4 2 2 4 3" xfId="18701" xr:uid="{00000000-0005-0000-0000-0000D5030000}"/>
    <cellStyle name="Comma 2 4 2 2 4 3 2" xfId="38753" xr:uid="{00000000-0005-0000-0000-0000D6030000}"/>
    <cellStyle name="Comma 2 4 2 2 4 4" xfId="19097" xr:uid="{00000000-0005-0000-0000-0000D7030000}"/>
    <cellStyle name="Comma 2 4 2 2 4 4 2" xfId="39149" xr:uid="{00000000-0005-0000-0000-0000D8030000}"/>
    <cellStyle name="Comma 2 4 2 2 4 5" xfId="19493" xr:uid="{00000000-0005-0000-0000-0000D9030000}"/>
    <cellStyle name="Comma 2 4 2 2 4 5 2" xfId="39545" xr:uid="{00000000-0005-0000-0000-0000DA030000}"/>
    <cellStyle name="Comma 2 4 2 2 4 6" xfId="19889" xr:uid="{00000000-0005-0000-0000-0000DB030000}"/>
    <cellStyle name="Comma 2 4 2 2 4 6 2" xfId="39941" xr:uid="{00000000-0005-0000-0000-0000DC030000}"/>
    <cellStyle name="Comma 2 4 2 2 4 7" xfId="31958" xr:uid="{00000000-0005-0000-0000-0000DD030000}"/>
    <cellStyle name="Comma 2 4 2 2 5" xfId="18107" xr:uid="{00000000-0005-0000-0000-0000DE030000}"/>
    <cellStyle name="Comma 2 4 2 2 5 2" xfId="38159" xr:uid="{00000000-0005-0000-0000-0000DF030000}"/>
    <cellStyle name="Comma 2 4 2 2 6" xfId="18503" xr:uid="{00000000-0005-0000-0000-0000E0030000}"/>
    <cellStyle name="Comma 2 4 2 2 6 2" xfId="38555" xr:uid="{00000000-0005-0000-0000-0000E1030000}"/>
    <cellStyle name="Comma 2 4 2 2 7" xfId="18899" xr:uid="{00000000-0005-0000-0000-0000E2030000}"/>
    <cellStyle name="Comma 2 4 2 2 7 2" xfId="38951" xr:uid="{00000000-0005-0000-0000-0000E3030000}"/>
    <cellStyle name="Comma 2 4 2 2 8" xfId="19295" xr:uid="{00000000-0005-0000-0000-0000E4030000}"/>
    <cellStyle name="Comma 2 4 2 2 8 2" xfId="39347" xr:uid="{00000000-0005-0000-0000-0000E5030000}"/>
    <cellStyle name="Comma 2 4 2 2 9" xfId="19691" xr:uid="{00000000-0005-0000-0000-0000E6030000}"/>
    <cellStyle name="Comma 2 4 2 2 9 2" xfId="39743" xr:uid="{00000000-0005-0000-0000-0000E7030000}"/>
    <cellStyle name="Comma 2 4 2 3" xfId="4370" xr:uid="{00000000-0005-0000-0000-0000E8030000}"/>
    <cellStyle name="Comma 2 4 2 3 10" xfId="24422" xr:uid="{00000000-0005-0000-0000-0000E9030000}"/>
    <cellStyle name="Comma 2 4 2 3 2" xfId="8852" xr:uid="{00000000-0005-0000-0000-0000EA030000}"/>
    <cellStyle name="Comma 2 4 2 3 2 2" xfId="17882" xr:uid="{00000000-0005-0000-0000-0000EB030000}"/>
    <cellStyle name="Comma 2 4 2 3 2 2 2" xfId="18393" xr:uid="{00000000-0005-0000-0000-0000EC030000}"/>
    <cellStyle name="Comma 2 4 2 3 2 2 2 2" xfId="38445" xr:uid="{00000000-0005-0000-0000-0000ED030000}"/>
    <cellStyle name="Comma 2 4 2 3 2 2 3" xfId="18789" xr:uid="{00000000-0005-0000-0000-0000EE030000}"/>
    <cellStyle name="Comma 2 4 2 3 2 2 3 2" xfId="38841" xr:uid="{00000000-0005-0000-0000-0000EF030000}"/>
    <cellStyle name="Comma 2 4 2 3 2 2 4" xfId="19185" xr:uid="{00000000-0005-0000-0000-0000F0030000}"/>
    <cellStyle name="Comma 2 4 2 3 2 2 4 2" xfId="39237" xr:uid="{00000000-0005-0000-0000-0000F1030000}"/>
    <cellStyle name="Comma 2 4 2 3 2 2 5" xfId="19581" xr:uid="{00000000-0005-0000-0000-0000F2030000}"/>
    <cellStyle name="Comma 2 4 2 3 2 2 5 2" xfId="39633" xr:uid="{00000000-0005-0000-0000-0000F3030000}"/>
    <cellStyle name="Comma 2 4 2 3 2 2 6" xfId="19977" xr:uid="{00000000-0005-0000-0000-0000F4030000}"/>
    <cellStyle name="Comma 2 4 2 3 2 2 6 2" xfId="40029" xr:uid="{00000000-0005-0000-0000-0000F5030000}"/>
    <cellStyle name="Comma 2 4 2 3 2 2 7" xfId="37934" xr:uid="{00000000-0005-0000-0000-0000F6030000}"/>
    <cellStyle name="Comma 2 4 2 3 2 3" xfId="18195" xr:uid="{00000000-0005-0000-0000-0000F7030000}"/>
    <cellStyle name="Comma 2 4 2 3 2 3 2" xfId="38247" xr:uid="{00000000-0005-0000-0000-0000F8030000}"/>
    <cellStyle name="Comma 2 4 2 3 2 4" xfId="18591" xr:uid="{00000000-0005-0000-0000-0000F9030000}"/>
    <cellStyle name="Comma 2 4 2 3 2 4 2" xfId="38643" xr:uid="{00000000-0005-0000-0000-0000FA030000}"/>
    <cellStyle name="Comma 2 4 2 3 2 5" xfId="18987" xr:uid="{00000000-0005-0000-0000-0000FB030000}"/>
    <cellStyle name="Comma 2 4 2 3 2 5 2" xfId="39039" xr:uid="{00000000-0005-0000-0000-0000FC030000}"/>
    <cellStyle name="Comma 2 4 2 3 2 6" xfId="19383" xr:uid="{00000000-0005-0000-0000-0000FD030000}"/>
    <cellStyle name="Comma 2 4 2 3 2 6 2" xfId="39435" xr:uid="{00000000-0005-0000-0000-0000FE030000}"/>
    <cellStyle name="Comma 2 4 2 3 2 7" xfId="19779" xr:uid="{00000000-0005-0000-0000-0000FF030000}"/>
    <cellStyle name="Comma 2 4 2 3 2 7 2" xfId="39831" xr:uid="{00000000-0005-0000-0000-000000040000}"/>
    <cellStyle name="Comma 2 4 2 3 2 8" xfId="28904" xr:uid="{00000000-0005-0000-0000-000001040000}"/>
    <cellStyle name="Comma 2 4 2 3 3" xfId="9033" xr:uid="{00000000-0005-0000-0000-000002040000}"/>
    <cellStyle name="Comma 2 4 2 3 3 2" xfId="18063" xr:uid="{00000000-0005-0000-0000-000003040000}"/>
    <cellStyle name="Comma 2 4 2 3 3 2 2" xfId="18459" xr:uid="{00000000-0005-0000-0000-000004040000}"/>
    <cellStyle name="Comma 2 4 2 3 3 2 2 2" xfId="38511" xr:uid="{00000000-0005-0000-0000-000005040000}"/>
    <cellStyle name="Comma 2 4 2 3 3 2 3" xfId="18855" xr:uid="{00000000-0005-0000-0000-000006040000}"/>
    <cellStyle name="Comma 2 4 2 3 3 2 3 2" xfId="38907" xr:uid="{00000000-0005-0000-0000-000007040000}"/>
    <cellStyle name="Comma 2 4 2 3 3 2 4" xfId="19251" xr:uid="{00000000-0005-0000-0000-000008040000}"/>
    <cellStyle name="Comma 2 4 2 3 3 2 4 2" xfId="39303" xr:uid="{00000000-0005-0000-0000-000009040000}"/>
    <cellStyle name="Comma 2 4 2 3 3 2 5" xfId="19647" xr:uid="{00000000-0005-0000-0000-00000A040000}"/>
    <cellStyle name="Comma 2 4 2 3 3 2 5 2" xfId="39699" xr:uid="{00000000-0005-0000-0000-00000B040000}"/>
    <cellStyle name="Comma 2 4 2 3 3 2 6" xfId="20043" xr:uid="{00000000-0005-0000-0000-00000C040000}"/>
    <cellStyle name="Comma 2 4 2 3 3 2 6 2" xfId="40095" xr:uid="{00000000-0005-0000-0000-00000D040000}"/>
    <cellStyle name="Comma 2 4 2 3 3 2 7" xfId="38115" xr:uid="{00000000-0005-0000-0000-00000E040000}"/>
    <cellStyle name="Comma 2 4 2 3 3 3" xfId="18261" xr:uid="{00000000-0005-0000-0000-00000F040000}"/>
    <cellStyle name="Comma 2 4 2 3 3 3 2" xfId="38313" xr:uid="{00000000-0005-0000-0000-000010040000}"/>
    <cellStyle name="Comma 2 4 2 3 3 4" xfId="18657" xr:uid="{00000000-0005-0000-0000-000011040000}"/>
    <cellStyle name="Comma 2 4 2 3 3 4 2" xfId="38709" xr:uid="{00000000-0005-0000-0000-000012040000}"/>
    <cellStyle name="Comma 2 4 2 3 3 5" xfId="19053" xr:uid="{00000000-0005-0000-0000-000013040000}"/>
    <cellStyle name="Comma 2 4 2 3 3 5 2" xfId="39105" xr:uid="{00000000-0005-0000-0000-000014040000}"/>
    <cellStyle name="Comma 2 4 2 3 3 6" xfId="19449" xr:uid="{00000000-0005-0000-0000-000015040000}"/>
    <cellStyle name="Comma 2 4 2 3 3 6 2" xfId="39501" xr:uid="{00000000-0005-0000-0000-000016040000}"/>
    <cellStyle name="Comma 2 4 2 3 3 7" xfId="19845" xr:uid="{00000000-0005-0000-0000-000017040000}"/>
    <cellStyle name="Comma 2 4 2 3 3 7 2" xfId="39897" xr:uid="{00000000-0005-0000-0000-000018040000}"/>
    <cellStyle name="Comma 2 4 2 3 3 8" xfId="29085" xr:uid="{00000000-0005-0000-0000-000019040000}"/>
    <cellStyle name="Comma 2 4 2 3 4" xfId="13400" xr:uid="{00000000-0005-0000-0000-00001A040000}"/>
    <cellStyle name="Comma 2 4 2 3 4 2" xfId="18327" xr:uid="{00000000-0005-0000-0000-00001B040000}"/>
    <cellStyle name="Comma 2 4 2 3 4 2 2" xfId="38379" xr:uid="{00000000-0005-0000-0000-00001C040000}"/>
    <cellStyle name="Comma 2 4 2 3 4 3" xfId="18723" xr:uid="{00000000-0005-0000-0000-00001D040000}"/>
    <cellStyle name="Comma 2 4 2 3 4 3 2" xfId="38775" xr:uid="{00000000-0005-0000-0000-00001E040000}"/>
    <cellStyle name="Comma 2 4 2 3 4 4" xfId="19119" xr:uid="{00000000-0005-0000-0000-00001F040000}"/>
    <cellStyle name="Comma 2 4 2 3 4 4 2" xfId="39171" xr:uid="{00000000-0005-0000-0000-000020040000}"/>
    <cellStyle name="Comma 2 4 2 3 4 5" xfId="19515" xr:uid="{00000000-0005-0000-0000-000021040000}"/>
    <cellStyle name="Comma 2 4 2 3 4 5 2" xfId="39567" xr:uid="{00000000-0005-0000-0000-000022040000}"/>
    <cellStyle name="Comma 2 4 2 3 4 6" xfId="19911" xr:uid="{00000000-0005-0000-0000-000023040000}"/>
    <cellStyle name="Comma 2 4 2 3 4 6 2" xfId="39963" xr:uid="{00000000-0005-0000-0000-000024040000}"/>
    <cellStyle name="Comma 2 4 2 3 4 7" xfId="33452" xr:uid="{00000000-0005-0000-0000-000025040000}"/>
    <cellStyle name="Comma 2 4 2 3 5" xfId="18129" xr:uid="{00000000-0005-0000-0000-000026040000}"/>
    <cellStyle name="Comma 2 4 2 3 5 2" xfId="38181" xr:uid="{00000000-0005-0000-0000-000027040000}"/>
    <cellStyle name="Comma 2 4 2 3 6" xfId="18525" xr:uid="{00000000-0005-0000-0000-000028040000}"/>
    <cellStyle name="Comma 2 4 2 3 6 2" xfId="38577" xr:uid="{00000000-0005-0000-0000-000029040000}"/>
    <cellStyle name="Comma 2 4 2 3 7" xfId="18921" xr:uid="{00000000-0005-0000-0000-00002A040000}"/>
    <cellStyle name="Comma 2 4 2 3 7 2" xfId="38973" xr:uid="{00000000-0005-0000-0000-00002B040000}"/>
    <cellStyle name="Comma 2 4 2 3 8" xfId="19317" xr:uid="{00000000-0005-0000-0000-00002C040000}"/>
    <cellStyle name="Comma 2 4 2 3 8 2" xfId="39369" xr:uid="{00000000-0005-0000-0000-00002D040000}"/>
    <cellStyle name="Comma 2 4 2 3 9" xfId="19713" xr:uid="{00000000-0005-0000-0000-00002E040000}"/>
    <cellStyle name="Comma 2 4 2 3 9 2" xfId="39765" xr:uid="{00000000-0005-0000-0000-00002F040000}"/>
    <cellStyle name="Comma 2 4 2 4" xfId="5864" xr:uid="{00000000-0005-0000-0000-000030040000}"/>
    <cellStyle name="Comma 2 4 2 4 2" xfId="14894" xr:uid="{00000000-0005-0000-0000-000031040000}"/>
    <cellStyle name="Comma 2 4 2 4 2 2" xfId="18349" xr:uid="{00000000-0005-0000-0000-000032040000}"/>
    <cellStyle name="Comma 2 4 2 4 2 2 2" xfId="38401" xr:uid="{00000000-0005-0000-0000-000033040000}"/>
    <cellStyle name="Comma 2 4 2 4 2 3" xfId="18745" xr:uid="{00000000-0005-0000-0000-000034040000}"/>
    <cellStyle name="Comma 2 4 2 4 2 3 2" xfId="38797" xr:uid="{00000000-0005-0000-0000-000035040000}"/>
    <cellStyle name="Comma 2 4 2 4 2 4" xfId="19141" xr:uid="{00000000-0005-0000-0000-000036040000}"/>
    <cellStyle name="Comma 2 4 2 4 2 4 2" xfId="39193" xr:uid="{00000000-0005-0000-0000-000037040000}"/>
    <cellStyle name="Comma 2 4 2 4 2 5" xfId="19537" xr:uid="{00000000-0005-0000-0000-000038040000}"/>
    <cellStyle name="Comma 2 4 2 4 2 5 2" xfId="39589" xr:uid="{00000000-0005-0000-0000-000039040000}"/>
    <cellStyle name="Comma 2 4 2 4 2 6" xfId="19933" xr:uid="{00000000-0005-0000-0000-00003A040000}"/>
    <cellStyle name="Comma 2 4 2 4 2 6 2" xfId="39985" xr:uid="{00000000-0005-0000-0000-00003B040000}"/>
    <cellStyle name="Comma 2 4 2 4 2 7" xfId="34946" xr:uid="{00000000-0005-0000-0000-00003C040000}"/>
    <cellStyle name="Comma 2 4 2 4 3" xfId="18151" xr:uid="{00000000-0005-0000-0000-00003D040000}"/>
    <cellStyle name="Comma 2 4 2 4 3 2" xfId="38203" xr:uid="{00000000-0005-0000-0000-00003E040000}"/>
    <cellStyle name="Comma 2 4 2 4 4" xfId="18547" xr:uid="{00000000-0005-0000-0000-00003F040000}"/>
    <cellStyle name="Comma 2 4 2 4 4 2" xfId="38599" xr:uid="{00000000-0005-0000-0000-000040040000}"/>
    <cellStyle name="Comma 2 4 2 4 5" xfId="18943" xr:uid="{00000000-0005-0000-0000-000041040000}"/>
    <cellStyle name="Comma 2 4 2 4 5 2" xfId="38995" xr:uid="{00000000-0005-0000-0000-000042040000}"/>
    <cellStyle name="Comma 2 4 2 4 6" xfId="19339" xr:uid="{00000000-0005-0000-0000-000043040000}"/>
    <cellStyle name="Comma 2 4 2 4 6 2" xfId="39391" xr:uid="{00000000-0005-0000-0000-000044040000}"/>
    <cellStyle name="Comma 2 4 2 4 7" xfId="19735" xr:uid="{00000000-0005-0000-0000-000045040000}"/>
    <cellStyle name="Comma 2 4 2 4 7 2" xfId="39787" xr:uid="{00000000-0005-0000-0000-000046040000}"/>
    <cellStyle name="Comma 2 4 2 4 8" xfId="25916" xr:uid="{00000000-0005-0000-0000-000047040000}"/>
    <cellStyle name="Comma 2 4 2 5" xfId="8989" xr:uid="{00000000-0005-0000-0000-000048040000}"/>
    <cellStyle name="Comma 2 4 2 5 2" xfId="18019" xr:uid="{00000000-0005-0000-0000-000049040000}"/>
    <cellStyle name="Comma 2 4 2 5 2 2" xfId="18415" xr:uid="{00000000-0005-0000-0000-00004A040000}"/>
    <cellStyle name="Comma 2 4 2 5 2 2 2" xfId="38467" xr:uid="{00000000-0005-0000-0000-00004B040000}"/>
    <cellStyle name="Comma 2 4 2 5 2 3" xfId="18811" xr:uid="{00000000-0005-0000-0000-00004C040000}"/>
    <cellStyle name="Comma 2 4 2 5 2 3 2" xfId="38863" xr:uid="{00000000-0005-0000-0000-00004D040000}"/>
    <cellStyle name="Comma 2 4 2 5 2 4" xfId="19207" xr:uid="{00000000-0005-0000-0000-00004E040000}"/>
    <cellStyle name="Comma 2 4 2 5 2 4 2" xfId="39259" xr:uid="{00000000-0005-0000-0000-00004F040000}"/>
    <cellStyle name="Comma 2 4 2 5 2 5" xfId="19603" xr:uid="{00000000-0005-0000-0000-000050040000}"/>
    <cellStyle name="Comma 2 4 2 5 2 5 2" xfId="39655" xr:uid="{00000000-0005-0000-0000-000051040000}"/>
    <cellStyle name="Comma 2 4 2 5 2 6" xfId="19999" xr:uid="{00000000-0005-0000-0000-000052040000}"/>
    <cellStyle name="Comma 2 4 2 5 2 6 2" xfId="40051" xr:uid="{00000000-0005-0000-0000-000053040000}"/>
    <cellStyle name="Comma 2 4 2 5 2 7" xfId="38071" xr:uid="{00000000-0005-0000-0000-000054040000}"/>
    <cellStyle name="Comma 2 4 2 5 3" xfId="18217" xr:uid="{00000000-0005-0000-0000-000055040000}"/>
    <cellStyle name="Comma 2 4 2 5 3 2" xfId="38269" xr:uid="{00000000-0005-0000-0000-000056040000}"/>
    <cellStyle name="Comma 2 4 2 5 4" xfId="18613" xr:uid="{00000000-0005-0000-0000-000057040000}"/>
    <cellStyle name="Comma 2 4 2 5 4 2" xfId="38665" xr:uid="{00000000-0005-0000-0000-000058040000}"/>
    <cellStyle name="Comma 2 4 2 5 5" xfId="19009" xr:uid="{00000000-0005-0000-0000-000059040000}"/>
    <cellStyle name="Comma 2 4 2 5 5 2" xfId="39061" xr:uid="{00000000-0005-0000-0000-00005A040000}"/>
    <cellStyle name="Comma 2 4 2 5 6" xfId="19405" xr:uid="{00000000-0005-0000-0000-00005B040000}"/>
    <cellStyle name="Comma 2 4 2 5 6 2" xfId="39457" xr:uid="{00000000-0005-0000-0000-00005C040000}"/>
    <cellStyle name="Comma 2 4 2 5 7" xfId="19801" xr:uid="{00000000-0005-0000-0000-00005D040000}"/>
    <cellStyle name="Comma 2 4 2 5 7 2" xfId="39853" xr:uid="{00000000-0005-0000-0000-00005E040000}"/>
    <cellStyle name="Comma 2 4 2 5 8" xfId="29041" xr:uid="{00000000-0005-0000-0000-00005F040000}"/>
    <cellStyle name="Comma 2 4 2 6" xfId="10412" xr:uid="{00000000-0005-0000-0000-000060040000}"/>
    <cellStyle name="Comma 2 4 2 6 2" xfId="18283" xr:uid="{00000000-0005-0000-0000-000061040000}"/>
    <cellStyle name="Comma 2 4 2 6 2 2" xfId="38335" xr:uid="{00000000-0005-0000-0000-000062040000}"/>
    <cellStyle name="Comma 2 4 2 6 3" xfId="18679" xr:uid="{00000000-0005-0000-0000-000063040000}"/>
    <cellStyle name="Comma 2 4 2 6 3 2" xfId="38731" xr:uid="{00000000-0005-0000-0000-000064040000}"/>
    <cellStyle name="Comma 2 4 2 6 4" xfId="19075" xr:uid="{00000000-0005-0000-0000-000065040000}"/>
    <cellStyle name="Comma 2 4 2 6 4 2" xfId="39127" xr:uid="{00000000-0005-0000-0000-000066040000}"/>
    <cellStyle name="Comma 2 4 2 6 5" xfId="19471" xr:uid="{00000000-0005-0000-0000-000067040000}"/>
    <cellStyle name="Comma 2 4 2 6 5 2" xfId="39523" xr:uid="{00000000-0005-0000-0000-000068040000}"/>
    <cellStyle name="Comma 2 4 2 6 6" xfId="19867" xr:uid="{00000000-0005-0000-0000-000069040000}"/>
    <cellStyle name="Comma 2 4 2 6 6 2" xfId="39919" xr:uid="{00000000-0005-0000-0000-00006A040000}"/>
    <cellStyle name="Comma 2 4 2 6 7" xfId="30464" xr:uid="{00000000-0005-0000-0000-00006B040000}"/>
    <cellStyle name="Comma 2 4 2 7" xfId="18085" xr:uid="{00000000-0005-0000-0000-00006C040000}"/>
    <cellStyle name="Comma 2 4 2 7 2" xfId="38137" xr:uid="{00000000-0005-0000-0000-00006D040000}"/>
    <cellStyle name="Comma 2 4 2 8" xfId="18481" xr:uid="{00000000-0005-0000-0000-00006E040000}"/>
    <cellStyle name="Comma 2 4 2 8 2" xfId="38533" xr:uid="{00000000-0005-0000-0000-00006F040000}"/>
    <cellStyle name="Comma 2 4 2 9" xfId="18877" xr:uid="{00000000-0005-0000-0000-000070040000}"/>
    <cellStyle name="Comma 2 4 2 9 2" xfId="38929" xr:uid="{00000000-0005-0000-0000-000071040000}"/>
    <cellStyle name="Comma 2 4 3" xfId="2129" xr:uid="{00000000-0005-0000-0000-000072040000}"/>
    <cellStyle name="Comma 2 4 3 10" xfId="22181" xr:uid="{00000000-0005-0000-0000-000073040000}"/>
    <cellStyle name="Comma 2 4 3 2" xfId="6611" xr:uid="{00000000-0005-0000-0000-000074040000}"/>
    <cellStyle name="Comma 2 4 3 2 2" xfId="15641" xr:uid="{00000000-0005-0000-0000-000075040000}"/>
    <cellStyle name="Comma 2 4 3 2 2 2" xfId="18360" xr:uid="{00000000-0005-0000-0000-000076040000}"/>
    <cellStyle name="Comma 2 4 3 2 2 2 2" xfId="38412" xr:uid="{00000000-0005-0000-0000-000077040000}"/>
    <cellStyle name="Comma 2 4 3 2 2 3" xfId="18756" xr:uid="{00000000-0005-0000-0000-000078040000}"/>
    <cellStyle name="Comma 2 4 3 2 2 3 2" xfId="38808" xr:uid="{00000000-0005-0000-0000-000079040000}"/>
    <cellStyle name="Comma 2 4 3 2 2 4" xfId="19152" xr:uid="{00000000-0005-0000-0000-00007A040000}"/>
    <cellStyle name="Comma 2 4 3 2 2 4 2" xfId="39204" xr:uid="{00000000-0005-0000-0000-00007B040000}"/>
    <cellStyle name="Comma 2 4 3 2 2 5" xfId="19548" xr:uid="{00000000-0005-0000-0000-00007C040000}"/>
    <cellStyle name="Comma 2 4 3 2 2 5 2" xfId="39600" xr:uid="{00000000-0005-0000-0000-00007D040000}"/>
    <cellStyle name="Comma 2 4 3 2 2 6" xfId="19944" xr:uid="{00000000-0005-0000-0000-00007E040000}"/>
    <cellStyle name="Comma 2 4 3 2 2 6 2" xfId="39996" xr:uid="{00000000-0005-0000-0000-00007F040000}"/>
    <cellStyle name="Comma 2 4 3 2 2 7" xfId="35693" xr:uid="{00000000-0005-0000-0000-000080040000}"/>
    <cellStyle name="Comma 2 4 3 2 3" xfId="18162" xr:uid="{00000000-0005-0000-0000-000081040000}"/>
    <cellStyle name="Comma 2 4 3 2 3 2" xfId="38214" xr:uid="{00000000-0005-0000-0000-000082040000}"/>
    <cellStyle name="Comma 2 4 3 2 4" xfId="18558" xr:uid="{00000000-0005-0000-0000-000083040000}"/>
    <cellStyle name="Comma 2 4 3 2 4 2" xfId="38610" xr:uid="{00000000-0005-0000-0000-000084040000}"/>
    <cellStyle name="Comma 2 4 3 2 5" xfId="18954" xr:uid="{00000000-0005-0000-0000-000085040000}"/>
    <cellStyle name="Comma 2 4 3 2 5 2" xfId="39006" xr:uid="{00000000-0005-0000-0000-000086040000}"/>
    <cellStyle name="Comma 2 4 3 2 6" xfId="19350" xr:uid="{00000000-0005-0000-0000-000087040000}"/>
    <cellStyle name="Comma 2 4 3 2 6 2" xfId="39402" xr:uid="{00000000-0005-0000-0000-000088040000}"/>
    <cellStyle name="Comma 2 4 3 2 7" xfId="19746" xr:uid="{00000000-0005-0000-0000-000089040000}"/>
    <cellStyle name="Comma 2 4 3 2 7 2" xfId="39798" xr:uid="{00000000-0005-0000-0000-00008A040000}"/>
    <cellStyle name="Comma 2 4 3 2 8" xfId="26663" xr:uid="{00000000-0005-0000-0000-00008B040000}"/>
    <cellStyle name="Comma 2 4 3 3" xfId="9000" xr:uid="{00000000-0005-0000-0000-00008C040000}"/>
    <cellStyle name="Comma 2 4 3 3 2" xfId="18030" xr:uid="{00000000-0005-0000-0000-00008D040000}"/>
    <cellStyle name="Comma 2 4 3 3 2 2" xfId="18426" xr:uid="{00000000-0005-0000-0000-00008E040000}"/>
    <cellStyle name="Comma 2 4 3 3 2 2 2" xfId="38478" xr:uid="{00000000-0005-0000-0000-00008F040000}"/>
    <cellStyle name="Comma 2 4 3 3 2 3" xfId="18822" xr:uid="{00000000-0005-0000-0000-000090040000}"/>
    <cellStyle name="Comma 2 4 3 3 2 3 2" xfId="38874" xr:uid="{00000000-0005-0000-0000-000091040000}"/>
    <cellStyle name="Comma 2 4 3 3 2 4" xfId="19218" xr:uid="{00000000-0005-0000-0000-000092040000}"/>
    <cellStyle name="Comma 2 4 3 3 2 4 2" xfId="39270" xr:uid="{00000000-0005-0000-0000-000093040000}"/>
    <cellStyle name="Comma 2 4 3 3 2 5" xfId="19614" xr:uid="{00000000-0005-0000-0000-000094040000}"/>
    <cellStyle name="Comma 2 4 3 3 2 5 2" xfId="39666" xr:uid="{00000000-0005-0000-0000-000095040000}"/>
    <cellStyle name="Comma 2 4 3 3 2 6" xfId="20010" xr:uid="{00000000-0005-0000-0000-000096040000}"/>
    <cellStyle name="Comma 2 4 3 3 2 6 2" xfId="40062" xr:uid="{00000000-0005-0000-0000-000097040000}"/>
    <cellStyle name="Comma 2 4 3 3 2 7" xfId="38082" xr:uid="{00000000-0005-0000-0000-000098040000}"/>
    <cellStyle name="Comma 2 4 3 3 3" xfId="18228" xr:uid="{00000000-0005-0000-0000-000099040000}"/>
    <cellStyle name="Comma 2 4 3 3 3 2" xfId="38280" xr:uid="{00000000-0005-0000-0000-00009A040000}"/>
    <cellStyle name="Comma 2 4 3 3 4" xfId="18624" xr:uid="{00000000-0005-0000-0000-00009B040000}"/>
    <cellStyle name="Comma 2 4 3 3 4 2" xfId="38676" xr:uid="{00000000-0005-0000-0000-00009C040000}"/>
    <cellStyle name="Comma 2 4 3 3 5" xfId="19020" xr:uid="{00000000-0005-0000-0000-00009D040000}"/>
    <cellStyle name="Comma 2 4 3 3 5 2" xfId="39072" xr:uid="{00000000-0005-0000-0000-00009E040000}"/>
    <cellStyle name="Comma 2 4 3 3 6" xfId="19416" xr:uid="{00000000-0005-0000-0000-00009F040000}"/>
    <cellStyle name="Comma 2 4 3 3 6 2" xfId="39468" xr:uid="{00000000-0005-0000-0000-0000A0040000}"/>
    <cellStyle name="Comma 2 4 3 3 7" xfId="19812" xr:uid="{00000000-0005-0000-0000-0000A1040000}"/>
    <cellStyle name="Comma 2 4 3 3 7 2" xfId="39864" xr:uid="{00000000-0005-0000-0000-0000A2040000}"/>
    <cellStyle name="Comma 2 4 3 3 8" xfId="29052" xr:uid="{00000000-0005-0000-0000-0000A3040000}"/>
    <cellStyle name="Comma 2 4 3 4" xfId="11159" xr:uid="{00000000-0005-0000-0000-0000A4040000}"/>
    <cellStyle name="Comma 2 4 3 4 2" xfId="18294" xr:uid="{00000000-0005-0000-0000-0000A5040000}"/>
    <cellStyle name="Comma 2 4 3 4 2 2" xfId="38346" xr:uid="{00000000-0005-0000-0000-0000A6040000}"/>
    <cellStyle name="Comma 2 4 3 4 3" xfId="18690" xr:uid="{00000000-0005-0000-0000-0000A7040000}"/>
    <cellStyle name="Comma 2 4 3 4 3 2" xfId="38742" xr:uid="{00000000-0005-0000-0000-0000A8040000}"/>
    <cellStyle name="Comma 2 4 3 4 4" xfId="19086" xr:uid="{00000000-0005-0000-0000-0000A9040000}"/>
    <cellStyle name="Comma 2 4 3 4 4 2" xfId="39138" xr:uid="{00000000-0005-0000-0000-0000AA040000}"/>
    <cellStyle name="Comma 2 4 3 4 5" xfId="19482" xr:uid="{00000000-0005-0000-0000-0000AB040000}"/>
    <cellStyle name="Comma 2 4 3 4 5 2" xfId="39534" xr:uid="{00000000-0005-0000-0000-0000AC040000}"/>
    <cellStyle name="Comma 2 4 3 4 6" xfId="19878" xr:uid="{00000000-0005-0000-0000-0000AD040000}"/>
    <cellStyle name="Comma 2 4 3 4 6 2" xfId="39930" xr:uid="{00000000-0005-0000-0000-0000AE040000}"/>
    <cellStyle name="Comma 2 4 3 4 7" xfId="31211" xr:uid="{00000000-0005-0000-0000-0000AF040000}"/>
    <cellStyle name="Comma 2 4 3 5" xfId="18096" xr:uid="{00000000-0005-0000-0000-0000B0040000}"/>
    <cellStyle name="Comma 2 4 3 5 2" xfId="38148" xr:uid="{00000000-0005-0000-0000-0000B1040000}"/>
    <cellStyle name="Comma 2 4 3 6" xfId="18492" xr:uid="{00000000-0005-0000-0000-0000B2040000}"/>
    <cellStyle name="Comma 2 4 3 6 2" xfId="38544" xr:uid="{00000000-0005-0000-0000-0000B3040000}"/>
    <cellStyle name="Comma 2 4 3 7" xfId="18888" xr:uid="{00000000-0005-0000-0000-0000B4040000}"/>
    <cellStyle name="Comma 2 4 3 7 2" xfId="38940" xr:uid="{00000000-0005-0000-0000-0000B5040000}"/>
    <cellStyle name="Comma 2 4 3 8" xfId="19284" xr:uid="{00000000-0005-0000-0000-0000B6040000}"/>
    <cellStyle name="Comma 2 4 3 8 2" xfId="39336" xr:uid="{00000000-0005-0000-0000-0000B7040000}"/>
    <cellStyle name="Comma 2 4 3 9" xfId="19680" xr:uid="{00000000-0005-0000-0000-0000B8040000}"/>
    <cellStyle name="Comma 2 4 3 9 2" xfId="39732" xr:uid="{00000000-0005-0000-0000-0000B9040000}"/>
    <cellStyle name="Comma 2 4 4" xfId="3623" xr:uid="{00000000-0005-0000-0000-0000BA040000}"/>
    <cellStyle name="Comma 2 4 4 10" xfId="23675" xr:uid="{00000000-0005-0000-0000-0000BB040000}"/>
    <cellStyle name="Comma 2 4 4 2" xfId="8105" xr:uid="{00000000-0005-0000-0000-0000BC040000}"/>
    <cellStyle name="Comma 2 4 4 2 2" xfId="17135" xr:uid="{00000000-0005-0000-0000-0000BD040000}"/>
    <cellStyle name="Comma 2 4 4 2 2 2" xfId="18382" xr:uid="{00000000-0005-0000-0000-0000BE040000}"/>
    <cellStyle name="Comma 2 4 4 2 2 2 2" xfId="38434" xr:uid="{00000000-0005-0000-0000-0000BF040000}"/>
    <cellStyle name="Comma 2 4 4 2 2 3" xfId="18778" xr:uid="{00000000-0005-0000-0000-0000C0040000}"/>
    <cellStyle name="Comma 2 4 4 2 2 3 2" xfId="38830" xr:uid="{00000000-0005-0000-0000-0000C1040000}"/>
    <cellStyle name="Comma 2 4 4 2 2 4" xfId="19174" xr:uid="{00000000-0005-0000-0000-0000C2040000}"/>
    <cellStyle name="Comma 2 4 4 2 2 4 2" xfId="39226" xr:uid="{00000000-0005-0000-0000-0000C3040000}"/>
    <cellStyle name="Comma 2 4 4 2 2 5" xfId="19570" xr:uid="{00000000-0005-0000-0000-0000C4040000}"/>
    <cellStyle name="Comma 2 4 4 2 2 5 2" xfId="39622" xr:uid="{00000000-0005-0000-0000-0000C5040000}"/>
    <cellStyle name="Comma 2 4 4 2 2 6" xfId="19966" xr:uid="{00000000-0005-0000-0000-0000C6040000}"/>
    <cellStyle name="Comma 2 4 4 2 2 6 2" xfId="40018" xr:uid="{00000000-0005-0000-0000-0000C7040000}"/>
    <cellStyle name="Comma 2 4 4 2 2 7" xfId="37187" xr:uid="{00000000-0005-0000-0000-0000C8040000}"/>
    <cellStyle name="Comma 2 4 4 2 3" xfId="18184" xr:uid="{00000000-0005-0000-0000-0000C9040000}"/>
    <cellStyle name="Comma 2 4 4 2 3 2" xfId="38236" xr:uid="{00000000-0005-0000-0000-0000CA040000}"/>
    <cellStyle name="Comma 2 4 4 2 4" xfId="18580" xr:uid="{00000000-0005-0000-0000-0000CB040000}"/>
    <cellStyle name="Comma 2 4 4 2 4 2" xfId="38632" xr:uid="{00000000-0005-0000-0000-0000CC040000}"/>
    <cellStyle name="Comma 2 4 4 2 5" xfId="18976" xr:uid="{00000000-0005-0000-0000-0000CD040000}"/>
    <cellStyle name="Comma 2 4 4 2 5 2" xfId="39028" xr:uid="{00000000-0005-0000-0000-0000CE040000}"/>
    <cellStyle name="Comma 2 4 4 2 6" xfId="19372" xr:uid="{00000000-0005-0000-0000-0000CF040000}"/>
    <cellStyle name="Comma 2 4 4 2 6 2" xfId="39424" xr:uid="{00000000-0005-0000-0000-0000D0040000}"/>
    <cellStyle name="Comma 2 4 4 2 7" xfId="19768" xr:uid="{00000000-0005-0000-0000-0000D1040000}"/>
    <cellStyle name="Comma 2 4 4 2 7 2" xfId="39820" xr:uid="{00000000-0005-0000-0000-0000D2040000}"/>
    <cellStyle name="Comma 2 4 4 2 8" xfId="28157" xr:uid="{00000000-0005-0000-0000-0000D3040000}"/>
    <cellStyle name="Comma 2 4 4 3" xfId="9022" xr:uid="{00000000-0005-0000-0000-0000D4040000}"/>
    <cellStyle name="Comma 2 4 4 3 2" xfId="18052" xr:uid="{00000000-0005-0000-0000-0000D5040000}"/>
    <cellStyle name="Comma 2 4 4 3 2 2" xfId="18448" xr:uid="{00000000-0005-0000-0000-0000D6040000}"/>
    <cellStyle name="Comma 2 4 4 3 2 2 2" xfId="38500" xr:uid="{00000000-0005-0000-0000-0000D7040000}"/>
    <cellStyle name="Comma 2 4 4 3 2 3" xfId="18844" xr:uid="{00000000-0005-0000-0000-0000D8040000}"/>
    <cellStyle name="Comma 2 4 4 3 2 3 2" xfId="38896" xr:uid="{00000000-0005-0000-0000-0000D9040000}"/>
    <cellStyle name="Comma 2 4 4 3 2 4" xfId="19240" xr:uid="{00000000-0005-0000-0000-0000DA040000}"/>
    <cellStyle name="Comma 2 4 4 3 2 4 2" xfId="39292" xr:uid="{00000000-0005-0000-0000-0000DB040000}"/>
    <cellStyle name="Comma 2 4 4 3 2 5" xfId="19636" xr:uid="{00000000-0005-0000-0000-0000DC040000}"/>
    <cellStyle name="Comma 2 4 4 3 2 5 2" xfId="39688" xr:uid="{00000000-0005-0000-0000-0000DD040000}"/>
    <cellStyle name="Comma 2 4 4 3 2 6" xfId="20032" xr:uid="{00000000-0005-0000-0000-0000DE040000}"/>
    <cellStyle name="Comma 2 4 4 3 2 6 2" xfId="40084" xr:uid="{00000000-0005-0000-0000-0000DF040000}"/>
    <cellStyle name="Comma 2 4 4 3 2 7" xfId="38104" xr:uid="{00000000-0005-0000-0000-0000E0040000}"/>
    <cellStyle name="Comma 2 4 4 3 3" xfId="18250" xr:uid="{00000000-0005-0000-0000-0000E1040000}"/>
    <cellStyle name="Comma 2 4 4 3 3 2" xfId="38302" xr:uid="{00000000-0005-0000-0000-0000E2040000}"/>
    <cellStyle name="Comma 2 4 4 3 4" xfId="18646" xr:uid="{00000000-0005-0000-0000-0000E3040000}"/>
    <cellStyle name="Comma 2 4 4 3 4 2" xfId="38698" xr:uid="{00000000-0005-0000-0000-0000E4040000}"/>
    <cellStyle name="Comma 2 4 4 3 5" xfId="19042" xr:uid="{00000000-0005-0000-0000-0000E5040000}"/>
    <cellStyle name="Comma 2 4 4 3 5 2" xfId="39094" xr:uid="{00000000-0005-0000-0000-0000E6040000}"/>
    <cellStyle name="Comma 2 4 4 3 6" xfId="19438" xr:uid="{00000000-0005-0000-0000-0000E7040000}"/>
    <cellStyle name="Comma 2 4 4 3 6 2" xfId="39490" xr:uid="{00000000-0005-0000-0000-0000E8040000}"/>
    <cellStyle name="Comma 2 4 4 3 7" xfId="19834" xr:uid="{00000000-0005-0000-0000-0000E9040000}"/>
    <cellStyle name="Comma 2 4 4 3 7 2" xfId="39886" xr:uid="{00000000-0005-0000-0000-0000EA040000}"/>
    <cellStyle name="Comma 2 4 4 3 8" xfId="29074" xr:uid="{00000000-0005-0000-0000-0000EB040000}"/>
    <cellStyle name="Comma 2 4 4 4" xfId="12653" xr:uid="{00000000-0005-0000-0000-0000EC040000}"/>
    <cellStyle name="Comma 2 4 4 4 2" xfId="18316" xr:uid="{00000000-0005-0000-0000-0000ED040000}"/>
    <cellStyle name="Comma 2 4 4 4 2 2" xfId="38368" xr:uid="{00000000-0005-0000-0000-0000EE040000}"/>
    <cellStyle name="Comma 2 4 4 4 3" xfId="18712" xr:uid="{00000000-0005-0000-0000-0000EF040000}"/>
    <cellStyle name="Comma 2 4 4 4 3 2" xfId="38764" xr:uid="{00000000-0005-0000-0000-0000F0040000}"/>
    <cellStyle name="Comma 2 4 4 4 4" xfId="19108" xr:uid="{00000000-0005-0000-0000-0000F1040000}"/>
    <cellStyle name="Comma 2 4 4 4 4 2" xfId="39160" xr:uid="{00000000-0005-0000-0000-0000F2040000}"/>
    <cellStyle name="Comma 2 4 4 4 5" xfId="19504" xr:uid="{00000000-0005-0000-0000-0000F3040000}"/>
    <cellStyle name="Comma 2 4 4 4 5 2" xfId="39556" xr:uid="{00000000-0005-0000-0000-0000F4040000}"/>
    <cellStyle name="Comma 2 4 4 4 6" xfId="19900" xr:uid="{00000000-0005-0000-0000-0000F5040000}"/>
    <cellStyle name="Comma 2 4 4 4 6 2" xfId="39952" xr:uid="{00000000-0005-0000-0000-0000F6040000}"/>
    <cellStyle name="Comma 2 4 4 4 7" xfId="32705" xr:uid="{00000000-0005-0000-0000-0000F7040000}"/>
    <cellStyle name="Comma 2 4 4 5" xfId="18118" xr:uid="{00000000-0005-0000-0000-0000F8040000}"/>
    <cellStyle name="Comma 2 4 4 5 2" xfId="38170" xr:uid="{00000000-0005-0000-0000-0000F9040000}"/>
    <cellStyle name="Comma 2 4 4 6" xfId="18514" xr:uid="{00000000-0005-0000-0000-0000FA040000}"/>
    <cellStyle name="Comma 2 4 4 6 2" xfId="38566" xr:uid="{00000000-0005-0000-0000-0000FB040000}"/>
    <cellStyle name="Comma 2 4 4 7" xfId="18910" xr:uid="{00000000-0005-0000-0000-0000FC040000}"/>
    <cellStyle name="Comma 2 4 4 7 2" xfId="38962" xr:uid="{00000000-0005-0000-0000-0000FD040000}"/>
    <cellStyle name="Comma 2 4 4 8" xfId="19306" xr:uid="{00000000-0005-0000-0000-0000FE040000}"/>
    <cellStyle name="Comma 2 4 4 8 2" xfId="39358" xr:uid="{00000000-0005-0000-0000-0000FF040000}"/>
    <cellStyle name="Comma 2 4 4 9" xfId="19702" xr:uid="{00000000-0005-0000-0000-000000050000}"/>
    <cellStyle name="Comma 2 4 4 9 2" xfId="39754" xr:uid="{00000000-0005-0000-0000-000001050000}"/>
    <cellStyle name="Comma 2 4 5" xfId="5117" xr:uid="{00000000-0005-0000-0000-000002050000}"/>
    <cellStyle name="Comma 2 4 5 2" xfId="14147" xr:uid="{00000000-0005-0000-0000-000003050000}"/>
    <cellStyle name="Comma 2 4 5 2 2" xfId="18338" xr:uid="{00000000-0005-0000-0000-000004050000}"/>
    <cellStyle name="Comma 2 4 5 2 2 2" xfId="38390" xr:uid="{00000000-0005-0000-0000-000005050000}"/>
    <cellStyle name="Comma 2 4 5 2 3" xfId="18734" xr:uid="{00000000-0005-0000-0000-000006050000}"/>
    <cellStyle name="Comma 2 4 5 2 3 2" xfId="38786" xr:uid="{00000000-0005-0000-0000-000007050000}"/>
    <cellStyle name="Comma 2 4 5 2 4" xfId="19130" xr:uid="{00000000-0005-0000-0000-000008050000}"/>
    <cellStyle name="Comma 2 4 5 2 4 2" xfId="39182" xr:uid="{00000000-0005-0000-0000-000009050000}"/>
    <cellStyle name="Comma 2 4 5 2 5" xfId="19526" xr:uid="{00000000-0005-0000-0000-00000A050000}"/>
    <cellStyle name="Comma 2 4 5 2 5 2" xfId="39578" xr:uid="{00000000-0005-0000-0000-00000B050000}"/>
    <cellStyle name="Comma 2 4 5 2 6" xfId="19922" xr:uid="{00000000-0005-0000-0000-00000C050000}"/>
    <cellStyle name="Comma 2 4 5 2 6 2" xfId="39974" xr:uid="{00000000-0005-0000-0000-00000D050000}"/>
    <cellStyle name="Comma 2 4 5 2 7" xfId="34199" xr:uid="{00000000-0005-0000-0000-00000E050000}"/>
    <cellStyle name="Comma 2 4 5 3" xfId="18140" xr:uid="{00000000-0005-0000-0000-00000F050000}"/>
    <cellStyle name="Comma 2 4 5 3 2" xfId="38192" xr:uid="{00000000-0005-0000-0000-000010050000}"/>
    <cellStyle name="Comma 2 4 5 4" xfId="18536" xr:uid="{00000000-0005-0000-0000-000011050000}"/>
    <cellStyle name="Comma 2 4 5 4 2" xfId="38588" xr:uid="{00000000-0005-0000-0000-000012050000}"/>
    <cellStyle name="Comma 2 4 5 5" xfId="18932" xr:uid="{00000000-0005-0000-0000-000013050000}"/>
    <cellStyle name="Comma 2 4 5 5 2" xfId="38984" xr:uid="{00000000-0005-0000-0000-000014050000}"/>
    <cellStyle name="Comma 2 4 5 6" xfId="19328" xr:uid="{00000000-0005-0000-0000-000015050000}"/>
    <cellStyle name="Comma 2 4 5 6 2" xfId="39380" xr:uid="{00000000-0005-0000-0000-000016050000}"/>
    <cellStyle name="Comma 2 4 5 7" xfId="19724" xr:uid="{00000000-0005-0000-0000-000017050000}"/>
    <cellStyle name="Comma 2 4 5 7 2" xfId="39776" xr:uid="{00000000-0005-0000-0000-000018050000}"/>
    <cellStyle name="Comma 2 4 5 8" xfId="25169" xr:uid="{00000000-0005-0000-0000-000019050000}"/>
    <cellStyle name="Comma 2 4 6" xfId="8978" xr:uid="{00000000-0005-0000-0000-00001A050000}"/>
    <cellStyle name="Comma 2 4 6 2" xfId="18008" xr:uid="{00000000-0005-0000-0000-00001B050000}"/>
    <cellStyle name="Comma 2 4 6 2 2" xfId="18404" xr:uid="{00000000-0005-0000-0000-00001C050000}"/>
    <cellStyle name="Comma 2 4 6 2 2 2" xfId="38456" xr:uid="{00000000-0005-0000-0000-00001D050000}"/>
    <cellStyle name="Comma 2 4 6 2 3" xfId="18800" xr:uid="{00000000-0005-0000-0000-00001E050000}"/>
    <cellStyle name="Comma 2 4 6 2 3 2" xfId="38852" xr:uid="{00000000-0005-0000-0000-00001F050000}"/>
    <cellStyle name="Comma 2 4 6 2 4" xfId="19196" xr:uid="{00000000-0005-0000-0000-000020050000}"/>
    <cellStyle name="Comma 2 4 6 2 4 2" xfId="39248" xr:uid="{00000000-0005-0000-0000-000021050000}"/>
    <cellStyle name="Comma 2 4 6 2 5" xfId="19592" xr:uid="{00000000-0005-0000-0000-000022050000}"/>
    <cellStyle name="Comma 2 4 6 2 5 2" xfId="39644" xr:uid="{00000000-0005-0000-0000-000023050000}"/>
    <cellStyle name="Comma 2 4 6 2 6" xfId="19988" xr:uid="{00000000-0005-0000-0000-000024050000}"/>
    <cellStyle name="Comma 2 4 6 2 6 2" xfId="40040" xr:uid="{00000000-0005-0000-0000-000025050000}"/>
    <cellStyle name="Comma 2 4 6 2 7" xfId="38060" xr:uid="{00000000-0005-0000-0000-000026050000}"/>
    <cellStyle name="Comma 2 4 6 3" xfId="18206" xr:uid="{00000000-0005-0000-0000-000027050000}"/>
    <cellStyle name="Comma 2 4 6 3 2" xfId="38258" xr:uid="{00000000-0005-0000-0000-000028050000}"/>
    <cellStyle name="Comma 2 4 6 4" xfId="18602" xr:uid="{00000000-0005-0000-0000-000029050000}"/>
    <cellStyle name="Comma 2 4 6 4 2" xfId="38654" xr:uid="{00000000-0005-0000-0000-00002A050000}"/>
    <cellStyle name="Comma 2 4 6 5" xfId="18998" xr:uid="{00000000-0005-0000-0000-00002B050000}"/>
    <cellStyle name="Comma 2 4 6 5 2" xfId="39050" xr:uid="{00000000-0005-0000-0000-00002C050000}"/>
    <cellStyle name="Comma 2 4 6 6" xfId="19394" xr:uid="{00000000-0005-0000-0000-00002D050000}"/>
    <cellStyle name="Comma 2 4 6 6 2" xfId="39446" xr:uid="{00000000-0005-0000-0000-00002E050000}"/>
    <cellStyle name="Comma 2 4 6 7" xfId="19790" xr:uid="{00000000-0005-0000-0000-00002F050000}"/>
    <cellStyle name="Comma 2 4 6 7 2" xfId="39842" xr:uid="{00000000-0005-0000-0000-000030050000}"/>
    <cellStyle name="Comma 2 4 6 8" xfId="29030" xr:uid="{00000000-0005-0000-0000-000031050000}"/>
    <cellStyle name="Comma 2 4 7" xfId="9665" xr:uid="{00000000-0005-0000-0000-000032050000}"/>
    <cellStyle name="Comma 2 4 7 2" xfId="18272" xr:uid="{00000000-0005-0000-0000-000033050000}"/>
    <cellStyle name="Comma 2 4 7 2 2" xfId="38324" xr:uid="{00000000-0005-0000-0000-000034050000}"/>
    <cellStyle name="Comma 2 4 7 3" xfId="18668" xr:uid="{00000000-0005-0000-0000-000035050000}"/>
    <cellStyle name="Comma 2 4 7 3 2" xfId="38720" xr:uid="{00000000-0005-0000-0000-000036050000}"/>
    <cellStyle name="Comma 2 4 7 4" xfId="19064" xr:uid="{00000000-0005-0000-0000-000037050000}"/>
    <cellStyle name="Comma 2 4 7 4 2" xfId="39116" xr:uid="{00000000-0005-0000-0000-000038050000}"/>
    <cellStyle name="Comma 2 4 7 5" xfId="19460" xr:uid="{00000000-0005-0000-0000-000039050000}"/>
    <cellStyle name="Comma 2 4 7 5 2" xfId="39512" xr:uid="{00000000-0005-0000-0000-00003A050000}"/>
    <cellStyle name="Comma 2 4 7 6" xfId="19856" xr:uid="{00000000-0005-0000-0000-00003B050000}"/>
    <cellStyle name="Comma 2 4 7 6 2" xfId="39908" xr:uid="{00000000-0005-0000-0000-00003C050000}"/>
    <cellStyle name="Comma 2 4 7 7" xfId="29717" xr:uid="{00000000-0005-0000-0000-00003D050000}"/>
    <cellStyle name="Comma 2 4 8" xfId="18074" xr:uid="{00000000-0005-0000-0000-00003E050000}"/>
    <cellStyle name="Comma 2 4 8 2" xfId="38126" xr:uid="{00000000-0005-0000-0000-00003F050000}"/>
    <cellStyle name="Comma 2 4 9" xfId="18470" xr:uid="{00000000-0005-0000-0000-000040050000}"/>
    <cellStyle name="Comma 2 4 9 2" xfId="38522" xr:uid="{00000000-0005-0000-0000-000041050000}"/>
    <cellStyle name="Comma 2 5" xfId="822" xr:uid="{00000000-0005-0000-0000-000042050000}"/>
    <cellStyle name="Comma 2 5 10" xfId="18869" xr:uid="{00000000-0005-0000-0000-000043050000}"/>
    <cellStyle name="Comma 2 5 10 2" xfId="38921" xr:uid="{00000000-0005-0000-0000-000044050000}"/>
    <cellStyle name="Comma 2 5 11" xfId="19265" xr:uid="{00000000-0005-0000-0000-000045050000}"/>
    <cellStyle name="Comma 2 5 11 2" xfId="39317" xr:uid="{00000000-0005-0000-0000-000046050000}"/>
    <cellStyle name="Comma 2 5 12" xfId="19661" xr:uid="{00000000-0005-0000-0000-000047050000}"/>
    <cellStyle name="Comma 2 5 12 2" xfId="39713" xr:uid="{00000000-0005-0000-0000-000048050000}"/>
    <cellStyle name="Comma 2 5 13" xfId="20874" xr:uid="{00000000-0005-0000-0000-000049050000}"/>
    <cellStyle name="Comma 2 5 2" xfId="1500" xr:uid="{00000000-0005-0000-0000-00004A050000}"/>
    <cellStyle name="Comma 2 5 2 10" xfId="19276" xr:uid="{00000000-0005-0000-0000-00004B050000}"/>
    <cellStyle name="Comma 2 5 2 10 2" xfId="39328" xr:uid="{00000000-0005-0000-0000-00004C050000}"/>
    <cellStyle name="Comma 2 5 2 11" xfId="19672" xr:uid="{00000000-0005-0000-0000-00004D050000}"/>
    <cellStyle name="Comma 2 5 2 11 2" xfId="39724" xr:uid="{00000000-0005-0000-0000-00004E050000}"/>
    <cellStyle name="Comma 2 5 2 12" xfId="21552" xr:uid="{00000000-0005-0000-0000-00004F050000}"/>
    <cellStyle name="Comma 2 5 2 2" xfId="2994" xr:uid="{00000000-0005-0000-0000-000050050000}"/>
    <cellStyle name="Comma 2 5 2 2 10" xfId="23046" xr:uid="{00000000-0005-0000-0000-000051050000}"/>
    <cellStyle name="Comma 2 5 2 2 2" xfId="7476" xr:uid="{00000000-0005-0000-0000-000052050000}"/>
    <cellStyle name="Comma 2 5 2 2 2 2" xfId="16506" xr:uid="{00000000-0005-0000-0000-000053050000}"/>
    <cellStyle name="Comma 2 5 2 2 2 2 2" xfId="18374" xr:uid="{00000000-0005-0000-0000-000054050000}"/>
    <cellStyle name="Comma 2 5 2 2 2 2 2 2" xfId="38426" xr:uid="{00000000-0005-0000-0000-000055050000}"/>
    <cellStyle name="Comma 2 5 2 2 2 2 3" xfId="18770" xr:uid="{00000000-0005-0000-0000-000056050000}"/>
    <cellStyle name="Comma 2 5 2 2 2 2 3 2" xfId="38822" xr:uid="{00000000-0005-0000-0000-000057050000}"/>
    <cellStyle name="Comma 2 5 2 2 2 2 4" xfId="19166" xr:uid="{00000000-0005-0000-0000-000058050000}"/>
    <cellStyle name="Comma 2 5 2 2 2 2 4 2" xfId="39218" xr:uid="{00000000-0005-0000-0000-000059050000}"/>
    <cellStyle name="Comma 2 5 2 2 2 2 5" xfId="19562" xr:uid="{00000000-0005-0000-0000-00005A050000}"/>
    <cellStyle name="Comma 2 5 2 2 2 2 5 2" xfId="39614" xr:uid="{00000000-0005-0000-0000-00005B050000}"/>
    <cellStyle name="Comma 2 5 2 2 2 2 6" xfId="19958" xr:uid="{00000000-0005-0000-0000-00005C050000}"/>
    <cellStyle name="Comma 2 5 2 2 2 2 6 2" xfId="40010" xr:uid="{00000000-0005-0000-0000-00005D050000}"/>
    <cellStyle name="Comma 2 5 2 2 2 2 7" xfId="36558" xr:uid="{00000000-0005-0000-0000-00005E050000}"/>
    <cellStyle name="Comma 2 5 2 2 2 3" xfId="18176" xr:uid="{00000000-0005-0000-0000-00005F050000}"/>
    <cellStyle name="Comma 2 5 2 2 2 3 2" xfId="38228" xr:uid="{00000000-0005-0000-0000-000060050000}"/>
    <cellStyle name="Comma 2 5 2 2 2 4" xfId="18572" xr:uid="{00000000-0005-0000-0000-000061050000}"/>
    <cellStyle name="Comma 2 5 2 2 2 4 2" xfId="38624" xr:uid="{00000000-0005-0000-0000-000062050000}"/>
    <cellStyle name="Comma 2 5 2 2 2 5" xfId="18968" xr:uid="{00000000-0005-0000-0000-000063050000}"/>
    <cellStyle name="Comma 2 5 2 2 2 5 2" xfId="39020" xr:uid="{00000000-0005-0000-0000-000064050000}"/>
    <cellStyle name="Comma 2 5 2 2 2 6" xfId="19364" xr:uid="{00000000-0005-0000-0000-000065050000}"/>
    <cellStyle name="Comma 2 5 2 2 2 6 2" xfId="39416" xr:uid="{00000000-0005-0000-0000-000066050000}"/>
    <cellStyle name="Comma 2 5 2 2 2 7" xfId="19760" xr:uid="{00000000-0005-0000-0000-000067050000}"/>
    <cellStyle name="Comma 2 5 2 2 2 7 2" xfId="39812" xr:uid="{00000000-0005-0000-0000-000068050000}"/>
    <cellStyle name="Comma 2 5 2 2 2 8" xfId="27528" xr:uid="{00000000-0005-0000-0000-000069050000}"/>
    <cellStyle name="Comma 2 5 2 2 3" xfId="9014" xr:uid="{00000000-0005-0000-0000-00006A050000}"/>
    <cellStyle name="Comma 2 5 2 2 3 2" xfId="18044" xr:uid="{00000000-0005-0000-0000-00006B050000}"/>
    <cellStyle name="Comma 2 5 2 2 3 2 2" xfId="18440" xr:uid="{00000000-0005-0000-0000-00006C050000}"/>
    <cellStyle name="Comma 2 5 2 2 3 2 2 2" xfId="38492" xr:uid="{00000000-0005-0000-0000-00006D050000}"/>
    <cellStyle name="Comma 2 5 2 2 3 2 3" xfId="18836" xr:uid="{00000000-0005-0000-0000-00006E050000}"/>
    <cellStyle name="Comma 2 5 2 2 3 2 3 2" xfId="38888" xr:uid="{00000000-0005-0000-0000-00006F050000}"/>
    <cellStyle name="Comma 2 5 2 2 3 2 4" xfId="19232" xr:uid="{00000000-0005-0000-0000-000070050000}"/>
    <cellStyle name="Comma 2 5 2 2 3 2 4 2" xfId="39284" xr:uid="{00000000-0005-0000-0000-000071050000}"/>
    <cellStyle name="Comma 2 5 2 2 3 2 5" xfId="19628" xr:uid="{00000000-0005-0000-0000-000072050000}"/>
    <cellStyle name="Comma 2 5 2 2 3 2 5 2" xfId="39680" xr:uid="{00000000-0005-0000-0000-000073050000}"/>
    <cellStyle name="Comma 2 5 2 2 3 2 6" xfId="20024" xr:uid="{00000000-0005-0000-0000-000074050000}"/>
    <cellStyle name="Comma 2 5 2 2 3 2 6 2" xfId="40076" xr:uid="{00000000-0005-0000-0000-000075050000}"/>
    <cellStyle name="Comma 2 5 2 2 3 2 7" xfId="38096" xr:uid="{00000000-0005-0000-0000-000076050000}"/>
    <cellStyle name="Comma 2 5 2 2 3 3" xfId="18242" xr:uid="{00000000-0005-0000-0000-000077050000}"/>
    <cellStyle name="Comma 2 5 2 2 3 3 2" xfId="38294" xr:uid="{00000000-0005-0000-0000-000078050000}"/>
    <cellStyle name="Comma 2 5 2 2 3 4" xfId="18638" xr:uid="{00000000-0005-0000-0000-000079050000}"/>
    <cellStyle name="Comma 2 5 2 2 3 4 2" xfId="38690" xr:uid="{00000000-0005-0000-0000-00007A050000}"/>
    <cellStyle name="Comma 2 5 2 2 3 5" xfId="19034" xr:uid="{00000000-0005-0000-0000-00007B050000}"/>
    <cellStyle name="Comma 2 5 2 2 3 5 2" xfId="39086" xr:uid="{00000000-0005-0000-0000-00007C050000}"/>
    <cellStyle name="Comma 2 5 2 2 3 6" xfId="19430" xr:uid="{00000000-0005-0000-0000-00007D050000}"/>
    <cellStyle name="Comma 2 5 2 2 3 6 2" xfId="39482" xr:uid="{00000000-0005-0000-0000-00007E050000}"/>
    <cellStyle name="Comma 2 5 2 2 3 7" xfId="19826" xr:uid="{00000000-0005-0000-0000-00007F050000}"/>
    <cellStyle name="Comma 2 5 2 2 3 7 2" xfId="39878" xr:uid="{00000000-0005-0000-0000-000080050000}"/>
    <cellStyle name="Comma 2 5 2 2 3 8" xfId="29066" xr:uid="{00000000-0005-0000-0000-000081050000}"/>
    <cellStyle name="Comma 2 5 2 2 4" xfId="12024" xr:uid="{00000000-0005-0000-0000-000082050000}"/>
    <cellStyle name="Comma 2 5 2 2 4 2" xfId="18308" xr:uid="{00000000-0005-0000-0000-000083050000}"/>
    <cellStyle name="Comma 2 5 2 2 4 2 2" xfId="38360" xr:uid="{00000000-0005-0000-0000-000084050000}"/>
    <cellStyle name="Comma 2 5 2 2 4 3" xfId="18704" xr:uid="{00000000-0005-0000-0000-000085050000}"/>
    <cellStyle name="Comma 2 5 2 2 4 3 2" xfId="38756" xr:uid="{00000000-0005-0000-0000-000086050000}"/>
    <cellStyle name="Comma 2 5 2 2 4 4" xfId="19100" xr:uid="{00000000-0005-0000-0000-000087050000}"/>
    <cellStyle name="Comma 2 5 2 2 4 4 2" xfId="39152" xr:uid="{00000000-0005-0000-0000-000088050000}"/>
    <cellStyle name="Comma 2 5 2 2 4 5" xfId="19496" xr:uid="{00000000-0005-0000-0000-000089050000}"/>
    <cellStyle name="Comma 2 5 2 2 4 5 2" xfId="39548" xr:uid="{00000000-0005-0000-0000-00008A050000}"/>
    <cellStyle name="Comma 2 5 2 2 4 6" xfId="19892" xr:uid="{00000000-0005-0000-0000-00008B050000}"/>
    <cellStyle name="Comma 2 5 2 2 4 6 2" xfId="39944" xr:uid="{00000000-0005-0000-0000-00008C050000}"/>
    <cellStyle name="Comma 2 5 2 2 4 7" xfId="32076" xr:uid="{00000000-0005-0000-0000-00008D050000}"/>
    <cellStyle name="Comma 2 5 2 2 5" xfId="18110" xr:uid="{00000000-0005-0000-0000-00008E050000}"/>
    <cellStyle name="Comma 2 5 2 2 5 2" xfId="38162" xr:uid="{00000000-0005-0000-0000-00008F050000}"/>
    <cellStyle name="Comma 2 5 2 2 6" xfId="18506" xr:uid="{00000000-0005-0000-0000-000090050000}"/>
    <cellStyle name="Comma 2 5 2 2 6 2" xfId="38558" xr:uid="{00000000-0005-0000-0000-000091050000}"/>
    <cellStyle name="Comma 2 5 2 2 7" xfId="18902" xr:uid="{00000000-0005-0000-0000-000092050000}"/>
    <cellStyle name="Comma 2 5 2 2 7 2" xfId="38954" xr:uid="{00000000-0005-0000-0000-000093050000}"/>
    <cellStyle name="Comma 2 5 2 2 8" xfId="19298" xr:uid="{00000000-0005-0000-0000-000094050000}"/>
    <cellStyle name="Comma 2 5 2 2 8 2" xfId="39350" xr:uid="{00000000-0005-0000-0000-000095050000}"/>
    <cellStyle name="Comma 2 5 2 2 9" xfId="19694" xr:uid="{00000000-0005-0000-0000-000096050000}"/>
    <cellStyle name="Comma 2 5 2 2 9 2" xfId="39746" xr:uid="{00000000-0005-0000-0000-000097050000}"/>
    <cellStyle name="Comma 2 5 2 3" xfId="4488" xr:uid="{00000000-0005-0000-0000-000098050000}"/>
    <cellStyle name="Comma 2 5 2 3 10" xfId="24540" xr:uid="{00000000-0005-0000-0000-000099050000}"/>
    <cellStyle name="Comma 2 5 2 3 2" xfId="8970" xr:uid="{00000000-0005-0000-0000-00009A050000}"/>
    <cellStyle name="Comma 2 5 2 3 2 2" xfId="18000" xr:uid="{00000000-0005-0000-0000-00009B050000}"/>
    <cellStyle name="Comma 2 5 2 3 2 2 2" xfId="18396" xr:uid="{00000000-0005-0000-0000-00009C050000}"/>
    <cellStyle name="Comma 2 5 2 3 2 2 2 2" xfId="38448" xr:uid="{00000000-0005-0000-0000-00009D050000}"/>
    <cellStyle name="Comma 2 5 2 3 2 2 3" xfId="18792" xr:uid="{00000000-0005-0000-0000-00009E050000}"/>
    <cellStyle name="Comma 2 5 2 3 2 2 3 2" xfId="38844" xr:uid="{00000000-0005-0000-0000-00009F050000}"/>
    <cellStyle name="Comma 2 5 2 3 2 2 4" xfId="19188" xr:uid="{00000000-0005-0000-0000-0000A0050000}"/>
    <cellStyle name="Comma 2 5 2 3 2 2 4 2" xfId="39240" xr:uid="{00000000-0005-0000-0000-0000A1050000}"/>
    <cellStyle name="Comma 2 5 2 3 2 2 5" xfId="19584" xr:uid="{00000000-0005-0000-0000-0000A2050000}"/>
    <cellStyle name="Comma 2 5 2 3 2 2 5 2" xfId="39636" xr:uid="{00000000-0005-0000-0000-0000A3050000}"/>
    <cellStyle name="Comma 2 5 2 3 2 2 6" xfId="19980" xr:uid="{00000000-0005-0000-0000-0000A4050000}"/>
    <cellStyle name="Comma 2 5 2 3 2 2 6 2" xfId="40032" xr:uid="{00000000-0005-0000-0000-0000A5050000}"/>
    <cellStyle name="Comma 2 5 2 3 2 2 7" xfId="38052" xr:uid="{00000000-0005-0000-0000-0000A6050000}"/>
    <cellStyle name="Comma 2 5 2 3 2 3" xfId="18198" xr:uid="{00000000-0005-0000-0000-0000A7050000}"/>
    <cellStyle name="Comma 2 5 2 3 2 3 2" xfId="38250" xr:uid="{00000000-0005-0000-0000-0000A8050000}"/>
    <cellStyle name="Comma 2 5 2 3 2 4" xfId="18594" xr:uid="{00000000-0005-0000-0000-0000A9050000}"/>
    <cellStyle name="Comma 2 5 2 3 2 4 2" xfId="38646" xr:uid="{00000000-0005-0000-0000-0000AA050000}"/>
    <cellStyle name="Comma 2 5 2 3 2 5" xfId="18990" xr:uid="{00000000-0005-0000-0000-0000AB050000}"/>
    <cellStyle name="Comma 2 5 2 3 2 5 2" xfId="39042" xr:uid="{00000000-0005-0000-0000-0000AC050000}"/>
    <cellStyle name="Comma 2 5 2 3 2 6" xfId="19386" xr:uid="{00000000-0005-0000-0000-0000AD050000}"/>
    <cellStyle name="Comma 2 5 2 3 2 6 2" xfId="39438" xr:uid="{00000000-0005-0000-0000-0000AE050000}"/>
    <cellStyle name="Comma 2 5 2 3 2 7" xfId="19782" xr:uid="{00000000-0005-0000-0000-0000AF050000}"/>
    <cellStyle name="Comma 2 5 2 3 2 7 2" xfId="39834" xr:uid="{00000000-0005-0000-0000-0000B0050000}"/>
    <cellStyle name="Comma 2 5 2 3 2 8" xfId="29022" xr:uid="{00000000-0005-0000-0000-0000B1050000}"/>
    <cellStyle name="Comma 2 5 2 3 3" xfId="9036" xr:uid="{00000000-0005-0000-0000-0000B2050000}"/>
    <cellStyle name="Comma 2 5 2 3 3 2" xfId="18066" xr:uid="{00000000-0005-0000-0000-0000B3050000}"/>
    <cellStyle name="Comma 2 5 2 3 3 2 2" xfId="18462" xr:uid="{00000000-0005-0000-0000-0000B4050000}"/>
    <cellStyle name="Comma 2 5 2 3 3 2 2 2" xfId="38514" xr:uid="{00000000-0005-0000-0000-0000B5050000}"/>
    <cellStyle name="Comma 2 5 2 3 3 2 3" xfId="18858" xr:uid="{00000000-0005-0000-0000-0000B6050000}"/>
    <cellStyle name="Comma 2 5 2 3 3 2 3 2" xfId="38910" xr:uid="{00000000-0005-0000-0000-0000B7050000}"/>
    <cellStyle name="Comma 2 5 2 3 3 2 4" xfId="19254" xr:uid="{00000000-0005-0000-0000-0000B8050000}"/>
    <cellStyle name="Comma 2 5 2 3 3 2 4 2" xfId="39306" xr:uid="{00000000-0005-0000-0000-0000B9050000}"/>
    <cellStyle name="Comma 2 5 2 3 3 2 5" xfId="19650" xr:uid="{00000000-0005-0000-0000-0000BA050000}"/>
    <cellStyle name="Comma 2 5 2 3 3 2 5 2" xfId="39702" xr:uid="{00000000-0005-0000-0000-0000BB050000}"/>
    <cellStyle name="Comma 2 5 2 3 3 2 6" xfId="20046" xr:uid="{00000000-0005-0000-0000-0000BC050000}"/>
    <cellStyle name="Comma 2 5 2 3 3 2 6 2" xfId="40098" xr:uid="{00000000-0005-0000-0000-0000BD050000}"/>
    <cellStyle name="Comma 2 5 2 3 3 2 7" xfId="38118" xr:uid="{00000000-0005-0000-0000-0000BE050000}"/>
    <cellStyle name="Comma 2 5 2 3 3 3" xfId="18264" xr:uid="{00000000-0005-0000-0000-0000BF050000}"/>
    <cellStyle name="Comma 2 5 2 3 3 3 2" xfId="38316" xr:uid="{00000000-0005-0000-0000-0000C0050000}"/>
    <cellStyle name="Comma 2 5 2 3 3 4" xfId="18660" xr:uid="{00000000-0005-0000-0000-0000C1050000}"/>
    <cellStyle name="Comma 2 5 2 3 3 4 2" xfId="38712" xr:uid="{00000000-0005-0000-0000-0000C2050000}"/>
    <cellStyle name="Comma 2 5 2 3 3 5" xfId="19056" xr:uid="{00000000-0005-0000-0000-0000C3050000}"/>
    <cellStyle name="Comma 2 5 2 3 3 5 2" xfId="39108" xr:uid="{00000000-0005-0000-0000-0000C4050000}"/>
    <cellStyle name="Comma 2 5 2 3 3 6" xfId="19452" xr:uid="{00000000-0005-0000-0000-0000C5050000}"/>
    <cellStyle name="Comma 2 5 2 3 3 6 2" xfId="39504" xr:uid="{00000000-0005-0000-0000-0000C6050000}"/>
    <cellStyle name="Comma 2 5 2 3 3 7" xfId="19848" xr:uid="{00000000-0005-0000-0000-0000C7050000}"/>
    <cellStyle name="Comma 2 5 2 3 3 7 2" xfId="39900" xr:uid="{00000000-0005-0000-0000-0000C8050000}"/>
    <cellStyle name="Comma 2 5 2 3 3 8" xfId="29088" xr:uid="{00000000-0005-0000-0000-0000C9050000}"/>
    <cellStyle name="Comma 2 5 2 3 4" xfId="13518" xr:uid="{00000000-0005-0000-0000-0000CA050000}"/>
    <cellStyle name="Comma 2 5 2 3 4 2" xfId="18330" xr:uid="{00000000-0005-0000-0000-0000CB050000}"/>
    <cellStyle name="Comma 2 5 2 3 4 2 2" xfId="38382" xr:uid="{00000000-0005-0000-0000-0000CC050000}"/>
    <cellStyle name="Comma 2 5 2 3 4 3" xfId="18726" xr:uid="{00000000-0005-0000-0000-0000CD050000}"/>
    <cellStyle name="Comma 2 5 2 3 4 3 2" xfId="38778" xr:uid="{00000000-0005-0000-0000-0000CE050000}"/>
    <cellStyle name="Comma 2 5 2 3 4 4" xfId="19122" xr:uid="{00000000-0005-0000-0000-0000CF050000}"/>
    <cellStyle name="Comma 2 5 2 3 4 4 2" xfId="39174" xr:uid="{00000000-0005-0000-0000-0000D0050000}"/>
    <cellStyle name="Comma 2 5 2 3 4 5" xfId="19518" xr:uid="{00000000-0005-0000-0000-0000D1050000}"/>
    <cellStyle name="Comma 2 5 2 3 4 5 2" xfId="39570" xr:uid="{00000000-0005-0000-0000-0000D2050000}"/>
    <cellStyle name="Comma 2 5 2 3 4 6" xfId="19914" xr:uid="{00000000-0005-0000-0000-0000D3050000}"/>
    <cellStyle name="Comma 2 5 2 3 4 6 2" xfId="39966" xr:uid="{00000000-0005-0000-0000-0000D4050000}"/>
    <cellStyle name="Comma 2 5 2 3 4 7" xfId="33570" xr:uid="{00000000-0005-0000-0000-0000D5050000}"/>
    <cellStyle name="Comma 2 5 2 3 5" xfId="18132" xr:uid="{00000000-0005-0000-0000-0000D6050000}"/>
    <cellStyle name="Comma 2 5 2 3 5 2" xfId="38184" xr:uid="{00000000-0005-0000-0000-0000D7050000}"/>
    <cellStyle name="Comma 2 5 2 3 6" xfId="18528" xr:uid="{00000000-0005-0000-0000-0000D8050000}"/>
    <cellStyle name="Comma 2 5 2 3 6 2" xfId="38580" xr:uid="{00000000-0005-0000-0000-0000D9050000}"/>
    <cellStyle name="Comma 2 5 2 3 7" xfId="18924" xr:uid="{00000000-0005-0000-0000-0000DA050000}"/>
    <cellStyle name="Comma 2 5 2 3 7 2" xfId="38976" xr:uid="{00000000-0005-0000-0000-0000DB050000}"/>
    <cellStyle name="Comma 2 5 2 3 8" xfId="19320" xr:uid="{00000000-0005-0000-0000-0000DC050000}"/>
    <cellStyle name="Comma 2 5 2 3 8 2" xfId="39372" xr:uid="{00000000-0005-0000-0000-0000DD050000}"/>
    <cellStyle name="Comma 2 5 2 3 9" xfId="19716" xr:uid="{00000000-0005-0000-0000-0000DE050000}"/>
    <cellStyle name="Comma 2 5 2 3 9 2" xfId="39768" xr:uid="{00000000-0005-0000-0000-0000DF050000}"/>
    <cellStyle name="Comma 2 5 2 4" xfId="5982" xr:uid="{00000000-0005-0000-0000-0000E0050000}"/>
    <cellStyle name="Comma 2 5 2 4 2" xfId="15012" xr:uid="{00000000-0005-0000-0000-0000E1050000}"/>
    <cellStyle name="Comma 2 5 2 4 2 2" xfId="18352" xr:uid="{00000000-0005-0000-0000-0000E2050000}"/>
    <cellStyle name="Comma 2 5 2 4 2 2 2" xfId="38404" xr:uid="{00000000-0005-0000-0000-0000E3050000}"/>
    <cellStyle name="Comma 2 5 2 4 2 3" xfId="18748" xr:uid="{00000000-0005-0000-0000-0000E4050000}"/>
    <cellStyle name="Comma 2 5 2 4 2 3 2" xfId="38800" xr:uid="{00000000-0005-0000-0000-0000E5050000}"/>
    <cellStyle name="Comma 2 5 2 4 2 4" xfId="19144" xr:uid="{00000000-0005-0000-0000-0000E6050000}"/>
    <cellStyle name="Comma 2 5 2 4 2 4 2" xfId="39196" xr:uid="{00000000-0005-0000-0000-0000E7050000}"/>
    <cellStyle name="Comma 2 5 2 4 2 5" xfId="19540" xr:uid="{00000000-0005-0000-0000-0000E8050000}"/>
    <cellStyle name="Comma 2 5 2 4 2 5 2" xfId="39592" xr:uid="{00000000-0005-0000-0000-0000E9050000}"/>
    <cellStyle name="Comma 2 5 2 4 2 6" xfId="19936" xr:uid="{00000000-0005-0000-0000-0000EA050000}"/>
    <cellStyle name="Comma 2 5 2 4 2 6 2" xfId="39988" xr:uid="{00000000-0005-0000-0000-0000EB050000}"/>
    <cellStyle name="Comma 2 5 2 4 2 7" xfId="35064" xr:uid="{00000000-0005-0000-0000-0000EC050000}"/>
    <cellStyle name="Comma 2 5 2 4 3" xfId="18154" xr:uid="{00000000-0005-0000-0000-0000ED050000}"/>
    <cellStyle name="Comma 2 5 2 4 3 2" xfId="38206" xr:uid="{00000000-0005-0000-0000-0000EE050000}"/>
    <cellStyle name="Comma 2 5 2 4 4" xfId="18550" xr:uid="{00000000-0005-0000-0000-0000EF050000}"/>
    <cellStyle name="Comma 2 5 2 4 4 2" xfId="38602" xr:uid="{00000000-0005-0000-0000-0000F0050000}"/>
    <cellStyle name="Comma 2 5 2 4 5" xfId="18946" xr:uid="{00000000-0005-0000-0000-0000F1050000}"/>
    <cellStyle name="Comma 2 5 2 4 5 2" xfId="38998" xr:uid="{00000000-0005-0000-0000-0000F2050000}"/>
    <cellStyle name="Comma 2 5 2 4 6" xfId="19342" xr:uid="{00000000-0005-0000-0000-0000F3050000}"/>
    <cellStyle name="Comma 2 5 2 4 6 2" xfId="39394" xr:uid="{00000000-0005-0000-0000-0000F4050000}"/>
    <cellStyle name="Comma 2 5 2 4 7" xfId="19738" xr:uid="{00000000-0005-0000-0000-0000F5050000}"/>
    <cellStyle name="Comma 2 5 2 4 7 2" xfId="39790" xr:uid="{00000000-0005-0000-0000-0000F6050000}"/>
    <cellStyle name="Comma 2 5 2 4 8" xfId="26034" xr:uid="{00000000-0005-0000-0000-0000F7050000}"/>
    <cellStyle name="Comma 2 5 2 5" xfId="8992" xr:uid="{00000000-0005-0000-0000-0000F8050000}"/>
    <cellStyle name="Comma 2 5 2 5 2" xfId="18022" xr:uid="{00000000-0005-0000-0000-0000F9050000}"/>
    <cellStyle name="Comma 2 5 2 5 2 2" xfId="18418" xr:uid="{00000000-0005-0000-0000-0000FA050000}"/>
    <cellStyle name="Comma 2 5 2 5 2 2 2" xfId="38470" xr:uid="{00000000-0005-0000-0000-0000FB050000}"/>
    <cellStyle name="Comma 2 5 2 5 2 3" xfId="18814" xr:uid="{00000000-0005-0000-0000-0000FC050000}"/>
    <cellStyle name="Comma 2 5 2 5 2 3 2" xfId="38866" xr:uid="{00000000-0005-0000-0000-0000FD050000}"/>
    <cellStyle name="Comma 2 5 2 5 2 4" xfId="19210" xr:uid="{00000000-0005-0000-0000-0000FE050000}"/>
    <cellStyle name="Comma 2 5 2 5 2 4 2" xfId="39262" xr:uid="{00000000-0005-0000-0000-0000FF050000}"/>
    <cellStyle name="Comma 2 5 2 5 2 5" xfId="19606" xr:uid="{00000000-0005-0000-0000-000000060000}"/>
    <cellStyle name="Comma 2 5 2 5 2 5 2" xfId="39658" xr:uid="{00000000-0005-0000-0000-000001060000}"/>
    <cellStyle name="Comma 2 5 2 5 2 6" xfId="20002" xr:uid="{00000000-0005-0000-0000-000002060000}"/>
    <cellStyle name="Comma 2 5 2 5 2 6 2" xfId="40054" xr:uid="{00000000-0005-0000-0000-000003060000}"/>
    <cellStyle name="Comma 2 5 2 5 2 7" xfId="38074" xr:uid="{00000000-0005-0000-0000-000004060000}"/>
    <cellStyle name="Comma 2 5 2 5 3" xfId="18220" xr:uid="{00000000-0005-0000-0000-000005060000}"/>
    <cellStyle name="Comma 2 5 2 5 3 2" xfId="38272" xr:uid="{00000000-0005-0000-0000-000006060000}"/>
    <cellStyle name="Comma 2 5 2 5 4" xfId="18616" xr:uid="{00000000-0005-0000-0000-000007060000}"/>
    <cellStyle name="Comma 2 5 2 5 4 2" xfId="38668" xr:uid="{00000000-0005-0000-0000-000008060000}"/>
    <cellStyle name="Comma 2 5 2 5 5" xfId="19012" xr:uid="{00000000-0005-0000-0000-000009060000}"/>
    <cellStyle name="Comma 2 5 2 5 5 2" xfId="39064" xr:uid="{00000000-0005-0000-0000-00000A060000}"/>
    <cellStyle name="Comma 2 5 2 5 6" xfId="19408" xr:uid="{00000000-0005-0000-0000-00000B060000}"/>
    <cellStyle name="Comma 2 5 2 5 6 2" xfId="39460" xr:uid="{00000000-0005-0000-0000-00000C060000}"/>
    <cellStyle name="Comma 2 5 2 5 7" xfId="19804" xr:uid="{00000000-0005-0000-0000-00000D060000}"/>
    <cellStyle name="Comma 2 5 2 5 7 2" xfId="39856" xr:uid="{00000000-0005-0000-0000-00000E060000}"/>
    <cellStyle name="Comma 2 5 2 5 8" xfId="29044" xr:uid="{00000000-0005-0000-0000-00000F060000}"/>
    <cellStyle name="Comma 2 5 2 6" xfId="10530" xr:uid="{00000000-0005-0000-0000-000010060000}"/>
    <cellStyle name="Comma 2 5 2 6 2" xfId="18286" xr:uid="{00000000-0005-0000-0000-000011060000}"/>
    <cellStyle name="Comma 2 5 2 6 2 2" xfId="38338" xr:uid="{00000000-0005-0000-0000-000012060000}"/>
    <cellStyle name="Comma 2 5 2 6 3" xfId="18682" xr:uid="{00000000-0005-0000-0000-000013060000}"/>
    <cellStyle name="Comma 2 5 2 6 3 2" xfId="38734" xr:uid="{00000000-0005-0000-0000-000014060000}"/>
    <cellStyle name="Comma 2 5 2 6 4" xfId="19078" xr:uid="{00000000-0005-0000-0000-000015060000}"/>
    <cellStyle name="Comma 2 5 2 6 4 2" xfId="39130" xr:uid="{00000000-0005-0000-0000-000016060000}"/>
    <cellStyle name="Comma 2 5 2 6 5" xfId="19474" xr:uid="{00000000-0005-0000-0000-000017060000}"/>
    <cellStyle name="Comma 2 5 2 6 5 2" xfId="39526" xr:uid="{00000000-0005-0000-0000-000018060000}"/>
    <cellStyle name="Comma 2 5 2 6 6" xfId="19870" xr:uid="{00000000-0005-0000-0000-000019060000}"/>
    <cellStyle name="Comma 2 5 2 6 6 2" xfId="39922" xr:uid="{00000000-0005-0000-0000-00001A060000}"/>
    <cellStyle name="Comma 2 5 2 6 7" xfId="30582" xr:uid="{00000000-0005-0000-0000-00001B060000}"/>
    <cellStyle name="Comma 2 5 2 7" xfId="18088" xr:uid="{00000000-0005-0000-0000-00001C060000}"/>
    <cellStyle name="Comma 2 5 2 7 2" xfId="38140" xr:uid="{00000000-0005-0000-0000-00001D060000}"/>
    <cellStyle name="Comma 2 5 2 8" xfId="18484" xr:uid="{00000000-0005-0000-0000-00001E060000}"/>
    <cellStyle name="Comma 2 5 2 8 2" xfId="38536" xr:uid="{00000000-0005-0000-0000-00001F060000}"/>
    <cellStyle name="Comma 2 5 2 9" xfId="18880" xr:uid="{00000000-0005-0000-0000-000020060000}"/>
    <cellStyle name="Comma 2 5 2 9 2" xfId="38932" xr:uid="{00000000-0005-0000-0000-000021060000}"/>
    <cellStyle name="Comma 2 5 3" xfId="2316" xr:uid="{00000000-0005-0000-0000-000022060000}"/>
    <cellStyle name="Comma 2 5 3 10" xfId="22368" xr:uid="{00000000-0005-0000-0000-000023060000}"/>
    <cellStyle name="Comma 2 5 3 2" xfId="6798" xr:uid="{00000000-0005-0000-0000-000024060000}"/>
    <cellStyle name="Comma 2 5 3 2 2" xfId="15828" xr:uid="{00000000-0005-0000-0000-000025060000}"/>
    <cellStyle name="Comma 2 5 3 2 2 2" xfId="18363" xr:uid="{00000000-0005-0000-0000-000026060000}"/>
    <cellStyle name="Comma 2 5 3 2 2 2 2" xfId="38415" xr:uid="{00000000-0005-0000-0000-000027060000}"/>
    <cellStyle name="Comma 2 5 3 2 2 3" xfId="18759" xr:uid="{00000000-0005-0000-0000-000028060000}"/>
    <cellStyle name="Comma 2 5 3 2 2 3 2" xfId="38811" xr:uid="{00000000-0005-0000-0000-000029060000}"/>
    <cellStyle name="Comma 2 5 3 2 2 4" xfId="19155" xr:uid="{00000000-0005-0000-0000-00002A060000}"/>
    <cellStyle name="Comma 2 5 3 2 2 4 2" xfId="39207" xr:uid="{00000000-0005-0000-0000-00002B060000}"/>
    <cellStyle name="Comma 2 5 3 2 2 5" xfId="19551" xr:uid="{00000000-0005-0000-0000-00002C060000}"/>
    <cellStyle name="Comma 2 5 3 2 2 5 2" xfId="39603" xr:uid="{00000000-0005-0000-0000-00002D060000}"/>
    <cellStyle name="Comma 2 5 3 2 2 6" xfId="19947" xr:uid="{00000000-0005-0000-0000-00002E060000}"/>
    <cellStyle name="Comma 2 5 3 2 2 6 2" xfId="39999" xr:uid="{00000000-0005-0000-0000-00002F060000}"/>
    <cellStyle name="Comma 2 5 3 2 2 7" xfId="35880" xr:uid="{00000000-0005-0000-0000-000030060000}"/>
    <cellStyle name="Comma 2 5 3 2 3" xfId="18165" xr:uid="{00000000-0005-0000-0000-000031060000}"/>
    <cellStyle name="Comma 2 5 3 2 3 2" xfId="38217" xr:uid="{00000000-0005-0000-0000-000032060000}"/>
    <cellStyle name="Comma 2 5 3 2 4" xfId="18561" xr:uid="{00000000-0005-0000-0000-000033060000}"/>
    <cellStyle name="Comma 2 5 3 2 4 2" xfId="38613" xr:uid="{00000000-0005-0000-0000-000034060000}"/>
    <cellStyle name="Comma 2 5 3 2 5" xfId="18957" xr:uid="{00000000-0005-0000-0000-000035060000}"/>
    <cellStyle name="Comma 2 5 3 2 5 2" xfId="39009" xr:uid="{00000000-0005-0000-0000-000036060000}"/>
    <cellStyle name="Comma 2 5 3 2 6" xfId="19353" xr:uid="{00000000-0005-0000-0000-000037060000}"/>
    <cellStyle name="Comma 2 5 3 2 6 2" xfId="39405" xr:uid="{00000000-0005-0000-0000-000038060000}"/>
    <cellStyle name="Comma 2 5 3 2 7" xfId="19749" xr:uid="{00000000-0005-0000-0000-000039060000}"/>
    <cellStyle name="Comma 2 5 3 2 7 2" xfId="39801" xr:uid="{00000000-0005-0000-0000-00003A060000}"/>
    <cellStyle name="Comma 2 5 3 2 8" xfId="26850" xr:uid="{00000000-0005-0000-0000-00003B060000}"/>
    <cellStyle name="Comma 2 5 3 3" xfId="9003" xr:uid="{00000000-0005-0000-0000-00003C060000}"/>
    <cellStyle name="Comma 2 5 3 3 2" xfId="18033" xr:uid="{00000000-0005-0000-0000-00003D060000}"/>
    <cellStyle name="Comma 2 5 3 3 2 2" xfId="18429" xr:uid="{00000000-0005-0000-0000-00003E060000}"/>
    <cellStyle name="Comma 2 5 3 3 2 2 2" xfId="38481" xr:uid="{00000000-0005-0000-0000-00003F060000}"/>
    <cellStyle name="Comma 2 5 3 3 2 3" xfId="18825" xr:uid="{00000000-0005-0000-0000-000040060000}"/>
    <cellStyle name="Comma 2 5 3 3 2 3 2" xfId="38877" xr:uid="{00000000-0005-0000-0000-000041060000}"/>
    <cellStyle name="Comma 2 5 3 3 2 4" xfId="19221" xr:uid="{00000000-0005-0000-0000-000042060000}"/>
    <cellStyle name="Comma 2 5 3 3 2 4 2" xfId="39273" xr:uid="{00000000-0005-0000-0000-000043060000}"/>
    <cellStyle name="Comma 2 5 3 3 2 5" xfId="19617" xr:uid="{00000000-0005-0000-0000-000044060000}"/>
    <cellStyle name="Comma 2 5 3 3 2 5 2" xfId="39669" xr:uid="{00000000-0005-0000-0000-000045060000}"/>
    <cellStyle name="Comma 2 5 3 3 2 6" xfId="20013" xr:uid="{00000000-0005-0000-0000-000046060000}"/>
    <cellStyle name="Comma 2 5 3 3 2 6 2" xfId="40065" xr:uid="{00000000-0005-0000-0000-000047060000}"/>
    <cellStyle name="Comma 2 5 3 3 2 7" xfId="38085" xr:uid="{00000000-0005-0000-0000-000048060000}"/>
    <cellStyle name="Comma 2 5 3 3 3" xfId="18231" xr:uid="{00000000-0005-0000-0000-000049060000}"/>
    <cellStyle name="Comma 2 5 3 3 3 2" xfId="38283" xr:uid="{00000000-0005-0000-0000-00004A060000}"/>
    <cellStyle name="Comma 2 5 3 3 4" xfId="18627" xr:uid="{00000000-0005-0000-0000-00004B060000}"/>
    <cellStyle name="Comma 2 5 3 3 4 2" xfId="38679" xr:uid="{00000000-0005-0000-0000-00004C060000}"/>
    <cellStyle name="Comma 2 5 3 3 5" xfId="19023" xr:uid="{00000000-0005-0000-0000-00004D060000}"/>
    <cellStyle name="Comma 2 5 3 3 5 2" xfId="39075" xr:uid="{00000000-0005-0000-0000-00004E060000}"/>
    <cellStyle name="Comma 2 5 3 3 6" xfId="19419" xr:uid="{00000000-0005-0000-0000-00004F060000}"/>
    <cellStyle name="Comma 2 5 3 3 6 2" xfId="39471" xr:uid="{00000000-0005-0000-0000-000050060000}"/>
    <cellStyle name="Comma 2 5 3 3 7" xfId="19815" xr:uid="{00000000-0005-0000-0000-000051060000}"/>
    <cellStyle name="Comma 2 5 3 3 7 2" xfId="39867" xr:uid="{00000000-0005-0000-0000-000052060000}"/>
    <cellStyle name="Comma 2 5 3 3 8" xfId="29055" xr:uid="{00000000-0005-0000-0000-000053060000}"/>
    <cellStyle name="Comma 2 5 3 4" xfId="11346" xr:uid="{00000000-0005-0000-0000-000054060000}"/>
    <cellStyle name="Comma 2 5 3 4 2" xfId="18297" xr:uid="{00000000-0005-0000-0000-000055060000}"/>
    <cellStyle name="Comma 2 5 3 4 2 2" xfId="38349" xr:uid="{00000000-0005-0000-0000-000056060000}"/>
    <cellStyle name="Comma 2 5 3 4 3" xfId="18693" xr:uid="{00000000-0005-0000-0000-000057060000}"/>
    <cellStyle name="Comma 2 5 3 4 3 2" xfId="38745" xr:uid="{00000000-0005-0000-0000-000058060000}"/>
    <cellStyle name="Comma 2 5 3 4 4" xfId="19089" xr:uid="{00000000-0005-0000-0000-000059060000}"/>
    <cellStyle name="Comma 2 5 3 4 4 2" xfId="39141" xr:uid="{00000000-0005-0000-0000-00005A060000}"/>
    <cellStyle name="Comma 2 5 3 4 5" xfId="19485" xr:uid="{00000000-0005-0000-0000-00005B060000}"/>
    <cellStyle name="Comma 2 5 3 4 5 2" xfId="39537" xr:uid="{00000000-0005-0000-0000-00005C060000}"/>
    <cellStyle name="Comma 2 5 3 4 6" xfId="19881" xr:uid="{00000000-0005-0000-0000-00005D060000}"/>
    <cellStyle name="Comma 2 5 3 4 6 2" xfId="39933" xr:uid="{00000000-0005-0000-0000-00005E060000}"/>
    <cellStyle name="Comma 2 5 3 4 7" xfId="31398" xr:uid="{00000000-0005-0000-0000-00005F060000}"/>
    <cellStyle name="Comma 2 5 3 5" xfId="18099" xr:uid="{00000000-0005-0000-0000-000060060000}"/>
    <cellStyle name="Comma 2 5 3 5 2" xfId="38151" xr:uid="{00000000-0005-0000-0000-000061060000}"/>
    <cellStyle name="Comma 2 5 3 6" xfId="18495" xr:uid="{00000000-0005-0000-0000-000062060000}"/>
    <cellStyle name="Comma 2 5 3 6 2" xfId="38547" xr:uid="{00000000-0005-0000-0000-000063060000}"/>
    <cellStyle name="Comma 2 5 3 7" xfId="18891" xr:uid="{00000000-0005-0000-0000-000064060000}"/>
    <cellStyle name="Comma 2 5 3 7 2" xfId="38943" xr:uid="{00000000-0005-0000-0000-000065060000}"/>
    <cellStyle name="Comma 2 5 3 8" xfId="19287" xr:uid="{00000000-0005-0000-0000-000066060000}"/>
    <cellStyle name="Comma 2 5 3 8 2" xfId="39339" xr:uid="{00000000-0005-0000-0000-000067060000}"/>
    <cellStyle name="Comma 2 5 3 9" xfId="19683" xr:uid="{00000000-0005-0000-0000-000068060000}"/>
    <cellStyle name="Comma 2 5 3 9 2" xfId="39735" xr:uid="{00000000-0005-0000-0000-000069060000}"/>
    <cellStyle name="Comma 2 5 4" xfId="3810" xr:uid="{00000000-0005-0000-0000-00006A060000}"/>
    <cellStyle name="Comma 2 5 4 10" xfId="23862" xr:uid="{00000000-0005-0000-0000-00006B060000}"/>
    <cellStyle name="Comma 2 5 4 2" xfId="8292" xr:uid="{00000000-0005-0000-0000-00006C060000}"/>
    <cellStyle name="Comma 2 5 4 2 2" xfId="17322" xr:uid="{00000000-0005-0000-0000-00006D060000}"/>
    <cellStyle name="Comma 2 5 4 2 2 2" xfId="18385" xr:uid="{00000000-0005-0000-0000-00006E060000}"/>
    <cellStyle name="Comma 2 5 4 2 2 2 2" xfId="38437" xr:uid="{00000000-0005-0000-0000-00006F060000}"/>
    <cellStyle name="Comma 2 5 4 2 2 3" xfId="18781" xr:uid="{00000000-0005-0000-0000-000070060000}"/>
    <cellStyle name="Comma 2 5 4 2 2 3 2" xfId="38833" xr:uid="{00000000-0005-0000-0000-000071060000}"/>
    <cellStyle name="Comma 2 5 4 2 2 4" xfId="19177" xr:uid="{00000000-0005-0000-0000-000072060000}"/>
    <cellStyle name="Comma 2 5 4 2 2 4 2" xfId="39229" xr:uid="{00000000-0005-0000-0000-000073060000}"/>
    <cellStyle name="Comma 2 5 4 2 2 5" xfId="19573" xr:uid="{00000000-0005-0000-0000-000074060000}"/>
    <cellStyle name="Comma 2 5 4 2 2 5 2" xfId="39625" xr:uid="{00000000-0005-0000-0000-000075060000}"/>
    <cellStyle name="Comma 2 5 4 2 2 6" xfId="19969" xr:uid="{00000000-0005-0000-0000-000076060000}"/>
    <cellStyle name="Comma 2 5 4 2 2 6 2" xfId="40021" xr:uid="{00000000-0005-0000-0000-000077060000}"/>
    <cellStyle name="Comma 2 5 4 2 2 7" xfId="37374" xr:uid="{00000000-0005-0000-0000-000078060000}"/>
    <cellStyle name="Comma 2 5 4 2 3" xfId="18187" xr:uid="{00000000-0005-0000-0000-000079060000}"/>
    <cellStyle name="Comma 2 5 4 2 3 2" xfId="38239" xr:uid="{00000000-0005-0000-0000-00007A060000}"/>
    <cellStyle name="Comma 2 5 4 2 4" xfId="18583" xr:uid="{00000000-0005-0000-0000-00007B060000}"/>
    <cellStyle name="Comma 2 5 4 2 4 2" xfId="38635" xr:uid="{00000000-0005-0000-0000-00007C060000}"/>
    <cellStyle name="Comma 2 5 4 2 5" xfId="18979" xr:uid="{00000000-0005-0000-0000-00007D060000}"/>
    <cellStyle name="Comma 2 5 4 2 5 2" xfId="39031" xr:uid="{00000000-0005-0000-0000-00007E060000}"/>
    <cellStyle name="Comma 2 5 4 2 6" xfId="19375" xr:uid="{00000000-0005-0000-0000-00007F060000}"/>
    <cellStyle name="Comma 2 5 4 2 6 2" xfId="39427" xr:uid="{00000000-0005-0000-0000-000080060000}"/>
    <cellStyle name="Comma 2 5 4 2 7" xfId="19771" xr:uid="{00000000-0005-0000-0000-000081060000}"/>
    <cellStyle name="Comma 2 5 4 2 7 2" xfId="39823" xr:uid="{00000000-0005-0000-0000-000082060000}"/>
    <cellStyle name="Comma 2 5 4 2 8" xfId="28344" xr:uid="{00000000-0005-0000-0000-000083060000}"/>
    <cellStyle name="Comma 2 5 4 3" xfId="9025" xr:uid="{00000000-0005-0000-0000-000084060000}"/>
    <cellStyle name="Comma 2 5 4 3 2" xfId="18055" xr:uid="{00000000-0005-0000-0000-000085060000}"/>
    <cellStyle name="Comma 2 5 4 3 2 2" xfId="18451" xr:uid="{00000000-0005-0000-0000-000086060000}"/>
    <cellStyle name="Comma 2 5 4 3 2 2 2" xfId="38503" xr:uid="{00000000-0005-0000-0000-000087060000}"/>
    <cellStyle name="Comma 2 5 4 3 2 3" xfId="18847" xr:uid="{00000000-0005-0000-0000-000088060000}"/>
    <cellStyle name="Comma 2 5 4 3 2 3 2" xfId="38899" xr:uid="{00000000-0005-0000-0000-000089060000}"/>
    <cellStyle name="Comma 2 5 4 3 2 4" xfId="19243" xr:uid="{00000000-0005-0000-0000-00008A060000}"/>
    <cellStyle name="Comma 2 5 4 3 2 4 2" xfId="39295" xr:uid="{00000000-0005-0000-0000-00008B060000}"/>
    <cellStyle name="Comma 2 5 4 3 2 5" xfId="19639" xr:uid="{00000000-0005-0000-0000-00008C060000}"/>
    <cellStyle name="Comma 2 5 4 3 2 5 2" xfId="39691" xr:uid="{00000000-0005-0000-0000-00008D060000}"/>
    <cellStyle name="Comma 2 5 4 3 2 6" xfId="20035" xr:uid="{00000000-0005-0000-0000-00008E060000}"/>
    <cellStyle name="Comma 2 5 4 3 2 6 2" xfId="40087" xr:uid="{00000000-0005-0000-0000-00008F060000}"/>
    <cellStyle name="Comma 2 5 4 3 2 7" xfId="38107" xr:uid="{00000000-0005-0000-0000-000090060000}"/>
    <cellStyle name="Comma 2 5 4 3 3" xfId="18253" xr:uid="{00000000-0005-0000-0000-000091060000}"/>
    <cellStyle name="Comma 2 5 4 3 3 2" xfId="38305" xr:uid="{00000000-0005-0000-0000-000092060000}"/>
    <cellStyle name="Comma 2 5 4 3 4" xfId="18649" xr:uid="{00000000-0005-0000-0000-000093060000}"/>
    <cellStyle name="Comma 2 5 4 3 4 2" xfId="38701" xr:uid="{00000000-0005-0000-0000-000094060000}"/>
    <cellStyle name="Comma 2 5 4 3 5" xfId="19045" xr:uid="{00000000-0005-0000-0000-000095060000}"/>
    <cellStyle name="Comma 2 5 4 3 5 2" xfId="39097" xr:uid="{00000000-0005-0000-0000-000096060000}"/>
    <cellStyle name="Comma 2 5 4 3 6" xfId="19441" xr:uid="{00000000-0005-0000-0000-000097060000}"/>
    <cellStyle name="Comma 2 5 4 3 6 2" xfId="39493" xr:uid="{00000000-0005-0000-0000-000098060000}"/>
    <cellStyle name="Comma 2 5 4 3 7" xfId="19837" xr:uid="{00000000-0005-0000-0000-000099060000}"/>
    <cellStyle name="Comma 2 5 4 3 7 2" xfId="39889" xr:uid="{00000000-0005-0000-0000-00009A060000}"/>
    <cellStyle name="Comma 2 5 4 3 8" xfId="29077" xr:uid="{00000000-0005-0000-0000-00009B060000}"/>
    <cellStyle name="Comma 2 5 4 4" xfId="12840" xr:uid="{00000000-0005-0000-0000-00009C060000}"/>
    <cellStyle name="Comma 2 5 4 4 2" xfId="18319" xr:uid="{00000000-0005-0000-0000-00009D060000}"/>
    <cellStyle name="Comma 2 5 4 4 2 2" xfId="38371" xr:uid="{00000000-0005-0000-0000-00009E060000}"/>
    <cellStyle name="Comma 2 5 4 4 3" xfId="18715" xr:uid="{00000000-0005-0000-0000-00009F060000}"/>
    <cellStyle name="Comma 2 5 4 4 3 2" xfId="38767" xr:uid="{00000000-0005-0000-0000-0000A0060000}"/>
    <cellStyle name="Comma 2 5 4 4 4" xfId="19111" xr:uid="{00000000-0005-0000-0000-0000A1060000}"/>
    <cellStyle name="Comma 2 5 4 4 4 2" xfId="39163" xr:uid="{00000000-0005-0000-0000-0000A2060000}"/>
    <cellStyle name="Comma 2 5 4 4 5" xfId="19507" xr:uid="{00000000-0005-0000-0000-0000A3060000}"/>
    <cellStyle name="Comma 2 5 4 4 5 2" xfId="39559" xr:uid="{00000000-0005-0000-0000-0000A4060000}"/>
    <cellStyle name="Comma 2 5 4 4 6" xfId="19903" xr:uid="{00000000-0005-0000-0000-0000A5060000}"/>
    <cellStyle name="Comma 2 5 4 4 6 2" xfId="39955" xr:uid="{00000000-0005-0000-0000-0000A6060000}"/>
    <cellStyle name="Comma 2 5 4 4 7" xfId="32892" xr:uid="{00000000-0005-0000-0000-0000A7060000}"/>
    <cellStyle name="Comma 2 5 4 5" xfId="18121" xr:uid="{00000000-0005-0000-0000-0000A8060000}"/>
    <cellStyle name="Comma 2 5 4 5 2" xfId="38173" xr:uid="{00000000-0005-0000-0000-0000A9060000}"/>
    <cellStyle name="Comma 2 5 4 6" xfId="18517" xr:uid="{00000000-0005-0000-0000-0000AA060000}"/>
    <cellStyle name="Comma 2 5 4 6 2" xfId="38569" xr:uid="{00000000-0005-0000-0000-0000AB060000}"/>
    <cellStyle name="Comma 2 5 4 7" xfId="18913" xr:uid="{00000000-0005-0000-0000-0000AC060000}"/>
    <cellStyle name="Comma 2 5 4 7 2" xfId="38965" xr:uid="{00000000-0005-0000-0000-0000AD060000}"/>
    <cellStyle name="Comma 2 5 4 8" xfId="19309" xr:uid="{00000000-0005-0000-0000-0000AE060000}"/>
    <cellStyle name="Comma 2 5 4 8 2" xfId="39361" xr:uid="{00000000-0005-0000-0000-0000AF060000}"/>
    <cellStyle name="Comma 2 5 4 9" xfId="19705" xr:uid="{00000000-0005-0000-0000-0000B0060000}"/>
    <cellStyle name="Comma 2 5 4 9 2" xfId="39757" xr:uid="{00000000-0005-0000-0000-0000B1060000}"/>
    <cellStyle name="Comma 2 5 5" xfId="5304" xr:uid="{00000000-0005-0000-0000-0000B2060000}"/>
    <cellStyle name="Comma 2 5 5 2" xfId="14334" xr:uid="{00000000-0005-0000-0000-0000B3060000}"/>
    <cellStyle name="Comma 2 5 5 2 2" xfId="18341" xr:uid="{00000000-0005-0000-0000-0000B4060000}"/>
    <cellStyle name="Comma 2 5 5 2 2 2" xfId="38393" xr:uid="{00000000-0005-0000-0000-0000B5060000}"/>
    <cellStyle name="Comma 2 5 5 2 3" xfId="18737" xr:uid="{00000000-0005-0000-0000-0000B6060000}"/>
    <cellStyle name="Comma 2 5 5 2 3 2" xfId="38789" xr:uid="{00000000-0005-0000-0000-0000B7060000}"/>
    <cellStyle name="Comma 2 5 5 2 4" xfId="19133" xr:uid="{00000000-0005-0000-0000-0000B8060000}"/>
    <cellStyle name="Comma 2 5 5 2 4 2" xfId="39185" xr:uid="{00000000-0005-0000-0000-0000B9060000}"/>
    <cellStyle name="Comma 2 5 5 2 5" xfId="19529" xr:uid="{00000000-0005-0000-0000-0000BA060000}"/>
    <cellStyle name="Comma 2 5 5 2 5 2" xfId="39581" xr:uid="{00000000-0005-0000-0000-0000BB060000}"/>
    <cellStyle name="Comma 2 5 5 2 6" xfId="19925" xr:uid="{00000000-0005-0000-0000-0000BC060000}"/>
    <cellStyle name="Comma 2 5 5 2 6 2" xfId="39977" xr:uid="{00000000-0005-0000-0000-0000BD060000}"/>
    <cellStyle name="Comma 2 5 5 2 7" xfId="34386" xr:uid="{00000000-0005-0000-0000-0000BE060000}"/>
    <cellStyle name="Comma 2 5 5 3" xfId="18143" xr:uid="{00000000-0005-0000-0000-0000BF060000}"/>
    <cellStyle name="Comma 2 5 5 3 2" xfId="38195" xr:uid="{00000000-0005-0000-0000-0000C0060000}"/>
    <cellStyle name="Comma 2 5 5 4" xfId="18539" xr:uid="{00000000-0005-0000-0000-0000C1060000}"/>
    <cellStyle name="Comma 2 5 5 4 2" xfId="38591" xr:uid="{00000000-0005-0000-0000-0000C2060000}"/>
    <cellStyle name="Comma 2 5 5 5" xfId="18935" xr:uid="{00000000-0005-0000-0000-0000C3060000}"/>
    <cellStyle name="Comma 2 5 5 5 2" xfId="38987" xr:uid="{00000000-0005-0000-0000-0000C4060000}"/>
    <cellStyle name="Comma 2 5 5 6" xfId="19331" xr:uid="{00000000-0005-0000-0000-0000C5060000}"/>
    <cellStyle name="Comma 2 5 5 6 2" xfId="39383" xr:uid="{00000000-0005-0000-0000-0000C6060000}"/>
    <cellStyle name="Comma 2 5 5 7" xfId="19727" xr:uid="{00000000-0005-0000-0000-0000C7060000}"/>
    <cellStyle name="Comma 2 5 5 7 2" xfId="39779" xr:uid="{00000000-0005-0000-0000-0000C8060000}"/>
    <cellStyle name="Comma 2 5 5 8" xfId="25356" xr:uid="{00000000-0005-0000-0000-0000C9060000}"/>
    <cellStyle name="Comma 2 5 6" xfId="8981" xr:uid="{00000000-0005-0000-0000-0000CA060000}"/>
    <cellStyle name="Comma 2 5 6 2" xfId="18011" xr:uid="{00000000-0005-0000-0000-0000CB060000}"/>
    <cellStyle name="Comma 2 5 6 2 2" xfId="18407" xr:uid="{00000000-0005-0000-0000-0000CC060000}"/>
    <cellStyle name="Comma 2 5 6 2 2 2" xfId="38459" xr:uid="{00000000-0005-0000-0000-0000CD060000}"/>
    <cellStyle name="Comma 2 5 6 2 3" xfId="18803" xr:uid="{00000000-0005-0000-0000-0000CE060000}"/>
    <cellStyle name="Comma 2 5 6 2 3 2" xfId="38855" xr:uid="{00000000-0005-0000-0000-0000CF060000}"/>
    <cellStyle name="Comma 2 5 6 2 4" xfId="19199" xr:uid="{00000000-0005-0000-0000-0000D0060000}"/>
    <cellStyle name="Comma 2 5 6 2 4 2" xfId="39251" xr:uid="{00000000-0005-0000-0000-0000D1060000}"/>
    <cellStyle name="Comma 2 5 6 2 5" xfId="19595" xr:uid="{00000000-0005-0000-0000-0000D2060000}"/>
    <cellStyle name="Comma 2 5 6 2 5 2" xfId="39647" xr:uid="{00000000-0005-0000-0000-0000D3060000}"/>
    <cellStyle name="Comma 2 5 6 2 6" xfId="19991" xr:uid="{00000000-0005-0000-0000-0000D4060000}"/>
    <cellStyle name="Comma 2 5 6 2 6 2" xfId="40043" xr:uid="{00000000-0005-0000-0000-0000D5060000}"/>
    <cellStyle name="Comma 2 5 6 2 7" xfId="38063" xr:uid="{00000000-0005-0000-0000-0000D6060000}"/>
    <cellStyle name="Comma 2 5 6 3" xfId="18209" xr:uid="{00000000-0005-0000-0000-0000D7060000}"/>
    <cellStyle name="Comma 2 5 6 3 2" xfId="38261" xr:uid="{00000000-0005-0000-0000-0000D8060000}"/>
    <cellStyle name="Comma 2 5 6 4" xfId="18605" xr:uid="{00000000-0005-0000-0000-0000D9060000}"/>
    <cellStyle name="Comma 2 5 6 4 2" xfId="38657" xr:uid="{00000000-0005-0000-0000-0000DA060000}"/>
    <cellStyle name="Comma 2 5 6 5" xfId="19001" xr:uid="{00000000-0005-0000-0000-0000DB060000}"/>
    <cellStyle name="Comma 2 5 6 5 2" xfId="39053" xr:uid="{00000000-0005-0000-0000-0000DC060000}"/>
    <cellStyle name="Comma 2 5 6 6" xfId="19397" xr:uid="{00000000-0005-0000-0000-0000DD060000}"/>
    <cellStyle name="Comma 2 5 6 6 2" xfId="39449" xr:uid="{00000000-0005-0000-0000-0000DE060000}"/>
    <cellStyle name="Comma 2 5 6 7" xfId="19793" xr:uid="{00000000-0005-0000-0000-0000DF060000}"/>
    <cellStyle name="Comma 2 5 6 7 2" xfId="39845" xr:uid="{00000000-0005-0000-0000-0000E0060000}"/>
    <cellStyle name="Comma 2 5 6 8" xfId="29033" xr:uid="{00000000-0005-0000-0000-0000E1060000}"/>
    <cellStyle name="Comma 2 5 7" xfId="9852" xr:uid="{00000000-0005-0000-0000-0000E2060000}"/>
    <cellStyle name="Comma 2 5 7 2" xfId="18275" xr:uid="{00000000-0005-0000-0000-0000E3060000}"/>
    <cellStyle name="Comma 2 5 7 2 2" xfId="38327" xr:uid="{00000000-0005-0000-0000-0000E4060000}"/>
    <cellStyle name="Comma 2 5 7 3" xfId="18671" xr:uid="{00000000-0005-0000-0000-0000E5060000}"/>
    <cellStyle name="Comma 2 5 7 3 2" xfId="38723" xr:uid="{00000000-0005-0000-0000-0000E6060000}"/>
    <cellStyle name="Comma 2 5 7 4" xfId="19067" xr:uid="{00000000-0005-0000-0000-0000E7060000}"/>
    <cellStyle name="Comma 2 5 7 4 2" xfId="39119" xr:uid="{00000000-0005-0000-0000-0000E8060000}"/>
    <cellStyle name="Comma 2 5 7 5" xfId="19463" xr:uid="{00000000-0005-0000-0000-0000E9060000}"/>
    <cellStyle name="Comma 2 5 7 5 2" xfId="39515" xr:uid="{00000000-0005-0000-0000-0000EA060000}"/>
    <cellStyle name="Comma 2 5 7 6" xfId="19859" xr:uid="{00000000-0005-0000-0000-0000EB060000}"/>
    <cellStyle name="Comma 2 5 7 6 2" xfId="39911" xr:uid="{00000000-0005-0000-0000-0000EC060000}"/>
    <cellStyle name="Comma 2 5 7 7" xfId="29904" xr:uid="{00000000-0005-0000-0000-0000ED060000}"/>
    <cellStyle name="Comma 2 5 8" xfId="18077" xr:uid="{00000000-0005-0000-0000-0000EE060000}"/>
    <cellStyle name="Comma 2 5 8 2" xfId="38129" xr:uid="{00000000-0005-0000-0000-0000EF060000}"/>
    <cellStyle name="Comma 2 5 9" xfId="18473" xr:uid="{00000000-0005-0000-0000-0000F0060000}"/>
    <cellStyle name="Comma 2 5 9 2" xfId="38525" xr:uid="{00000000-0005-0000-0000-0000F1060000}"/>
    <cellStyle name="Comma 2 6" xfId="1123" xr:uid="{00000000-0005-0000-0000-0000F2060000}"/>
    <cellStyle name="Comma 2 6 10" xfId="19267" xr:uid="{00000000-0005-0000-0000-0000F3060000}"/>
    <cellStyle name="Comma 2 6 10 2" xfId="39319" xr:uid="{00000000-0005-0000-0000-0000F4060000}"/>
    <cellStyle name="Comma 2 6 11" xfId="19663" xr:uid="{00000000-0005-0000-0000-0000F5060000}"/>
    <cellStyle name="Comma 2 6 11 2" xfId="39715" xr:uid="{00000000-0005-0000-0000-0000F6060000}"/>
    <cellStyle name="Comma 2 6 12" xfId="21175" xr:uid="{00000000-0005-0000-0000-0000F7060000}"/>
    <cellStyle name="Comma 2 6 2" xfId="2617" xr:uid="{00000000-0005-0000-0000-0000F8060000}"/>
    <cellStyle name="Comma 2 6 2 10" xfId="22669" xr:uid="{00000000-0005-0000-0000-0000F9060000}"/>
    <cellStyle name="Comma 2 6 2 2" xfId="7099" xr:uid="{00000000-0005-0000-0000-0000FA060000}"/>
    <cellStyle name="Comma 2 6 2 2 2" xfId="16129" xr:uid="{00000000-0005-0000-0000-0000FB060000}"/>
    <cellStyle name="Comma 2 6 2 2 2 2" xfId="18365" xr:uid="{00000000-0005-0000-0000-0000FC060000}"/>
    <cellStyle name="Comma 2 6 2 2 2 2 2" xfId="38417" xr:uid="{00000000-0005-0000-0000-0000FD060000}"/>
    <cellStyle name="Comma 2 6 2 2 2 3" xfId="18761" xr:uid="{00000000-0005-0000-0000-0000FE060000}"/>
    <cellStyle name="Comma 2 6 2 2 2 3 2" xfId="38813" xr:uid="{00000000-0005-0000-0000-0000FF060000}"/>
    <cellStyle name="Comma 2 6 2 2 2 4" xfId="19157" xr:uid="{00000000-0005-0000-0000-000000070000}"/>
    <cellStyle name="Comma 2 6 2 2 2 4 2" xfId="39209" xr:uid="{00000000-0005-0000-0000-000001070000}"/>
    <cellStyle name="Comma 2 6 2 2 2 5" xfId="19553" xr:uid="{00000000-0005-0000-0000-000002070000}"/>
    <cellStyle name="Comma 2 6 2 2 2 5 2" xfId="39605" xr:uid="{00000000-0005-0000-0000-000003070000}"/>
    <cellStyle name="Comma 2 6 2 2 2 6" xfId="19949" xr:uid="{00000000-0005-0000-0000-000004070000}"/>
    <cellStyle name="Comma 2 6 2 2 2 6 2" xfId="40001" xr:uid="{00000000-0005-0000-0000-000005070000}"/>
    <cellStyle name="Comma 2 6 2 2 2 7" xfId="36181" xr:uid="{00000000-0005-0000-0000-000006070000}"/>
    <cellStyle name="Comma 2 6 2 2 3" xfId="18167" xr:uid="{00000000-0005-0000-0000-000007070000}"/>
    <cellStyle name="Comma 2 6 2 2 3 2" xfId="38219" xr:uid="{00000000-0005-0000-0000-000008070000}"/>
    <cellStyle name="Comma 2 6 2 2 4" xfId="18563" xr:uid="{00000000-0005-0000-0000-000009070000}"/>
    <cellStyle name="Comma 2 6 2 2 4 2" xfId="38615" xr:uid="{00000000-0005-0000-0000-00000A070000}"/>
    <cellStyle name="Comma 2 6 2 2 5" xfId="18959" xr:uid="{00000000-0005-0000-0000-00000B070000}"/>
    <cellStyle name="Comma 2 6 2 2 5 2" xfId="39011" xr:uid="{00000000-0005-0000-0000-00000C070000}"/>
    <cellStyle name="Comma 2 6 2 2 6" xfId="19355" xr:uid="{00000000-0005-0000-0000-00000D070000}"/>
    <cellStyle name="Comma 2 6 2 2 6 2" xfId="39407" xr:uid="{00000000-0005-0000-0000-00000E070000}"/>
    <cellStyle name="Comma 2 6 2 2 7" xfId="19751" xr:uid="{00000000-0005-0000-0000-00000F070000}"/>
    <cellStyle name="Comma 2 6 2 2 7 2" xfId="39803" xr:uid="{00000000-0005-0000-0000-000010070000}"/>
    <cellStyle name="Comma 2 6 2 2 8" xfId="27151" xr:uid="{00000000-0005-0000-0000-000011070000}"/>
    <cellStyle name="Comma 2 6 2 3" xfId="9005" xr:uid="{00000000-0005-0000-0000-000012070000}"/>
    <cellStyle name="Comma 2 6 2 3 2" xfId="18035" xr:uid="{00000000-0005-0000-0000-000013070000}"/>
    <cellStyle name="Comma 2 6 2 3 2 2" xfId="18431" xr:uid="{00000000-0005-0000-0000-000014070000}"/>
    <cellStyle name="Comma 2 6 2 3 2 2 2" xfId="38483" xr:uid="{00000000-0005-0000-0000-000015070000}"/>
    <cellStyle name="Comma 2 6 2 3 2 3" xfId="18827" xr:uid="{00000000-0005-0000-0000-000016070000}"/>
    <cellStyle name="Comma 2 6 2 3 2 3 2" xfId="38879" xr:uid="{00000000-0005-0000-0000-000017070000}"/>
    <cellStyle name="Comma 2 6 2 3 2 4" xfId="19223" xr:uid="{00000000-0005-0000-0000-000018070000}"/>
    <cellStyle name="Comma 2 6 2 3 2 4 2" xfId="39275" xr:uid="{00000000-0005-0000-0000-000019070000}"/>
    <cellStyle name="Comma 2 6 2 3 2 5" xfId="19619" xr:uid="{00000000-0005-0000-0000-00001A070000}"/>
    <cellStyle name="Comma 2 6 2 3 2 5 2" xfId="39671" xr:uid="{00000000-0005-0000-0000-00001B070000}"/>
    <cellStyle name="Comma 2 6 2 3 2 6" xfId="20015" xr:uid="{00000000-0005-0000-0000-00001C070000}"/>
    <cellStyle name="Comma 2 6 2 3 2 6 2" xfId="40067" xr:uid="{00000000-0005-0000-0000-00001D070000}"/>
    <cellStyle name="Comma 2 6 2 3 2 7" xfId="38087" xr:uid="{00000000-0005-0000-0000-00001E070000}"/>
    <cellStyle name="Comma 2 6 2 3 3" xfId="18233" xr:uid="{00000000-0005-0000-0000-00001F070000}"/>
    <cellStyle name="Comma 2 6 2 3 3 2" xfId="38285" xr:uid="{00000000-0005-0000-0000-000020070000}"/>
    <cellStyle name="Comma 2 6 2 3 4" xfId="18629" xr:uid="{00000000-0005-0000-0000-000021070000}"/>
    <cellStyle name="Comma 2 6 2 3 4 2" xfId="38681" xr:uid="{00000000-0005-0000-0000-000022070000}"/>
    <cellStyle name="Comma 2 6 2 3 5" xfId="19025" xr:uid="{00000000-0005-0000-0000-000023070000}"/>
    <cellStyle name="Comma 2 6 2 3 5 2" xfId="39077" xr:uid="{00000000-0005-0000-0000-000024070000}"/>
    <cellStyle name="Comma 2 6 2 3 6" xfId="19421" xr:uid="{00000000-0005-0000-0000-000025070000}"/>
    <cellStyle name="Comma 2 6 2 3 6 2" xfId="39473" xr:uid="{00000000-0005-0000-0000-000026070000}"/>
    <cellStyle name="Comma 2 6 2 3 7" xfId="19817" xr:uid="{00000000-0005-0000-0000-000027070000}"/>
    <cellStyle name="Comma 2 6 2 3 7 2" xfId="39869" xr:uid="{00000000-0005-0000-0000-000028070000}"/>
    <cellStyle name="Comma 2 6 2 3 8" xfId="29057" xr:uid="{00000000-0005-0000-0000-000029070000}"/>
    <cellStyle name="Comma 2 6 2 4" xfId="11647" xr:uid="{00000000-0005-0000-0000-00002A070000}"/>
    <cellStyle name="Comma 2 6 2 4 2" xfId="18299" xr:uid="{00000000-0005-0000-0000-00002B070000}"/>
    <cellStyle name="Comma 2 6 2 4 2 2" xfId="38351" xr:uid="{00000000-0005-0000-0000-00002C070000}"/>
    <cellStyle name="Comma 2 6 2 4 3" xfId="18695" xr:uid="{00000000-0005-0000-0000-00002D070000}"/>
    <cellStyle name="Comma 2 6 2 4 3 2" xfId="38747" xr:uid="{00000000-0005-0000-0000-00002E070000}"/>
    <cellStyle name="Comma 2 6 2 4 4" xfId="19091" xr:uid="{00000000-0005-0000-0000-00002F070000}"/>
    <cellStyle name="Comma 2 6 2 4 4 2" xfId="39143" xr:uid="{00000000-0005-0000-0000-000030070000}"/>
    <cellStyle name="Comma 2 6 2 4 5" xfId="19487" xr:uid="{00000000-0005-0000-0000-000031070000}"/>
    <cellStyle name="Comma 2 6 2 4 5 2" xfId="39539" xr:uid="{00000000-0005-0000-0000-000032070000}"/>
    <cellStyle name="Comma 2 6 2 4 6" xfId="19883" xr:uid="{00000000-0005-0000-0000-000033070000}"/>
    <cellStyle name="Comma 2 6 2 4 6 2" xfId="39935" xr:uid="{00000000-0005-0000-0000-000034070000}"/>
    <cellStyle name="Comma 2 6 2 4 7" xfId="31699" xr:uid="{00000000-0005-0000-0000-000035070000}"/>
    <cellStyle name="Comma 2 6 2 5" xfId="18101" xr:uid="{00000000-0005-0000-0000-000036070000}"/>
    <cellStyle name="Comma 2 6 2 5 2" xfId="38153" xr:uid="{00000000-0005-0000-0000-000037070000}"/>
    <cellStyle name="Comma 2 6 2 6" xfId="18497" xr:uid="{00000000-0005-0000-0000-000038070000}"/>
    <cellStyle name="Comma 2 6 2 6 2" xfId="38549" xr:uid="{00000000-0005-0000-0000-000039070000}"/>
    <cellStyle name="Comma 2 6 2 7" xfId="18893" xr:uid="{00000000-0005-0000-0000-00003A070000}"/>
    <cellStyle name="Comma 2 6 2 7 2" xfId="38945" xr:uid="{00000000-0005-0000-0000-00003B070000}"/>
    <cellStyle name="Comma 2 6 2 8" xfId="19289" xr:uid="{00000000-0005-0000-0000-00003C070000}"/>
    <cellStyle name="Comma 2 6 2 8 2" xfId="39341" xr:uid="{00000000-0005-0000-0000-00003D070000}"/>
    <cellStyle name="Comma 2 6 2 9" xfId="19685" xr:uid="{00000000-0005-0000-0000-00003E070000}"/>
    <cellStyle name="Comma 2 6 2 9 2" xfId="39737" xr:uid="{00000000-0005-0000-0000-00003F070000}"/>
    <cellStyle name="Comma 2 6 3" xfId="4111" xr:uid="{00000000-0005-0000-0000-000040070000}"/>
    <cellStyle name="Comma 2 6 3 10" xfId="24163" xr:uid="{00000000-0005-0000-0000-000041070000}"/>
    <cellStyle name="Comma 2 6 3 2" xfId="8593" xr:uid="{00000000-0005-0000-0000-000042070000}"/>
    <cellStyle name="Comma 2 6 3 2 2" xfId="17623" xr:uid="{00000000-0005-0000-0000-000043070000}"/>
    <cellStyle name="Comma 2 6 3 2 2 2" xfId="18387" xr:uid="{00000000-0005-0000-0000-000044070000}"/>
    <cellStyle name="Comma 2 6 3 2 2 2 2" xfId="38439" xr:uid="{00000000-0005-0000-0000-000045070000}"/>
    <cellStyle name="Comma 2 6 3 2 2 3" xfId="18783" xr:uid="{00000000-0005-0000-0000-000046070000}"/>
    <cellStyle name="Comma 2 6 3 2 2 3 2" xfId="38835" xr:uid="{00000000-0005-0000-0000-000047070000}"/>
    <cellStyle name="Comma 2 6 3 2 2 4" xfId="19179" xr:uid="{00000000-0005-0000-0000-000048070000}"/>
    <cellStyle name="Comma 2 6 3 2 2 4 2" xfId="39231" xr:uid="{00000000-0005-0000-0000-000049070000}"/>
    <cellStyle name="Comma 2 6 3 2 2 5" xfId="19575" xr:uid="{00000000-0005-0000-0000-00004A070000}"/>
    <cellStyle name="Comma 2 6 3 2 2 5 2" xfId="39627" xr:uid="{00000000-0005-0000-0000-00004B070000}"/>
    <cellStyle name="Comma 2 6 3 2 2 6" xfId="19971" xr:uid="{00000000-0005-0000-0000-00004C070000}"/>
    <cellStyle name="Comma 2 6 3 2 2 6 2" xfId="40023" xr:uid="{00000000-0005-0000-0000-00004D070000}"/>
    <cellStyle name="Comma 2 6 3 2 2 7" xfId="37675" xr:uid="{00000000-0005-0000-0000-00004E070000}"/>
    <cellStyle name="Comma 2 6 3 2 3" xfId="18189" xr:uid="{00000000-0005-0000-0000-00004F070000}"/>
    <cellStyle name="Comma 2 6 3 2 3 2" xfId="38241" xr:uid="{00000000-0005-0000-0000-000050070000}"/>
    <cellStyle name="Comma 2 6 3 2 4" xfId="18585" xr:uid="{00000000-0005-0000-0000-000051070000}"/>
    <cellStyle name="Comma 2 6 3 2 4 2" xfId="38637" xr:uid="{00000000-0005-0000-0000-000052070000}"/>
    <cellStyle name="Comma 2 6 3 2 5" xfId="18981" xr:uid="{00000000-0005-0000-0000-000053070000}"/>
    <cellStyle name="Comma 2 6 3 2 5 2" xfId="39033" xr:uid="{00000000-0005-0000-0000-000054070000}"/>
    <cellStyle name="Comma 2 6 3 2 6" xfId="19377" xr:uid="{00000000-0005-0000-0000-000055070000}"/>
    <cellStyle name="Comma 2 6 3 2 6 2" xfId="39429" xr:uid="{00000000-0005-0000-0000-000056070000}"/>
    <cellStyle name="Comma 2 6 3 2 7" xfId="19773" xr:uid="{00000000-0005-0000-0000-000057070000}"/>
    <cellStyle name="Comma 2 6 3 2 7 2" xfId="39825" xr:uid="{00000000-0005-0000-0000-000058070000}"/>
    <cellStyle name="Comma 2 6 3 2 8" xfId="28645" xr:uid="{00000000-0005-0000-0000-000059070000}"/>
    <cellStyle name="Comma 2 6 3 3" xfId="9027" xr:uid="{00000000-0005-0000-0000-00005A070000}"/>
    <cellStyle name="Comma 2 6 3 3 2" xfId="18057" xr:uid="{00000000-0005-0000-0000-00005B070000}"/>
    <cellStyle name="Comma 2 6 3 3 2 2" xfId="18453" xr:uid="{00000000-0005-0000-0000-00005C070000}"/>
    <cellStyle name="Comma 2 6 3 3 2 2 2" xfId="38505" xr:uid="{00000000-0005-0000-0000-00005D070000}"/>
    <cellStyle name="Comma 2 6 3 3 2 3" xfId="18849" xr:uid="{00000000-0005-0000-0000-00005E070000}"/>
    <cellStyle name="Comma 2 6 3 3 2 3 2" xfId="38901" xr:uid="{00000000-0005-0000-0000-00005F070000}"/>
    <cellStyle name="Comma 2 6 3 3 2 4" xfId="19245" xr:uid="{00000000-0005-0000-0000-000060070000}"/>
    <cellStyle name="Comma 2 6 3 3 2 4 2" xfId="39297" xr:uid="{00000000-0005-0000-0000-000061070000}"/>
    <cellStyle name="Comma 2 6 3 3 2 5" xfId="19641" xr:uid="{00000000-0005-0000-0000-000062070000}"/>
    <cellStyle name="Comma 2 6 3 3 2 5 2" xfId="39693" xr:uid="{00000000-0005-0000-0000-000063070000}"/>
    <cellStyle name="Comma 2 6 3 3 2 6" xfId="20037" xr:uid="{00000000-0005-0000-0000-000064070000}"/>
    <cellStyle name="Comma 2 6 3 3 2 6 2" xfId="40089" xr:uid="{00000000-0005-0000-0000-000065070000}"/>
    <cellStyle name="Comma 2 6 3 3 2 7" xfId="38109" xr:uid="{00000000-0005-0000-0000-000066070000}"/>
    <cellStyle name="Comma 2 6 3 3 3" xfId="18255" xr:uid="{00000000-0005-0000-0000-000067070000}"/>
    <cellStyle name="Comma 2 6 3 3 3 2" xfId="38307" xr:uid="{00000000-0005-0000-0000-000068070000}"/>
    <cellStyle name="Comma 2 6 3 3 4" xfId="18651" xr:uid="{00000000-0005-0000-0000-000069070000}"/>
    <cellStyle name="Comma 2 6 3 3 4 2" xfId="38703" xr:uid="{00000000-0005-0000-0000-00006A070000}"/>
    <cellStyle name="Comma 2 6 3 3 5" xfId="19047" xr:uid="{00000000-0005-0000-0000-00006B070000}"/>
    <cellStyle name="Comma 2 6 3 3 5 2" xfId="39099" xr:uid="{00000000-0005-0000-0000-00006C070000}"/>
    <cellStyle name="Comma 2 6 3 3 6" xfId="19443" xr:uid="{00000000-0005-0000-0000-00006D070000}"/>
    <cellStyle name="Comma 2 6 3 3 6 2" xfId="39495" xr:uid="{00000000-0005-0000-0000-00006E070000}"/>
    <cellStyle name="Comma 2 6 3 3 7" xfId="19839" xr:uid="{00000000-0005-0000-0000-00006F070000}"/>
    <cellStyle name="Comma 2 6 3 3 7 2" xfId="39891" xr:uid="{00000000-0005-0000-0000-000070070000}"/>
    <cellStyle name="Comma 2 6 3 3 8" xfId="29079" xr:uid="{00000000-0005-0000-0000-000071070000}"/>
    <cellStyle name="Comma 2 6 3 4" xfId="13141" xr:uid="{00000000-0005-0000-0000-000072070000}"/>
    <cellStyle name="Comma 2 6 3 4 2" xfId="18321" xr:uid="{00000000-0005-0000-0000-000073070000}"/>
    <cellStyle name="Comma 2 6 3 4 2 2" xfId="38373" xr:uid="{00000000-0005-0000-0000-000074070000}"/>
    <cellStyle name="Comma 2 6 3 4 3" xfId="18717" xr:uid="{00000000-0005-0000-0000-000075070000}"/>
    <cellStyle name="Comma 2 6 3 4 3 2" xfId="38769" xr:uid="{00000000-0005-0000-0000-000076070000}"/>
    <cellStyle name="Comma 2 6 3 4 4" xfId="19113" xr:uid="{00000000-0005-0000-0000-000077070000}"/>
    <cellStyle name="Comma 2 6 3 4 4 2" xfId="39165" xr:uid="{00000000-0005-0000-0000-000078070000}"/>
    <cellStyle name="Comma 2 6 3 4 5" xfId="19509" xr:uid="{00000000-0005-0000-0000-000079070000}"/>
    <cellStyle name="Comma 2 6 3 4 5 2" xfId="39561" xr:uid="{00000000-0005-0000-0000-00007A070000}"/>
    <cellStyle name="Comma 2 6 3 4 6" xfId="19905" xr:uid="{00000000-0005-0000-0000-00007B070000}"/>
    <cellStyle name="Comma 2 6 3 4 6 2" xfId="39957" xr:uid="{00000000-0005-0000-0000-00007C070000}"/>
    <cellStyle name="Comma 2 6 3 4 7" xfId="33193" xr:uid="{00000000-0005-0000-0000-00007D070000}"/>
    <cellStyle name="Comma 2 6 3 5" xfId="18123" xr:uid="{00000000-0005-0000-0000-00007E070000}"/>
    <cellStyle name="Comma 2 6 3 5 2" xfId="38175" xr:uid="{00000000-0005-0000-0000-00007F070000}"/>
    <cellStyle name="Comma 2 6 3 6" xfId="18519" xr:uid="{00000000-0005-0000-0000-000080070000}"/>
    <cellStyle name="Comma 2 6 3 6 2" xfId="38571" xr:uid="{00000000-0005-0000-0000-000081070000}"/>
    <cellStyle name="Comma 2 6 3 7" xfId="18915" xr:uid="{00000000-0005-0000-0000-000082070000}"/>
    <cellStyle name="Comma 2 6 3 7 2" xfId="38967" xr:uid="{00000000-0005-0000-0000-000083070000}"/>
    <cellStyle name="Comma 2 6 3 8" xfId="19311" xr:uid="{00000000-0005-0000-0000-000084070000}"/>
    <cellStyle name="Comma 2 6 3 8 2" xfId="39363" xr:uid="{00000000-0005-0000-0000-000085070000}"/>
    <cellStyle name="Comma 2 6 3 9" xfId="19707" xr:uid="{00000000-0005-0000-0000-000086070000}"/>
    <cellStyle name="Comma 2 6 3 9 2" xfId="39759" xr:uid="{00000000-0005-0000-0000-000087070000}"/>
    <cellStyle name="Comma 2 6 4" xfId="5605" xr:uid="{00000000-0005-0000-0000-000088070000}"/>
    <cellStyle name="Comma 2 6 4 2" xfId="14635" xr:uid="{00000000-0005-0000-0000-000089070000}"/>
    <cellStyle name="Comma 2 6 4 2 2" xfId="18343" xr:uid="{00000000-0005-0000-0000-00008A070000}"/>
    <cellStyle name="Comma 2 6 4 2 2 2" xfId="38395" xr:uid="{00000000-0005-0000-0000-00008B070000}"/>
    <cellStyle name="Comma 2 6 4 2 3" xfId="18739" xr:uid="{00000000-0005-0000-0000-00008C070000}"/>
    <cellStyle name="Comma 2 6 4 2 3 2" xfId="38791" xr:uid="{00000000-0005-0000-0000-00008D070000}"/>
    <cellStyle name="Comma 2 6 4 2 4" xfId="19135" xr:uid="{00000000-0005-0000-0000-00008E070000}"/>
    <cellStyle name="Comma 2 6 4 2 4 2" xfId="39187" xr:uid="{00000000-0005-0000-0000-00008F070000}"/>
    <cellStyle name="Comma 2 6 4 2 5" xfId="19531" xr:uid="{00000000-0005-0000-0000-000090070000}"/>
    <cellStyle name="Comma 2 6 4 2 5 2" xfId="39583" xr:uid="{00000000-0005-0000-0000-000091070000}"/>
    <cellStyle name="Comma 2 6 4 2 6" xfId="19927" xr:uid="{00000000-0005-0000-0000-000092070000}"/>
    <cellStyle name="Comma 2 6 4 2 6 2" xfId="39979" xr:uid="{00000000-0005-0000-0000-000093070000}"/>
    <cellStyle name="Comma 2 6 4 2 7" xfId="34687" xr:uid="{00000000-0005-0000-0000-000094070000}"/>
    <cellStyle name="Comma 2 6 4 3" xfId="18145" xr:uid="{00000000-0005-0000-0000-000095070000}"/>
    <cellStyle name="Comma 2 6 4 3 2" xfId="38197" xr:uid="{00000000-0005-0000-0000-000096070000}"/>
    <cellStyle name="Comma 2 6 4 4" xfId="18541" xr:uid="{00000000-0005-0000-0000-000097070000}"/>
    <cellStyle name="Comma 2 6 4 4 2" xfId="38593" xr:uid="{00000000-0005-0000-0000-000098070000}"/>
    <cellStyle name="Comma 2 6 4 5" xfId="18937" xr:uid="{00000000-0005-0000-0000-000099070000}"/>
    <cellStyle name="Comma 2 6 4 5 2" xfId="38989" xr:uid="{00000000-0005-0000-0000-00009A070000}"/>
    <cellStyle name="Comma 2 6 4 6" xfId="19333" xr:uid="{00000000-0005-0000-0000-00009B070000}"/>
    <cellStyle name="Comma 2 6 4 6 2" xfId="39385" xr:uid="{00000000-0005-0000-0000-00009C070000}"/>
    <cellStyle name="Comma 2 6 4 7" xfId="19729" xr:uid="{00000000-0005-0000-0000-00009D070000}"/>
    <cellStyle name="Comma 2 6 4 7 2" xfId="39781" xr:uid="{00000000-0005-0000-0000-00009E070000}"/>
    <cellStyle name="Comma 2 6 4 8" xfId="25657" xr:uid="{00000000-0005-0000-0000-00009F070000}"/>
    <cellStyle name="Comma 2 6 5" xfId="8983" xr:uid="{00000000-0005-0000-0000-0000A0070000}"/>
    <cellStyle name="Comma 2 6 5 2" xfId="18013" xr:uid="{00000000-0005-0000-0000-0000A1070000}"/>
    <cellStyle name="Comma 2 6 5 2 2" xfId="18409" xr:uid="{00000000-0005-0000-0000-0000A2070000}"/>
    <cellStyle name="Comma 2 6 5 2 2 2" xfId="38461" xr:uid="{00000000-0005-0000-0000-0000A3070000}"/>
    <cellStyle name="Comma 2 6 5 2 3" xfId="18805" xr:uid="{00000000-0005-0000-0000-0000A4070000}"/>
    <cellStyle name="Comma 2 6 5 2 3 2" xfId="38857" xr:uid="{00000000-0005-0000-0000-0000A5070000}"/>
    <cellStyle name="Comma 2 6 5 2 4" xfId="19201" xr:uid="{00000000-0005-0000-0000-0000A6070000}"/>
    <cellStyle name="Comma 2 6 5 2 4 2" xfId="39253" xr:uid="{00000000-0005-0000-0000-0000A7070000}"/>
    <cellStyle name="Comma 2 6 5 2 5" xfId="19597" xr:uid="{00000000-0005-0000-0000-0000A8070000}"/>
    <cellStyle name="Comma 2 6 5 2 5 2" xfId="39649" xr:uid="{00000000-0005-0000-0000-0000A9070000}"/>
    <cellStyle name="Comma 2 6 5 2 6" xfId="19993" xr:uid="{00000000-0005-0000-0000-0000AA070000}"/>
    <cellStyle name="Comma 2 6 5 2 6 2" xfId="40045" xr:uid="{00000000-0005-0000-0000-0000AB070000}"/>
    <cellStyle name="Comma 2 6 5 2 7" xfId="38065" xr:uid="{00000000-0005-0000-0000-0000AC070000}"/>
    <cellStyle name="Comma 2 6 5 3" xfId="18211" xr:uid="{00000000-0005-0000-0000-0000AD070000}"/>
    <cellStyle name="Comma 2 6 5 3 2" xfId="38263" xr:uid="{00000000-0005-0000-0000-0000AE070000}"/>
    <cellStyle name="Comma 2 6 5 4" xfId="18607" xr:uid="{00000000-0005-0000-0000-0000AF070000}"/>
    <cellStyle name="Comma 2 6 5 4 2" xfId="38659" xr:uid="{00000000-0005-0000-0000-0000B0070000}"/>
    <cellStyle name="Comma 2 6 5 5" xfId="19003" xr:uid="{00000000-0005-0000-0000-0000B1070000}"/>
    <cellStyle name="Comma 2 6 5 5 2" xfId="39055" xr:uid="{00000000-0005-0000-0000-0000B2070000}"/>
    <cellStyle name="Comma 2 6 5 6" xfId="19399" xr:uid="{00000000-0005-0000-0000-0000B3070000}"/>
    <cellStyle name="Comma 2 6 5 6 2" xfId="39451" xr:uid="{00000000-0005-0000-0000-0000B4070000}"/>
    <cellStyle name="Comma 2 6 5 7" xfId="19795" xr:uid="{00000000-0005-0000-0000-0000B5070000}"/>
    <cellStyle name="Comma 2 6 5 7 2" xfId="39847" xr:uid="{00000000-0005-0000-0000-0000B6070000}"/>
    <cellStyle name="Comma 2 6 5 8" xfId="29035" xr:uid="{00000000-0005-0000-0000-0000B7070000}"/>
    <cellStyle name="Comma 2 6 6" xfId="10153" xr:uid="{00000000-0005-0000-0000-0000B8070000}"/>
    <cellStyle name="Comma 2 6 6 2" xfId="18277" xr:uid="{00000000-0005-0000-0000-0000B9070000}"/>
    <cellStyle name="Comma 2 6 6 2 2" xfId="38329" xr:uid="{00000000-0005-0000-0000-0000BA070000}"/>
    <cellStyle name="Comma 2 6 6 3" xfId="18673" xr:uid="{00000000-0005-0000-0000-0000BB070000}"/>
    <cellStyle name="Comma 2 6 6 3 2" xfId="38725" xr:uid="{00000000-0005-0000-0000-0000BC070000}"/>
    <cellStyle name="Comma 2 6 6 4" xfId="19069" xr:uid="{00000000-0005-0000-0000-0000BD070000}"/>
    <cellStyle name="Comma 2 6 6 4 2" xfId="39121" xr:uid="{00000000-0005-0000-0000-0000BE070000}"/>
    <cellStyle name="Comma 2 6 6 5" xfId="19465" xr:uid="{00000000-0005-0000-0000-0000BF070000}"/>
    <cellStyle name="Comma 2 6 6 5 2" xfId="39517" xr:uid="{00000000-0005-0000-0000-0000C0070000}"/>
    <cellStyle name="Comma 2 6 6 6" xfId="19861" xr:uid="{00000000-0005-0000-0000-0000C1070000}"/>
    <cellStyle name="Comma 2 6 6 6 2" xfId="39913" xr:uid="{00000000-0005-0000-0000-0000C2070000}"/>
    <cellStyle name="Comma 2 6 6 7" xfId="30205" xr:uid="{00000000-0005-0000-0000-0000C3070000}"/>
    <cellStyle name="Comma 2 6 7" xfId="18079" xr:uid="{00000000-0005-0000-0000-0000C4070000}"/>
    <cellStyle name="Comma 2 6 7 2" xfId="38131" xr:uid="{00000000-0005-0000-0000-0000C5070000}"/>
    <cellStyle name="Comma 2 6 8" xfId="18475" xr:uid="{00000000-0005-0000-0000-0000C6070000}"/>
    <cellStyle name="Comma 2 6 8 2" xfId="38527" xr:uid="{00000000-0005-0000-0000-0000C7070000}"/>
    <cellStyle name="Comma 2 6 9" xfId="18871" xr:uid="{00000000-0005-0000-0000-0000C8070000}"/>
    <cellStyle name="Comma 2 6 9 2" xfId="38923" xr:uid="{00000000-0005-0000-0000-0000C9070000}"/>
    <cellStyle name="Comma 2 7" xfId="1571" xr:uid="{00000000-0005-0000-0000-0000CA070000}"/>
    <cellStyle name="Comma 2 7 10" xfId="21623" xr:uid="{00000000-0005-0000-0000-0000CB070000}"/>
    <cellStyle name="Comma 2 7 2" xfId="6053" xr:uid="{00000000-0005-0000-0000-0000CC070000}"/>
    <cellStyle name="Comma 2 7 2 2" xfId="15083" xr:uid="{00000000-0005-0000-0000-0000CD070000}"/>
    <cellStyle name="Comma 2 7 2 2 2" xfId="18354" xr:uid="{00000000-0005-0000-0000-0000CE070000}"/>
    <cellStyle name="Comma 2 7 2 2 2 2" xfId="38406" xr:uid="{00000000-0005-0000-0000-0000CF070000}"/>
    <cellStyle name="Comma 2 7 2 2 3" xfId="18750" xr:uid="{00000000-0005-0000-0000-0000D0070000}"/>
    <cellStyle name="Comma 2 7 2 2 3 2" xfId="38802" xr:uid="{00000000-0005-0000-0000-0000D1070000}"/>
    <cellStyle name="Comma 2 7 2 2 4" xfId="19146" xr:uid="{00000000-0005-0000-0000-0000D2070000}"/>
    <cellStyle name="Comma 2 7 2 2 4 2" xfId="39198" xr:uid="{00000000-0005-0000-0000-0000D3070000}"/>
    <cellStyle name="Comma 2 7 2 2 5" xfId="19542" xr:uid="{00000000-0005-0000-0000-0000D4070000}"/>
    <cellStyle name="Comma 2 7 2 2 5 2" xfId="39594" xr:uid="{00000000-0005-0000-0000-0000D5070000}"/>
    <cellStyle name="Comma 2 7 2 2 6" xfId="19938" xr:uid="{00000000-0005-0000-0000-0000D6070000}"/>
    <cellStyle name="Comma 2 7 2 2 6 2" xfId="39990" xr:uid="{00000000-0005-0000-0000-0000D7070000}"/>
    <cellStyle name="Comma 2 7 2 2 7" xfId="35135" xr:uid="{00000000-0005-0000-0000-0000D8070000}"/>
    <cellStyle name="Comma 2 7 2 3" xfId="18156" xr:uid="{00000000-0005-0000-0000-0000D9070000}"/>
    <cellStyle name="Comma 2 7 2 3 2" xfId="38208" xr:uid="{00000000-0005-0000-0000-0000DA070000}"/>
    <cellStyle name="Comma 2 7 2 4" xfId="18552" xr:uid="{00000000-0005-0000-0000-0000DB070000}"/>
    <cellStyle name="Comma 2 7 2 4 2" xfId="38604" xr:uid="{00000000-0005-0000-0000-0000DC070000}"/>
    <cellStyle name="Comma 2 7 2 5" xfId="18948" xr:uid="{00000000-0005-0000-0000-0000DD070000}"/>
    <cellStyle name="Comma 2 7 2 5 2" xfId="39000" xr:uid="{00000000-0005-0000-0000-0000DE070000}"/>
    <cellStyle name="Comma 2 7 2 6" xfId="19344" xr:uid="{00000000-0005-0000-0000-0000DF070000}"/>
    <cellStyle name="Comma 2 7 2 6 2" xfId="39396" xr:uid="{00000000-0005-0000-0000-0000E0070000}"/>
    <cellStyle name="Comma 2 7 2 7" xfId="19740" xr:uid="{00000000-0005-0000-0000-0000E1070000}"/>
    <cellStyle name="Comma 2 7 2 7 2" xfId="39792" xr:uid="{00000000-0005-0000-0000-0000E2070000}"/>
    <cellStyle name="Comma 2 7 2 8" xfId="26105" xr:uid="{00000000-0005-0000-0000-0000E3070000}"/>
    <cellStyle name="Comma 2 7 3" xfId="8994" xr:uid="{00000000-0005-0000-0000-0000E4070000}"/>
    <cellStyle name="Comma 2 7 3 2" xfId="18024" xr:uid="{00000000-0005-0000-0000-0000E5070000}"/>
    <cellStyle name="Comma 2 7 3 2 2" xfId="18420" xr:uid="{00000000-0005-0000-0000-0000E6070000}"/>
    <cellStyle name="Comma 2 7 3 2 2 2" xfId="38472" xr:uid="{00000000-0005-0000-0000-0000E7070000}"/>
    <cellStyle name="Comma 2 7 3 2 3" xfId="18816" xr:uid="{00000000-0005-0000-0000-0000E8070000}"/>
    <cellStyle name="Comma 2 7 3 2 3 2" xfId="38868" xr:uid="{00000000-0005-0000-0000-0000E9070000}"/>
    <cellStyle name="Comma 2 7 3 2 4" xfId="19212" xr:uid="{00000000-0005-0000-0000-0000EA070000}"/>
    <cellStyle name="Comma 2 7 3 2 4 2" xfId="39264" xr:uid="{00000000-0005-0000-0000-0000EB070000}"/>
    <cellStyle name="Comma 2 7 3 2 5" xfId="19608" xr:uid="{00000000-0005-0000-0000-0000EC070000}"/>
    <cellStyle name="Comma 2 7 3 2 5 2" xfId="39660" xr:uid="{00000000-0005-0000-0000-0000ED070000}"/>
    <cellStyle name="Comma 2 7 3 2 6" xfId="20004" xr:uid="{00000000-0005-0000-0000-0000EE070000}"/>
    <cellStyle name="Comma 2 7 3 2 6 2" xfId="40056" xr:uid="{00000000-0005-0000-0000-0000EF070000}"/>
    <cellStyle name="Comma 2 7 3 2 7" xfId="38076" xr:uid="{00000000-0005-0000-0000-0000F0070000}"/>
    <cellStyle name="Comma 2 7 3 3" xfId="18222" xr:uid="{00000000-0005-0000-0000-0000F1070000}"/>
    <cellStyle name="Comma 2 7 3 3 2" xfId="38274" xr:uid="{00000000-0005-0000-0000-0000F2070000}"/>
    <cellStyle name="Comma 2 7 3 4" xfId="18618" xr:uid="{00000000-0005-0000-0000-0000F3070000}"/>
    <cellStyle name="Comma 2 7 3 4 2" xfId="38670" xr:uid="{00000000-0005-0000-0000-0000F4070000}"/>
    <cellStyle name="Comma 2 7 3 5" xfId="19014" xr:uid="{00000000-0005-0000-0000-0000F5070000}"/>
    <cellStyle name="Comma 2 7 3 5 2" xfId="39066" xr:uid="{00000000-0005-0000-0000-0000F6070000}"/>
    <cellStyle name="Comma 2 7 3 6" xfId="19410" xr:uid="{00000000-0005-0000-0000-0000F7070000}"/>
    <cellStyle name="Comma 2 7 3 6 2" xfId="39462" xr:uid="{00000000-0005-0000-0000-0000F8070000}"/>
    <cellStyle name="Comma 2 7 3 7" xfId="19806" xr:uid="{00000000-0005-0000-0000-0000F9070000}"/>
    <cellStyle name="Comma 2 7 3 7 2" xfId="39858" xr:uid="{00000000-0005-0000-0000-0000FA070000}"/>
    <cellStyle name="Comma 2 7 3 8" xfId="29046" xr:uid="{00000000-0005-0000-0000-0000FB070000}"/>
    <cellStyle name="Comma 2 7 4" xfId="10601" xr:uid="{00000000-0005-0000-0000-0000FC070000}"/>
    <cellStyle name="Comma 2 7 4 2" xfId="18288" xr:uid="{00000000-0005-0000-0000-0000FD070000}"/>
    <cellStyle name="Comma 2 7 4 2 2" xfId="38340" xr:uid="{00000000-0005-0000-0000-0000FE070000}"/>
    <cellStyle name="Comma 2 7 4 3" xfId="18684" xr:uid="{00000000-0005-0000-0000-0000FF070000}"/>
    <cellStyle name="Comma 2 7 4 3 2" xfId="38736" xr:uid="{00000000-0005-0000-0000-000000080000}"/>
    <cellStyle name="Comma 2 7 4 4" xfId="19080" xr:uid="{00000000-0005-0000-0000-000001080000}"/>
    <cellStyle name="Comma 2 7 4 4 2" xfId="39132" xr:uid="{00000000-0005-0000-0000-000002080000}"/>
    <cellStyle name="Comma 2 7 4 5" xfId="19476" xr:uid="{00000000-0005-0000-0000-000003080000}"/>
    <cellStyle name="Comma 2 7 4 5 2" xfId="39528" xr:uid="{00000000-0005-0000-0000-000004080000}"/>
    <cellStyle name="Comma 2 7 4 6" xfId="19872" xr:uid="{00000000-0005-0000-0000-000005080000}"/>
    <cellStyle name="Comma 2 7 4 6 2" xfId="39924" xr:uid="{00000000-0005-0000-0000-000006080000}"/>
    <cellStyle name="Comma 2 7 4 7" xfId="30653" xr:uid="{00000000-0005-0000-0000-000007080000}"/>
    <cellStyle name="Comma 2 7 5" xfId="18090" xr:uid="{00000000-0005-0000-0000-000008080000}"/>
    <cellStyle name="Comma 2 7 5 2" xfId="38142" xr:uid="{00000000-0005-0000-0000-000009080000}"/>
    <cellStyle name="Comma 2 7 6" xfId="18486" xr:uid="{00000000-0005-0000-0000-00000A080000}"/>
    <cellStyle name="Comma 2 7 6 2" xfId="38538" xr:uid="{00000000-0005-0000-0000-00000B080000}"/>
    <cellStyle name="Comma 2 7 7" xfId="18882" xr:uid="{00000000-0005-0000-0000-00000C080000}"/>
    <cellStyle name="Comma 2 7 7 2" xfId="38934" xr:uid="{00000000-0005-0000-0000-00000D080000}"/>
    <cellStyle name="Comma 2 7 8" xfId="19278" xr:uid="{00000000-0005-0000-0000-00000E080000}"/>
    <cellStyle name="Comma 2 7 8 2" xfId="39330" xr:uid="{00000000-0005-0000-0000-00000F080000}"/>
    <cellStyle name="Comma 2 7 9" xfId="19674" xr:uid="{00000000-0005-0000-0000-000010080000}"/>
    <cellStyle name="Comma 2 7 9 2" xfId="39726" xr:uid="{00000000-0005-0000-0000-000011080000}"/>
    <cellStyle name="Comma 2 8" xfId="3065" xr:uid="{00000000-0005-0000-0000-000012080000}"/>
    <cellStyle name="Comma 2 8 10" xfId="23117" xr:uid="{00000000-0005-0000-0000-000013080000}"/>
    <cellStyle name="Comma 2 8 2" xfId="7547" xr:uid="{00000000-0005-0000-0000-000014080000}"/>
    <cellStyle name="Comma 2 8 2 2" xfId="16577" xr:uid="{00000000-0005-0000-0000-000015080000}"/>
    <cellStyle name="Comma 2 8 2 2 2" xfId="18376" xr:uid="{00000000-0005-0000-0000-000016080000}"/>
    <cellStyle name="Comma 2 8 2 2 2 2" xfId="38428" xr:uid="{00000000-0005-0000-0000-000017080000}"/>
    <cellStyle name="Comma 2 8 2 2 3" xfId="18772" xr:uid="{00000000-0005-0000-0000-000018080000}"/>
    <cellStyle name="Comma 2 8 2 2 3 2" xfId="38824" xr:uid="{00000000-0005-0000-0000-000019080000}"/>
    <cellStyle name="Comma 2 8 2 2 4" xfId="19168" xr:uid="{00000000-0005-0000-0000-00001A080000}"/>
    <cellStyle name="Comma 2 8 2 2 4 2" xfId="39220" xr:uid="{00000000-0005-0000-0000-00001B080000}"/>
    <cellStyle name="Comma 2 8 2 2 5" xfId="19564" xr:uid="{00000000-0005-0000-0000-00001C080000}"/>
    <cellStyle name="Comma 2 8 2 2 5 2" xfId="39616" xr:uid="{00000000-0005-0000-0000-00001D080000}"/>
    <cellStyle name="Comma 2 8 2 2 6" xfId="19960" xr:uid="{00000000-0005-0000-0000-00001E080000}"/>
    <cellStyle name="Comma 2 8 2 2 6 2" xfId="40012" xr:uid="{00000000-0005-0000-0000-00001F080000}"/>
    <cellStyle name="Comma 2 8 2 2 7" xfId="36629" xr:uid="{00000000-0005-0000-0000-000020080000}"/>
    <cellStyle name="Comma 2 8 2 3" xfId="18178" xr:uid="{00000000-0005-0000-0000-000021080000}"/>
    <cellStyle name="Comma 2 8 2 3 2" xfId="38230" xr:uid="{00000000-0005-0000-0000-000022080000}"/>
    <cellStyle name="Comma 2 8 2 4" xfId="18574" xr:uid="{00000000-0005-0000-0000-000023080000}"/>
    <cellStyle name="Comma 2 8 2 4 2" xfId="38626" xr:uid="{00000000-0005-0000-0000-000024080000}"/>
    <cellStyle name="Comma 2 8 2 5" xfId="18970" xr:uid="{00000000-0005-0000-0000-000025080000}"/>
    <cellStyle name="Comma 2 8 2 5 2" xfId="39022" xr:uid="{00000000-0005-0000-0000-000026080000}"/>
    <cellStyle name="Comma 2 8 2 6" xfId="19366" xr:uid="{00000000-0005-0000-0000-000027080000}"/>
    <cellStyle name="Comma 2 8 2 6 2" xfId="39418" xr:uid="{00000000-0005-0000-0000-000028080000}"/>
    <cellStyle name="Comma 2 8 2 7" xfId="19762" xr:uid="{00000000-0005-0000-0000-000029080000}"/>
    <cellStyle name="Comma 2 8 2 7 2" xfId="39814" xr:uid="{00000000-0005-0000-0000-00002A080000}"/>
    <cellStyle name="Comma 2 8 2 8" xfId="27599" xr:uid="{00000000-0005-0000-0000-00002B080000}"/>
    <cellStyle name="Comma 2 8 3" xfId="9016" xr:uid="{00000000-0005-0000-0000-00002C080000}"/>
    <cellStyle name="Comma 2 8 3 2" xfId="18046" xr:uid="{00000000-0005-0000-0000-00002D080000}"/>
    <cellStyle name="Comma 2 8 3 2 2" xfId="18442" xr:uid="{00000000-0005-0000-0000-00002E080000}"/>
    <cellStyle name="Comma 2 8 3 2 2 2" xfId="38494" xr:uid="{00000000-0005-0000-0000-00002F080000}"/>
    <cellStyle name="Comma 2 8 3 2 3" xfId="18838" xr:uid="{00000000-0005-0000-0000-000030080000}"/>
    <cellStyle name="Comma 2 8 3 2 3 2" xfId="38890" xr:uid="{00000000-0005-0000-0000-000031080000}"/>
    <cellStyle name="Comma 2 8 3 2 4" xfId="19234" xr:uid="{00000000-0005-0000-0000-000032080000}"/>
    <cellStyle name="Comma 2 8 3 2 4 2" xfId="39286" xr:uid="{00000000-0005-0000-0000-000033080000}"/>
    <cellStyle name="Comma 2 8 3 2 5" xfId="19630" xr:uid="{00000000-0005-0000-0000-000034080000}"/>
    <cellStyle name="Comma 2 8 3 2 5 2" xfId="39682" xr:uid="{00000000-0005-0000-0000-000035080000}"/>
    <cellStyle name="Comma 2 8 3 2 6" xfId="20026" xr:uid="{00000000-0005-0000-0000-000036080000}"/>
    <cellStyle name="Comma 2 8 3 2 6 2" xfId="40078" xr:uid="{00000000-0005-0000-0000-000037080000}"/>
    <cellStyle name="Comma 2 8 3 2 7" xfId="38098" xr:uid="{00000000-0005-0000-0000-000038080000}"/>
    <cellStyle name="Comma 2 8 3 3" xfId="18244" xr:uid="{00000000-0005-0000-0000-000039080000}"/>
    <cellStyle name="Comma 2 8 3 3 2" xfId="38296" xr:uid="{00000000-0005-0000-0000-00003A080000}"/>
    <cellStyle name="Comma 2 8 3 4" xfId="18640" xr:uid="{00000000-0005-0000-0000-00003B080000}"/>
    <cellStyle name="Comma 2 8 3 4 2" xfId="38692" xr:uid="{00000000-0005-0000-0000-00003C080000}"/>
    <cellStyle name="Comma 2 8 3 5" xfId="19036" xr:uid="{00000000-0005-0000-0000-00003D080000}"/>
    <cellStyle name="Comma 2 8 3 5 2" xfId="39088" xr:uid="{00000000-0005-0000-0000-00003E080000}"/>
    <cellStyle name="Comma 2 8 3 6" xfId="19432" xr:uid="{00000000-0005-0000-0000-00003F080000}"/>
    <cellStyle name="Comma 2 8 3 6 2" xfId="39484" xr:uid="{00000000-0005-0000-0000-000040080000}"/>
    <cellStyle name="Comma 2 8 3 7" xfId="19828" xr:uid="{00000000-0005-0000-0000-000041080000}"/>
    <cellStyle name="Comma 2 8 3 7 2" xfId="39880" xr:uid="{00000000-0005-0000-0000-000042080000}"/>
    <cellStyle name="Comma 2 8 3 8" xfId="29068" xr:uid="{00000000-0005-0000-0000-000043080000}"/>
    <cellStyle name="Comma 2 8 4" xfId="12095" xr:uid="{00000000-0005-0000-0000-000044080000}"/>
    <cellStyle name="Comma 2 8 4 2" xfId="18310" xr:uid="{00000000-0005-0000-0000-000045080000}"/>
    <cellStyle name="Comma 2 8 4 2 2" xfId="38362" xr:uid="{00000000-0005-0000-0000-000046080000}"/>
    <cellStyle name="Comma 2 8 4 3" xfId="18706" xr:uid="{00000000-0005-0000-0000-000047080000}"/>
    <cellStyle name="Comma 2 8 4 3 2" xfId="38758" xr:uid="{00000000-0005-0000-0000-000048080000}"/>
    <cellStyle name="Comma 2 8 4 4" xfId="19102" xr:uid="{00000000-0005-0000-0000-000049080000}"/>
    <cellStyle name="Comma 2 8 4 4 2" xfId="39154" xr:uid="{00000000-0005-0000-0000-00004A080000}"/>
    <cellStyle name="Comma 2 8 4 5" xfId="19498" xr:uid="{00000000-0005-0000-0000-00004B080000}"/>
    <cellStyle name="Comma 2 8 4 5 2" xfId="39550" xr:uid="{00000000-0005-0000-0000-00004C080000}"/>
    <cellStyle name="Comma 2 8 4 6" xfId="19894" xr:uid="{00000000-0005-0000-0000-00004D080000}"/>
    <cellStyle name="Comma 2 8 4 6 2" xfId="39946" xr:uid="{00000000-0005-0000-0000-00004E080000}"/>
    <cellStyle name="Comma 2 8 4 7" xfId="32147" xr:uid="{00000000-0005-0000-0000-00004F080000}"/>
    <cellStyle name="Comma 2 8 5" xfId="18112" xr:uid="{00000000-0005-0000-0000-000050080000}"/>
    <cellStyle name="Comma 2 8 5 2" xfId="38164" xr:uid="{00000000-0005-0000-0000-000051080000}"/>
    <cellStyle name="Comma 2 8 6" xfId="18508" xr:uid="{00000000-0005-0000-0000-000052080000}"/>
    <cellStyle name="Comma 2 8 6 2" xfId="38560" xr:uid="{00000000-0005-0000-0000-000053080000}"/>
    <cellStyle name="Comma 2 8 7" xfId="18904" xr:uid="{00000000-0005-0000-0000-000054080000}"/>
    <cellStyle name="Comma 2 8 7 2" xfId="38956" xr:uid="{00000000-0005-0000-0000-000055080000}"/>
    <cellStyle name="Comma 2 8 8" xfId="19300" xr:uid="{00000000-0005-0000-0000-000056080000}"/>
    <cellStyle name="Comma 2 8 8 2" xfId="39352" xr:uid="{00000000-0005-0000-0000-000057080000}"/>
    <cellStyle name="Comma 2 8 9" xfId="19696" xr:uid="{00000000-0005-0000-0000-000058080000}"/>
    <cellStyle name="Comma 2 8 9 2" xfId="39748" xr:uid="{00000000-0005-0000-0000-000059080000}"/>
    <cellStyle name="Comma 2 9" xfId="4559" xr:uid="{00000000-0005-0000-0000-00005A080000}"/>
    <cellStyle name="Comma 2 9 2" xfId="13589" xr:uid="{00000000-0005-0000-0000-00005B080000}"/>
    <cellStyle name="Comma 2 9 2 2" xfId="18332" xr:uid="{00000000-0005-0000-0000-00005C080000}"/>
    <cellStyle name="Comma 2 9 2 2 2" xfId="38384" xr:uid="{00000000-0005-0000-0000-00005D080000}"/>
    <cellStyle name="Comma 2 9 2 3" xfId="18728" xr:uid="{00000000-0005-0000-0000-00005E080000}"/>
    <cellStyle name="Comma 2 9 2 3 2" xfId="38780" xr:uid="{00000000-0005-0000-0000-00005F080000}"/>
    <cellStyle name="Comma 2 9 2 4" xfId="19124" xr:uid="{00000000-0005-0000-0000-000060080000}"/>
    <cellStyle name="Comma 2 9 2 4 2" xfId="39176" xr:uid="{00000000-0005-0000-0000-000061080000}"/>
    <cellStyle name="Comma 2 9 2 5" xfId="19520" xr:uid="{00000000-0005-0000-0000-000062080000}"/>
    <cellStyle name="Comma 2 9 2 5 2" xfId="39572" xr:uid="{00000000-0005-0000-0000-000063080000}"/>
    <cellStyle name="Comma 2 9 2 6" xfId="19916" xr:uid="{00000000-0005-0000-0000-000064080000}"/>
    <cellStyle name="Comma 2 9 2 6 2" xfId="39968" xr:uid="{00000000-0005-0000-0000-000065080000}"/>
    <cellStyle name="Comma 2 9 2 7" xfId="33641" xr:uid="{00000000-0005-0000-0000-000066080000}"/>
    <cellStyle name="Comma 2 9 3" xfId="18134" xr:uid="{00000000-0005-0000-0000-000067080000}"/>
    <cellStyle name="Comma 2 9 3 2" xfId="38186" xr:uid="{00000000-0005-0000-0000-000068080000}"/>
    <cellStyle name="Comma 2 9 4" xfId="18530" xr:uid="{00000000-0005-0000-0000-000069080000}"/>
    <cellStyle name="Comma 2 9 4 2" xfId="38582" xr:uid="{00000000-0005-0000-0000-00006A080000}"/>
    <cellStyle name="Comma 2 9 5" xfId="18926" xr:uid="{00000000-0005-0000-0000-00006B080000}"/>
    <cellStyle name="Comma 2 9 5 2" xfId="38978" xr:uid="{00000000-0005-0000-0000-00006C080000}"/>
    <cellStyle name="Comma 2 9 6" xfId="19322" xr:uid="{00000000-0005-0000-0000-00006D080000}"/>
    <cellStyle name="Comma 2 9 6 2" xfId="39374" xr:uid="{00000000-0005-0000-0000-00006E080000}"/>
    <cellStyle name="Comma 2 9 7" xfId="19718" xr:uid="{00000000-0005-0000-0000-00006F080000}"/>
    <cellStyle name="Comma 2 9 7 2" xfId="39770" xr:uid="{00000000-0005-0000-0000-000070080000}"/>
    <cellStyle name="Comma 2 9 8" xfId="24611" xr:uid="{00000000-0005-0000-0000-000071080000}"/>
    <cellStyle name="Comma 3" xfId="101" xr:uid="{00000000-0005-0000-0000-000072080000}"/>
    <cellStyle name="Comma 3 10" xfId="8973" xr:uid="{00000000-0005-0000-0000-000073080000}"/>
    <cellStyle name="Comma 3 10 2" xfId="18003" xr:uid="{00000000-0005-0000-0000-000074080000}"/>
    <cellStyle name="Comma 3 10 2 2" xfId="18399" xr:uid="{00000000-0005-0000-0000-000075080000}"/>
    <cellStyle name="Comma 3 10 2 2 2" xfId="38451" xr:uid="{00000000-0005-0000-0000-000076080000}"/>
    <cellStyle name="Comma 3 10 2 3" xfId="18795" xr:uid="{00000000-0005-0000-0000-000077080000}"/>
    <cellStyle name="Comma 3 10 2 3 2" xfId="38847" xr:uid="{00000000-0005-0000-0000-000078080000}"/>
    <cellStyle name="Comma 3 10 2 4" xfId="19191" xr:uid="{00000000-0005-0000-0000-000079080000}"/>
    <cellStyle name="Comma 3 10 2 4 2" xfId="39243" xr:uid="{00000000-0005-0000-0000-00007A080000}"/>
    <cellStyle name="Comma 3 10 2 5" xfId="19587" xr:uid="{00000000-0005-0000-0000-00007B080000}"/>
    <cellStyle name="Comma 3 10 2 5 2" xfId="39639" xr:uid="{00000000-0005-0000-0000-00007C080000}"/>
    <cellStyle name="Comma 3 10 2 6" xfId="19983" xr:uid="{00000000-0005-0000-0000-00007D080000}"/>
    <cellStyle name="Comma 3 10 2 6 2" xfId="40035" xr:uid="{00000000-0005-0000-0000-00007E080000}"/>
    <cellStyle name="Comma 3 10 2 7" xfId="38055" xr:uid="{00000000-0005-0000-0000-00007F080000}"/>
    <cellStyle name="Comma 3 10 3" xfId="18201" xr:uid="{00000000-0005-0000-0000-000080080000}"/>
    <cellStyle name="Comma 3 10 3 2" xfId="38253" xr:uid="{00000000-0005-0000-0000-000081080000}"/>
    <cellStyle name="Comma 3 10 4" xfId="18597" xr:uid="{00000000-0005-0000-0000-000082080000}"/>
    <cellStyle name="Comma 3 10 4 2" xfId="38649" xr:uid="{00000000-0005-0000-0000-000083080000}"/>
    <cellStyle name="Comma 3 10 5" xfId="18993" xr:uid="{00000000-0005-0000-0000-000084080000}"/>
    <cellStyle name="Comma 3 10 5 2" xfId="39045" xr:uid="{00000000-0005-0000-0000-000085080000}"/>
    <cellStyle name="Comma 3 10 6" xfId="19389" xr:uid="{00000000-0005-0000-0000-000086080000}"/>
    <cellStyle name="Comma 3 10 6 2" xfId="39441" xr:uid="{00000000-0005-0000-0000-000087080000}"/>
    <cellStyle name="Comma 3 10 7" xfId="19785" xr:uid="{00000000-0005-0000-0000-000088080000}"/>
    <cellStyle name="Comma 3 10 7 2" xfId="39837" xr:uid="{00000000-0005-0000-0000-000089080000}"/>
    <cellStyle name="Comma 3 10 8" xfId="29025" xr:uid="{00000000-0005-0000-0000-00008A080000}"/>
    <cellStyle name="Comma 3 11" xfId="9131" xr:uid="{00000000-0005-0000-0000-00008B080000}"/>
    <cellStyle name="Comma 3 11 2" xfId="18267" xr:uid="{00000000-0005-0000-0000-00008C080000}"/>
    <cellStyle name="Comma 3 11 2 2" xfId="38319" xr:uid="{00000000-0005-0000-0000-00008D080000}"/>
    <cellStyle name="Comma 3 11 3" xfId="18663" xr:uid="{00000000-0005-0000-0000-00008E080000}"/>
    <cellStyle name="Comma 3 11 3 2" xfId="38715" xr:uid="{00000000-0005-0000-0000-00008F080000}"/>
    <cellStyle name="Comma 3 11 4" xfId="19059" xr:uid="{00000000-0005-0000-0000-000090080000}"/>
    <cellStyle name="Comma 3 11 4 2" xfId="39111" xr:uid="{00000000-0005-0000-0000-000091080000}"/>
    <cellStyle name="Comma 3 11 5" xfId="19455" xr:uid="{00000000-0005-0000-0000-000092080000}"/>
    <cellStyle name="Comma 3 11 5 2" xfId="39507" xr:uid="{00000000-0005-0000-0000-000093080000}"/>
    <cellStyle name="Comma 3 11 6" xfId="19851" xr:uid="{00000000-0005-0000-0000-000094080000}"/>
    <cellStyle name="Comma 3 11 6 2" xfId="39903" xr:uid="{00000000-0005-0000-0000-000095080000}"/>
    <cellStyle name="Comma 3 11 7" xfId="29183" xr:uid="{00000000-0005-0000-0000-000096080000}"/>
    <cellStyle name="Comma 3 12" xfId="18069" xr:uid="{00000000-0005-0000-0000-000097080000}"/>
    <cellStyle name="Comma 3 12 2" xfId="38121" xr:uid="{00000000-0005-0000-0000-000098080000}"/>
    <cellStyle name="Comma 3 13" xfId="18465" xr:uid="{00000000-0005-0000-0000-000099080000}"/>
    <cellStyle name="Comma 3 13 2" xfId="38517" xr:uid="{00000000-0005-0000-0000-00009A080000}"/>
    <cellStyle name="Comma 3 14" xfId="18861" xr:uid="{00000000-0005-0000-0000-00009B080000}"/>
    <cellStyle name="Comma 3 14 2" xfId="38913" xr:uid="{00000000-0005-0000-0000-00009C080000}"/>
    <cellStyle name="Comma 3 15" xfId="19257" xr:uid="{00000000-0005-0000-0000-00009D080000}"/>
    <cellStyle name="Comma 3 15 2" xfId="39309" xr:uid="{00000000-0005-0000-0000-00009E080000}"/>
    <cellStyle name="Comma 3 16" xfId="19653" xr:uid="{00000000-0005-0000-0000-00009F080000}"/>
    <cellStyle name="Comma 3 16 2" xfId="39705" xr:uid="{00000000-0005-0000-0000-0000A0080000}"/>
    <cellStyle name="Comma 3 17" xfId="20153" xr:uid="{00000000-0005-0000-0000-0000A1080000}"/>
    <cellStyle name="Comma 3 2" xfId="287" xr:uid="{00000000-0005-0000-0000-0000A2080000}"/>
    <cellStyle name="Comma 3 2 10" xfId="18863" xr:uid="{00000000-0005-0000-0000-0000A3080000}"/>
    <cellStyle name="Comma 3 2 10 2" xfId="38915" xr:uid="{00000000-0005-0000-0000-0000A4080000}"/>
    <cellStyle name="Comma 3 2 11" xfId="19259" xr:uid="{00000000-0005-0000-0000-0000A5080000}"/>
    <cellStyle name="Comma 3 2 11 2" xfId="39311" xr:uid="{00000000-0005-0000-0000-0000A6080000}"/>
    <cellStyle name="Comma 3 2 12" xfId="19655" xr:uid="{00000000-0005-0000-0000-0000A7080000}"/>
    <cellStyle name="Comma 3 2 12 2" xfId="39707" xr:uid="{00000000-0005-0000-0000-0000A8080000}"/>
    <cellStyle name="Comma 3 2 13" xfId="20339" xr:uid="{00000000-0005-0000-0000-0000A9080000}"/>
    <cellStyle name="Comma 3 2 2" xfId="1126" xr:uid="{00000000-0005-0000-0000-0000AA080000}"/>
    <cellStyle name="Comma 3 2 2 10" xfId="19270" xr:uid="{00000000-0005-0000-0000-0000AB080000}"/>
    <cellStyle name="Comma 3 2 2 10 2" xfId="39322" xr:uid="{00000000-0005-0000-0000-0000AC080000}"/>
    <cellStyle name="Comma 3 2 2 11" xfId="19666" xr:uid="{00000000-0005-0000-0000-0000AD080000}"/>
    <cellStyle name="Comma 3 2 2 11 2" xfId="39718" xr:uid="{00000000-0005-0000-0000-0000AE080000}"/>
    <cellStyle name="Comma 3 2 2 12" xfId="21178" xr:uid="{00000000-0005-0000-0000-0000AF080000}"/>
    <cellStyle name="Comma 3 2 2 2" xfId="2620" xr:uid="{00000000-0005-0000-0000-0000B0080000}"/>
    <cellStyle name="Comma 3 2 2 2 10" xfId="22672" xr:uid="{00000000-0005-0000-0000-0000B1080000}"/>
    <cellStyle name="Comma 3 2 2 2 2" xfId="7102" xr:uid="{00000000-0005-0000-0000-0000B2080000}"/>
    <cellStyle name="Comma 3 2 2 2 2 2" xfId="16132" xr:uid="{00000000-0005-0000-0000-0000B3080000}"/>
    <cellStyle name="Comma 3 2 2 2 2 2 2" xfId="18368" xr:uid="{00000000-0005-0000-0000-0000B4080000}"/>
    <cellStyle name="Comma 3 2 2 2 2 2 2 2" xfId="38420" xr:uid="{00000000-0005-0000-0000-0000B5080000}"/>
    <cellStyle name="Comma 3 2 2 2 2 2 3" xfId="18764" xr:uid="{00000000-0005-0000-0000-0000B6080000}"/>
    <cellStyle name="Comma 3 2 2 2 2 2 3 2" xfId="38816" xr:uid="{00000000-0005-0000-0000-0000B7080000}"/>
    <cellStyle name="Comma 3 2 2 2 2 2 4" xfId="19160" xr:uid="{00000000-0005-0000-0000-0000B8080000}"/>
    <cellStyle name="Comma 3 2 2 2 2 2 4 2" xfId="39212" xr:uid="{00000000-0005-0000-0000-0000B9080000}"/>
    <cellStyle name="Comma 3 2 2 2 2 2 5" xfId="19556" xr:uid="{00000000-0005-0000-0000-0000BA080000}"/>
    <cellStyle name="Comma 3 2 2 2 2 2 5 2" xfId="39608" xr:uid="{00000000-0005-0000-0000-0000BB080000}"/>
    <cellStyle name="Comma 3 2 2 2 2 2 6" xfId="19952" xr:uid="{00000000-0005-0000-0000-0000BC080000}"/>
    <cellStyle name="Comma 3 2 2 2 2 2 6 2" xfId="40004" xr:uid="{00000000-0005-0000-0000-0000BD080000}"/>
    <cellStyle name="Comma 3 2 2 2 2 2 7" xfId="36184" xr:uid="{00000000-0005-0000-0000-0000BE080000}"/>
    <cellStyle name="Comma 3 2 2 2 2 3" xfId="18170" xr:uid="{00000000-0005-0000-0000-0000BF080000}"/>
    <cellStyle name="Comma 3 2 2 2 2 3 2" xfId="38222" xr:uid="{00000000-0005-0000-0000-0000C0080000}"/>
    <cellStyle name="Comma 3 2 2 2 2 4" xfId="18566" xr:uid="{00000000-0005-0000-0000-0000C1080000}"/>
    <cellStyle name="Comma 3 2 2 2 2 4 2" xfId="38618" xr:uid="{00000000-0005-0000-0000-0000C2080000}"/>
    <cellStyle name="Comma 3 2 2 2 2 5" xfId="18962" xr:uid="{00000000-0005-0000-0000-0000C3080000}"/>
    <cellStyle name="Comma 3 2 2 2 2 5 2" xfId="39014" xr:uid="{00000000-0005-0000-0000-0000C4080000}"/>
    <cellStyle name="Comma 3 2 2 2 2 6" xfId="19358" xr:uid="{00000000-0005-0000-0000-0000C5080000}"/>
    <cellStyle name="Comma 3 2 2 2 2 6 2" xfId="39410" xr:uid="{00000000-0005-0000-0000-0000C6080000}"/>
    <cellStyle name="Comma 3 2 2 2 2 7" xfId="19754" xr:uid="{00000000-0005-0000-0000-0000C7080000}"/>
    <cellStyle name="Comma 3 2 2 2 2 7 2" xfId="39806" xr:uid="{00000000-0005-0000-0000-0000C8080000}"/>
    <cellStyle name="Comma 3 2 2 2 2 8" xfId="27154" xr:uid="{00000000-0005-0000-0000-0000C9080000}"/>
    <cellStyle name="Comma 3 2 2 2 3" xfId="9008" xr:uid="{00000000-0005-0000-0000-0000CA080000}"/>
    <cellStyle name="Comma 3 2 2 2 3 2" xfId="18038" xr:uid="{00000000-0005-0000-0000-0000CB080000}"/>
    <cellStyle name="Comma 3 2 2 2 3 2 2" xfId="18434" xr:uid="{00000000-0005-0000-0000-0000CC080000}"/>
    <cellStyle name="Comma 3 2 2 2 3 2 2 2" xfId="38486" xr:uid="{00000000-0005-0000-0000-0000CD080000}"/>
    <cellStyle name="Comma 3 2 2 2 3 2 3" xfId="18830" xr:uid="{00000000-0005-0000-0000-0000CE080000}"/>
    <cellStyle name="Comma 3 2 2 2 3 2 3 2" xfId="38882" xr:uid="{00000000-0005-0000-0000-0000CF080000}"/>
    <cellStyle name="Comma 3 2 2 2 3 2 4" xfId="19226" xr:uid="{00000000-0005-0000-0000-0000D0080000}"/>
    <cellStyle name="Comma 3 2 2 2 3 2 4 2" xfId="39278" xr:uid="{00000000-0005-0000-0000-0000D1080000}"/>
    <cellStyle name="Comma 3 2 2 2 3 2 5" xfId="19622" xr:uid="{00000000-0005-0000-0000-0000D2080000}"/>
    <cellStyle name="Comma 3 2 2 2 3 2 5 2" xfId="39674" xr:uid="{00000000-0005-0000-0000-0000D3080000}"/>
    <cellStyle name="Comma 3 2 2 2 3 2 6" xfId="20018" xr:uid="{00000000-0005-0000-0000-0000D4080000}"/>
    <cellStyle name="Comma 3 2 2 2 3 2 6 2" xfId="40070" xr:uid="{00000000-0005-0000-0000-0000D5080000}"/>
    <cellStyle name="Comma 3 2 2 2 3 2 7" xfId="38090" xr:uid="{00000000-0005-0000-0000-0000D6080000}"/>
    <cellStyle name="Comma 3 2 2 2 3 3" xfId="18236" xr:uid="{00000000-0005-0000-0000-0000D7080000}"/>
    <cellStyle name="Comma 3 2 2 2 3 3 2" xfId="38288" xr:uid="{00000000-0005-0000-0000-0000D8080000}"/>
    <cellStyle name="Comma 3 2 2 2 3 4" xfId="18632" xr:uid="{00000000-0005-0000-0000-0000D9080000}"/>
    <cellStyle name="Comma 3 2 2 2 3 4 2" xfId="38684" xr:uid="{00000000-0005-0000-0000-0000DA080000}"/>
    <cellStyle name="Comma 3 2 2 2 3 5" xfId="19028" xr:uid="{00000000-0005-0000-0000-0000DB080000}"/>
    <cellStyle name="Comma 3 2 2 2 3 5 2" xfId="39080" xr:uid="{00000000-0005-0000-0000-0000DC080000}"/>
    <cellStyle name="Comma 3 2 2 2 3 6" xfId="19424" xr:uid="{00000000-0005-0000-0000-0000DD080000}"/>
    <cellStyle name="Comma 3 2 2 2 3 6 2" xfId="39476" xr:uid="{00000000-0005-0000-0000-0000DE080000}"/>
    <cellStyle name="Comma 3 2 2 2 3 7" xfId="19820" xr:uid="{00000000-0005-0000-0000-0000DF080000}"/>
    <cellStyle name="Comma 3 2 2 2 3 7 2" xfId="39872" xr:uid="{00000000-0005-0000-0000-0000E0080000}"/>
    <cellStyle name="Comma 3 2 2 2 3 8" xfId="29060" xr:uid="{00000000-0005-0000-0000-0000E1080000}"/>
    <cellStyle name="Comma 3 2 2 2 4" xfId="11650" xr:uid="{00000000-0005-0000-0000-0000E2080000}"/>
    <cellStyle name="Comma 3 2 2 2 4 2" xfId="18302" xr:uid="{00000000-0005-0000-0000-0000E3080000}"/>
    <cellStyle name="Comma 3 2 2 2 4 2 2" xfId="38354" xr:uid="{00000000-0005-0000-0000-0000E4080000}"/>
    <cellStyle name="Comma 3 2 2 2 4 3" xfId="18698" xr:uid="{00000000-0005-0000-0000-0000E5080000}"/>
    <cellStyle name="Comma 3 2 2 2 4 3 2" xfId="38750" xr:uid="{00000000-0005-0000-0000-0000E6080000}"/>
    <cellStyle name="Comma 3 2 2 2 4 4" xfId="19094" xr:uid="{00000000-0005-0000-0000-0000E7080000}"/>
    <cellStyle name="Comma 3 2 2 2 4 4 2" xfId="39146" xr:uid="{00000000-0005-0000-0000-0000E8080000}"/>
    <cellStyle name="Comma 3 2 2 2 4 5" xfId="19490" xr:uid="{00000000-0005-0000-0000-0000E9080000}"/>
    <cellStyle name="Comma 3 2 2 2 4 5 2" xfId="39542" xr:uid="{00000000-0005-0000-0000-0000EA080000}"/>
    <cellStyle name="Comma 3 2 2 2 4 6" xfId="19886" xr:uid="{00000000-0005-0000-0000-0000EB080000}"/>
    <cellStyle name="Comma 3 2 2 2 4 6 2" xfId="39938" xr:uid="{00000000-0005-0000-0000-0000EC080000}"/>
    <cellStyle name="Comma 3 2 2 2 4 7" xfId="31702" xr:uid="{00000000-0005-0000-0000-0000ED080000}"/>
    <cellStyle name="Comma 3 2 2 2 5" xfId="18104" xr:uid="{00000000-0005-0000-0000-0000EE080000}"/>
    <cellStyle name="Comma 3 2 2 2 5 2" xfId="38156" xr:uid="{00000000-0005-0000-0000-0000EF080000}"/>
    <cellStyle name="Comma 3 2 2 2 6" xfId="18500" xr:uid="{00000000-0005-0000-0000-0000F0080000}"/>
    <cellStyle name="Comma 3 2 2 2 6 2" xfId="38552" xr:uid="{00000000-0005-0000-0000-0000F1080000}"/>
    <cellStyle name="Comma 3 2 2 2 7" xfId="18896" xr:uid="{00000000-0005-0000-0000-0000F2080000}"/>
    <cellStyle name="Comma 3 2 2 2 7 2" xfId="38948" xr:uid="{00000000-0005-0000-0000-0000F3080000}"/>
    <cellStyle name="Comma 3 2 2 2 8" xfId="19292" xr:uid="{00000000-0005-0000-0000-0000F4080000}"/>
    <cellStyle name="Comma 3 2 2 2 8 2" xfId="39344" xr:uid="{00000000-0005-0000-0000-0000F5080000}"/>
    <cellStyle name="Comma 3 2 2 2 9" xfId="19688" xr:uid="{00000000-0005-0000-0000-0000F6080000}"/>
    <cellStyle name="Comma 3 2 2 2 9 2" xfId="39740" xr:uid="{00000000-0005-0000-0000-0000F7080000}"/>
    <cellStyle name="Comma 3 2 2 3" xfId="4114" xr:uid="{00000000-0005-0000-0000-0000F8080000}"/>
    <cellStyle name="Comma 3 2 2 3 10" xfId="24166" xr:uid="{00000000-0005-0000-0000-0000F9080000}"/>
    <cellStyle name="Comma 3 2 2 3 2" xfId="8596" xr:uid="{00000000-0005-0000-0000-0000FA080000}"/>
    <cellStyle name="Comma 3 2 2 3 2 2" xfId="17626" xr:uid="{00000000-0005-0000-0000-0000FB080000}"/>
    <cellStyle name="Comma 3 2 2 3 2 2 2" xfId="18390" xr:uid="{00000000-0005-0000-0000-0000FC080000}"/>
    <cellStyle name="Comma 3 2 2 3 2 2 2 2" xfId="38442" xr:uid="{00000000-0005-0000-0000-0000FD080000}"/>
    <cellStyle name="Comma 3 2 2 3 2 2 3" xfId="18786" xr:uid="{00000000-0005-0000-0000-0000FE080000}"/>
    <cellStyle name="Comma 3 2 2 3 2 2 3 2" xfId="38838" xr:uid="{00000000-0005-0000-0000-0000FF080000}"/>
    <cellStyle name="Comma 3 2 2 3 2 2 4" xfId="19182" xr:uid="{00000000-0005-0000-0000-000000090000}"/>
    <cellStyle name="Comma 3 2 2 3 2 2 4 2" xfId="39234" xr:uid="{00000000-0005-0000-0000-000001090000}"/>
    <cellStyle name="Comma 3 2 2 3 2 2 5" xfId="19578" xr:uid="{00000000-0005-0000-0000-000002090000}"/>
    <cellStyle name="Comma 3 2 2 3 2 2 5 2" xfId="39630" xr:uid="{00000000-0005-0000-0000-000003090000}"/>
    <cellStyle name="Comma 3 2 2 3 2 2 6" xfId="19974" xr:uid="{00000000-0005-0000-0000-000004090000}"/>
    <cellStyle name="Comma 3 2 2 3 2 2 6 2" xfId="40026" xr:uid="{00000000-0005-0000-0000-000005090000}"/>
    <cellStyle name="Comma 3 2 2 3 2 2 7" xfId="37678" xr:uid="{00000000-0005-0000-0000-000006090000}"/>
    <cellStyle name="Comma 3 2 2 3 2 3" xfId="18192" xr:uid="{00000000-0005-0000-0000-000007090000}"/>
    <cellStyle name="Comma 3 2 2 3 2 3 2" xfId="38244" xr:uid="{00000000-0005-0000-0000-000008090000}"/>
    <cellStyle name="Comma 3 2 2 3 2 4" xfId="18588" xr:uid="{00000000-0005-0000-0000-000009090000}"/>
    <cellStyle name="Comma 3 2 2 3 2 4 2" xfId="38640" xr:uid="{00000000-0005-0000-0000-00000A090000}"/>
    <cellStyle name="Comma 3 2 2 3 2 5" xfId="18984" xr:uid="{00000000-0005-0000-0000-00000B090000}"/>
    <cellStyle name="Comma 3 2 2 3 2 5 2" xfId="39036" xr:uid="{00000000-0005-0000-0000-00000C090000}"/>
    <cellStyle name="Comma 3 2 2 3 2 6" xfId="19380" xr:uid="{00000000-0005-0000-0000-00000D090000}"/>
    <cellStyle name="Comma 3 2 2 3 2 6 2" xfId="39432" xr:uid="{00000000-0005-0000-0000-00000E090000}"/>
    <cellStyle name="Comma 3 2 2 3 2 7" xfId="19776" xr:uid="{00000000-0005-0000-0000-00000F090000}"/>
    <cellStyle name="Comma 3 2 2 3 2 7 2" xfId="39828" xr:uid="{00000000-0005-0000-0000-000010090000}"/>
    <cellStyle name="Comma 3 2 2 3 2 8" xfId="28648" xr:uid="{00000000-0005-0000-0000-000011090000}"/>
    <cellStyle name="Comma 3 2 2 3 3" xfId="9030" xr:uid="{00000000-0005-0000-0000-000012090000}"/>
    <cellStyle name="Comma 3 2 2 3 3 2" xfId="18060" xr:uid="{00000000-0005-0000-0000-000013090000}"/>
    <cellStyle name="Comma 3 2 2 3 3 2 2" xfId="18456" xr:uid="{00000000-0005-0000-0000-000014090000}"/>
    <cellStyle name="Comma 3 2 2 3 3 2 2 2" xfId="38508" xr:uid="{00000000-0005-0000-0000-000015090000}"/>
    <cellStyle name="Comma 3 2 2 3 3 2 3" xfId="18852" xr:uid="{00000000-0005-0000-0000-000016090000}"/>
    <cellStyle name="Comma 3 2 2 3 3 2 3 2" xfId="38904" xr:uid="{00000000-0005-0000-0000-000017090000}"/>
    <cellStyle name="Comma 3 2 2 3 3 2 4" xfId="19248" xr:uid="{00000000-0005-0000-0000-000018090000}"/>
    <cellStyle name="Comma 3 2 2 3 3 2 4 2" xfId="39300" xr:uid="{00000000-0005-0000-0000-000019090000}"/>
    <cellStyle name="Comma 3 2 2 3 3 2 5" xfId="19644" xr:uid="{00000000-0005-0000-0000-00001A090000}"/>
    <cellStyle name="Comma 3 2 2 3 3 2 5 2" xfId="39696" xr:uid="{00000000-0005-0000-0000-00001B090000}"/>
    <cellStyle name="Comma 3 2 2 3 3 2 6" xfId="20040" xr:uid="{00000000-0005-0000-0000-00001C090000}"/>
    <cellStyle name="Comma 3 2 2 3 3 2 6 2" xfId="40092" xr:uid="{00000000-0005-0000-0000-00001D090000}"/>
    <cellStyle name="Comma 3 2 2 3 3 2 7" xfId="38112" xr:uid="{00000000-0005-0000-0000-00001E090000}"/>
    <cellStyle name="Comma 3 2 2 3 3 3" xfId="18258" xr:uid="{00000000-0005-0000-0000-00001F090000}"/>
    <cellStyle name="Comma 3 2 2 3 3 3 2" xfId="38310" xr:uid="{00000000-0005-0000-0000-000020090000}"/>
    <cellStyle name="Comma 3 2 2 3 3 4" xfId="18654" xr:uid="{00000000-0005-0000-0000-000021090000}"/>
    <cellStyle name="Comma 3 2 2 3 3 4 2" xfId="38706" xr:uid="{00000000-0005-0000-0000-000022090000}"/>
    <cellStyle name="Comma 3 2 2 3 3 5" xfId="19050" xr:uid="{00000000-0005-0000-0000-000023090000}"/>
    <cellStyle name="Comma 3 2 2 3 3 5 2" xfId="39102" xr:uid="{00000000-0005-0000-0000-000024090000}"/>
    <cellStyle name="Comma 3 2 2 3 3 6" xfId="19446" xr:uid="{00000000-0005-0000-0000-000025090000}"/>
    <cellStyle name="Comma 3 2 2 3 3 6 2" xfId="39498" xr:uid="{00000000-0005-0000-0000-000026090000}"/>
    <cellStyle name="Comma 3 2 2 3 3 7" xfId="19842" xr:uid="{00000000-0005-0000-0000-000027090000}"/>
    <cellStyle name="Comma 3 2 2 3 3 7 2" xfId="39894" xr:uid="{00000000-0005-0000-0000-000028090000}"/>
    <cellStyle name="Comma 3 2 2 3 3 8" xfId="29082" xr:uid="{00000000-0005-0000-0000-000029090000}"/>
    <cellStyle name="Comma 3 2 2 3 4" xfId="13144" xr:uid="{00000000-0005-0000-0000-00002A090000}"/>
    <cellStyle name="Comma 3 2 2 3 4 2" xfId="18324" xr:uid="{00000000-0005-0000-0000-00002B090000}"/>
    <cellStyle name="Comma 3 2 2 3 4 2 2" xfId="38376" xr:uid="{00000000-0005-0000-0000-00002C090000}"/>
    <cellStyle name="Comma 3 2 2 3 4 3" xfId="18720" xr:uid="{00000000-0005-0000-0000-00002D090000}"/>
    <cellStyle name="Comma 3 2 2 3 4 3 2" xfId="38772" xr:uid="{00000000-0005-0000-0000-00002E090000}"/>
    <cellStyle name="Comma 3 2 2 3 4 4" xfId="19116" xr:uid="{00000000-0005-0000-0000-00002F090000}"/>
    <cellStyle name="Comma 3 2 2 3 4 4 2" xfId="39168" xr:uid="{00000000-0005-0000-0000-000030090000}"/>
    <cellStyle name="Comma 3 2 2 3 4 5" xfId="19512" xr:uid="{00000000-0005-0000-0000-000031090000}"/>
    <cellStyle name="Comma 3 2 2 3 4 5 2" xfId="39564" xr:uid="{00000000-0005-0000-0000-000032090000}"/>
    <cellStyle name="Comma 3 2 2 3 4 6" xfId="19908" xr:uid="{00000000-0005-0000-0000-000033090000}"/>
    <cellStyle name="Comma 3 2 2 3 4 6 2" xfId="39960" xr:uid="{00000000-0005-0000-0000-000034090000}"/>
    <cellStyle name="Comma 3 2 2 3 4 7" xfId="33196" xr:uid="{00000000-0005-0000-0000-000035090000}"/>
    <cellStyle name="Comma 3 2 2 3 5" xfId="18126" xr:uid="{00000000-0005-0000-0000-000036090000}"/>
    <cellStyle name="Comma 3 2 2 3 5 2" xfId="38178" xr:uid="{00000000-0005-0000-0000-000037090000}"/>
    <cellStyle name="Comma 3 2 2 3 6" xfId="18522" xr:uid="{00000000-0005-0000-0000-000038090000}"/>
    <cellStyle name="Comma 3 2 2 3 6 2" xfId="38574" xr:uid="{00000000-0005-0000-0000-000039090000}"/>
    <cellStyle name="Comma 3 2 2 3 7" xfId="18918" xr:uid="{00000000-0005-0000-0000-00003A090000}"/>
    <cellStyle name="Comma 3 2 2 3 7 2" xfId="38970" xr:uid="{00000000-0005-0000-0000-00003B090000}"/>
    <cellStyle name="Comma 3 2 2 3 8" xfId="19314" xr:uid="{00000000-0005-0000-0000-00003C090000}"/>
    <cellStyle name="Comma 3 2 2 3 8 2" xfId="39366" xr:uid="{00000000-0005-0000-0000-00003D090000}"/>
    <cellStyle name="Comma 3 2 2 3 9" xfId="19710" xr:uid="{00000000-0005-0000-0000-00003E090000}"/>
    <cellStyle name="Comma 3 2 2 3 9 2" xfId="39762" xr:uid="{00000000-0005-0000-0000-00003F090000}"/>
    <cellStyle name="Comma 3 2 2 4" xfId="5608" xr:uid="{00000000-0005-0000-0000-000040090000}"/>
    <cellStyle name="Comma 3 2 2 4 2" xfId="14638" xr:uid="{00000000-0005-0000-0000-000041090000}"/>
    <cellStyle name="Comma 3 2 2 4 2 2" xfId="18346" xr:uid="{00000000-0005-0000-0000-000042090000}"/>
    <cellStyle name="Comma 3 2 2 4 2 2 2" xfId="38398" xr:uid="{00000000-0005-0000-0000-000043090000}"/>
    <cellStyle name="Comma 3 2 2 4 2 3" xfId="18742" xr:uid="{00000000-0005-0000-0000-000044090000}"/>
    <cellStyle name="Comma 3 2 2 4 2 3 2" xfId="38794" xr:uid="{00000000-0005-0000-0000-000045090000}"/>
    <cellStyle name="Comma 3 2 2 4 2 4" xfId="19138" xr:uid="{00000000-0005-0000-0000-000046090000}"/>
    <cellStyle name="Comma 3 2 2 4 2 4 2" xfId="39190" xr:uid="{00000000-0005-0000-0000-000047090000}"/>
    <cellStyle name="Comma 3 2 2 4 2 5" xfId="19534" xr:uid="{00000000-0005-0000-0000-000048090000}"/>
    <cellStyle name="Comma 3 2 2 4 2 5 2" xfId="39586" xr:uid="{00000000-0005-0000-0000-000049090000}"/>
    <cellStyle name="Comma 3 2 2 4 2 6" xfId="19930" xr:uid="{00000000-0005-0000-0000-00004A090000}"/>
    <cellStyle name="Comma 3 2 2 4 2 6 2" xfId="39982" xr:uid="{00000000-0005-0000-0000-00004B090000}"/>
    <cellStyle name="Comma 3 2 2 4 2 7" xfId="34690" xr:uid="{00000000-0005-0000-0000-00004C090000}"/>
    <cellStyle name="Comma 3 2 2 4 3" xfId="18148" xr:uid="{00000000-0005-0000-0000-00004D090000}"/>
    <cellStyle name="Comma 3 2 2 4 3 2" xfId="38200" xr:uid="{00000000-0005-0000-0000-00004E090000}"/>
    <cellStyle name="Comma 3 2 2 4 4" xfId="18544" xr:uid="{00000000-0005-0000-0000-00004F090000}"/>
    <cellStyle name="Comma 3 2 2 4 4 2" xfId="38596" xr:uid="{00000000-0005-0000-0000-000050090000}"/>
    <cellStyle name="Comma 3 2 2 4 5" xfId="18940" xr:uid="{00000000-0005-0000-0000-000051090000}"/>
    <cellStyle name="Comma 3 2 2 4 5 2" xfId="38992" xr:uid="{00000000-0005-0000-0000-000052090000}"/>
    <cellStyle name="Comma 3 2 2 4 6" xfId="19336" xr:uid="{00000000-0005-0000-0000-000053090000}"/>
    <cellStyle name="Comma 3 2 2 4 6 2" xfId="39388" xr:uid="{00000000-0005-0000-0000-000054090000}"/>
    <cellStyle name="Comma 3 2 2 4 7" xfId="19732" xr:uid="{00000000-0005-0000-0000-000055090000}"/>
    <cellStyle name="Comma 3 2 2 4 7 2" xfId="39784" xr:uid="{00000000-0005-0000-0000-000056090000}"/>
    <cellStyle name="Comma 3 2 2 4 8" xfId="25660" xr:uid="{00000000-0005-0000-0000-000057090000}"/>
    <cellStyle name="Comma 3 2 2 5" xfId="8986" xr:uid="{00000000-0005-0000-0000-000058090000}"/>
    <cellStyle name="Comma 3 2 2 5 2" xfId="18016" xr:uid="{00000000-0005-0000-0000-000059090000}"/>
    <cellStyle name="Comma 3 2 2 5 2 2" xfId="18412" xr:uid="{00000000-0005-0000-0000-00005A090000}"/>
    <cellStyle name="Comma 3 2 2 5 2 2 2" xfId="38464" xr:uid="{00000000-0005-0000-0000-00005B090000}"/>
    <cellStyle name="Comma 3 2 2 5 2 3" xfId="18808" xr:uid="{00000000-0005-0000-0000-00005C090000}"/>
    <cellStyle name="Comma 3 2 2 5 2 3 2" xfId="38860" xr:uid="{00000000-0005-0000-0000-00005D090000}"/>
    <cellStyle name="Comma 3 2 2 5 2 4" xfId="19204" xr:uid="{00000000-0005-0000-0000-00005E090000}"/>
    <cellStyle name="Comma 3 2 2 5 2 4 2" xfId="39256" xr:uid="{00000000-0005-0000-0000-00005F090000}"/>
    <cellStyle name="Comma 3 2 2 5 2 5" xfId="19600" xr:uid="{00000000-0005-0000-0000-000060090000}"/>
    <cellStyle name="Comma 3 2 2 5 2 5 2" xfId="39652" xr:uid="{00000000-0005-0000-0000-000061090000}"/>
    <cellStyle name="Comma 3 2 2 5 2 6" xfId="19996" xr:uid="{00000000-0005-0000-0000-000062090000}"/>
    <cellStyle name="Comma 3 2 2 5 2 6 2" xfId="40048" xr:uid="{00000000-0005-0000-0000-000063090000}"/>
    <cellStyle name="Comma 3 2 2 5 2 7" xfId="38068" xr:uid="{00000000-0005-0000-0000-000064090000}"/>
    <cellStyle name="Comma 3 2 2 5 3" xfId="18214" xr:uid="{00000000-0005-0000-0000-000065090000}"/>
    <cellStyle name="Comma 3 2 2 5 3 2" xfId="38266" xr:uid="{00000000-0005-0000-0000-000066090000}"/>
    <cellStyle name="Comma 3 2 2 5 4" xfId="18610" xr:uid="{00000000-0005-0000-0000-000067090000}"/>
    <cellStyle name="Comma 3 2 2 5 4 2" xfId="38662" xr:uid="{00000000-0005-0000-0000-000068090000}"/>
    <cellStyle name="Comma 3 2 2 5 5" xfId="19006" xr:uid="{00000000-0005-0000-0000-000069090000}"/>
    <cellStyle name="Comma 3 2 2 5 5 2" xfId="39058" xr:uid="{00000000-0005-0000-0000-00006A090000}"/>
    <cellStyle name="Comma 3 2 2 5 6" xfId="19402" xr:uid="{00000000-0005-0000-0000-00006B090000}"/>
    <cellStyle name="Comma 3 2 2 5 6 2" xfId="39454" xr:uid="{00000000-0005-0000-0000-00006C090000}"/>
    <cellStyle name="Comma 3 2 2 5 7" xfId="19798" xr:uid="{00000000-0005-0000-0000-00006D090000}"/>
    <cellStyle name="Comma 3 2 2 5 7 2" xfId="39850" xr:uid="{00000000-0005-0000-0000-00006E090000}"/>
    <cellStyle name="Comma 3 2 2 5 8" xfId="29038" xr:uid="{00000000-0005-0000-0000-00006F090000}"/>
    <cellStyle name="Comma 3 2 2 6" xfId="10156" xr:uid="{00000000-0005-0000-0000-000070090000}"/>
    <cellStyle name="Comma 3 2 2 6 2" xfId="18280" xr:uid="{00000000-0005-0000-0000-000071090000}"/>
    <cellStyle name="Comma 3 2 2 6 2 2" xfId="38332" xr:uid="{00000000-0005-0000-0000-000072090000}"/>
    <cellStyle name="Comma 3 2 2 6 3" xfId="18676" xr:uid="{00000000-0005-0000-0000-000073090000}"/>
    <cellStyle name="Comma 3 2 2 6 3 2" xfId="38728" xr:uid="{00000000-0005-0000-0000-000074090000}"/>
    <cellStyle name="Comma 3 2 2 6 4" xfId="19072" xr:uid="{00000000-0005-0000-0000-000075090000}"/>
    <cellStyle name="Comma 3 2 2 6 4 2" xfId="39124" xr:uid="{00000000-0005-0000-0000-000076090000}"/>
    <cellStyle name="Comma 3 2 2 6 5" xfId="19468" xr:uid="{00000000-0005-0000-0000-000077090000}"/>
    <cellStyle name="Comma 3 2 2 6 5 2" xfId="39520" xr:uid="{00000000-0005-0000-0000-000078090000}"/>
    <cellStyle name="Comma 3 2 2 6 6" xfId="19864" xr:uid="{00000000-0005-0000-0000-000079090000}"/>
    <cellStyle name="Comma 3 2 2 6 6 2" xfId="39916" xr:uid="{00000000-0005-0000-0000-00007A090000}"/>
    <cellStyle name="Comma 3 2 2 6 7" xfId="30208" xr:uid="{00000000-0005-0000-0000-00007B090000}"/>
    <cellStyle name="Comma 3 2 2 7" xfId="18082" xr:uid="{00000000-0005-0000-0000-00007C090000}"/>
    <cellStyle name="Comma 3 2 2 7 2" xfId="38134" xr:uid="{00000000-0005-0000-0000-00007D090000}"/>
    <cellStyle name="Comma 3 2 2 8" xfId="18478" xr:uid="{00000000-0005-0000-0000-00007E090000}"/>
    <cellStyle name="Comma 3 2 2 8 2" xfId="38530" xr:uid="{00000000-0005-0000-0000-00007F090000}"/>
    <cellStyle name="Comma 3 2 2 9" xfId="18874" xr:uid="{00000000-0005-0000-0000-000080090000}"/>
    <cellStyle name="Comma 3 2 2 9 2" xfId="38926" xr:uid="{00000000-0005-0000-0000-000081090000}"/>
    <cellStyle name="Comma 3 2 3" xfId="1781" xr:uid="{00000000-0005-0000-0000-000082090000}"/>
    <cellStyle name="Comma 3 2 3 10" xfId="21833" xr:uid="{00000000-0005-0000-0000-000083090000}"/>
    <cellStyle name="Comma 3 2 3 2" xfId="6263" xr:uid="{00000000-0005-0000-0000-000084090000}"/>
    <cellStyle name="Comma 3 2 3 2 2" xfId="15293" xr:uid="{00000000-0005-0000-0000-000085090000}"/>
    <cellStyle name="Comma 3 2 3 2 2 2" xfId="18357" xr:uid="{00000000-0005-0000-0000-000086090000}"/>
    <cellStyle name="Comma 3 2 3 2 2 2 2" xfId="38409" xr:uid="{00000000-0005-0000-0000-000087090000}"/>
    <cellStyle name="Comma 3 2 3 2 2 3" xfId="18753" xr:uid="{00000000-0005-0000-0000-000088090000}"/>
    <cellStyle name="Comma 3 2 3 2 2 3 2" xfId="38805" xr:uid="{00000000-0005-0000-0000-000089090000}"/>
    <cellStyle name="Comma 3 2 3 2 2 4" xfId="19149" xr:uid="{00000000-0005-0000-0000-00008A090000}"/>
    <cellStyle name="Comma 3 2 3 2 2 4 2" xfId="39201" xr:uid="{00000000-0005-0000-0000-00008B090000}"/>
    <cellStyle name="Comma 3 2 3 2 2 5" xfId="19545" xr:uid="{00000000-0005-0000-0000-00008C090000}"/>
    <cellStyle name="Comma 3 2 3 2 2 5 2" xfId="39597" xr:uid="{00000000-0005-0000-0000-00008D090000}"/>
    <cellStyle name="Comma 3 2 3 2 2 6" xfId="19941" xr:uid="{00000000-0005-0000-0000-00008E090000}"/>
    <cellStyle name="Comma 3 2 3 2 2 6 2" xfId="39993" xr:uid="{00000000-0005-0000-0000-00008F090000}"/>
    <cellStyle name="Comma 3 2 3 2 2 7" xfId="35345" xr:uid="{00000000-0005-0000-0000-000090090000}"/>
    <cellStyle name="Comma 3 2 3 2 3" xfId="18159" xr:uid="{00000000-0005-0000-0000-000091090000}"/>
    <cellStyle name="Comma 3 2 3 2 3 2" xfId="38211" xr:uid="{00000000-0005-0000-0000-000092090000}"/>
    <cellStyle name="Comma 3 2 3 2 4" xfId="18555" xr:uid="{00000000-0005-0000-0000-000093090000}"/>
    <cellStyle name="Comma 3 2 3 2 4 2" xfId="38607" xr:uid="{00000000-0005-0000-0000-000094090000}"/>
    <cellStyle name="Comma 3 2 3 2 5" xfId="18951" xr:uid="{00000000-0005-0000-0000-000095090000}"/>
    <cellStyle name="Comma 3 2 3 2 5 2" xfId="39003" xr:uid="{00000000-0005-0000-0000-000096090000}"/>
    <cellStyle name="Comma 3 2 3 2 6" xfId="19347" xr:uid="{00000000-0005-0000-0000-000097090000}"/>
    <cellStyle name="Comma 3 2 3 2 6 2" xfId="39399" xr:uid="{00000000-0005-0000-0000-000098090000}"/>
    <cellStyle name="Comma 3 2 3 2 7" xfId="19743" xr:uid="{00000000-0005-0000-0000-000099090000}"/>
    <cellStyle name="Comma 3 2 3 2 7 2" xfId="39795" xr:uid="{00000000-0005-0000-0000-00009A090000}"/>
    <cellStyle name="Comma 3 2 3 2 8" xfId="26315" xr:uid="{00000000-0005-0000-0000-00009B090000}"/>
    <cellStyle name="Comma 3 2 3 3" xfId="8997" xr:uid="{00000000-0005-0000-0000-00009C090000}"/>
    <cellStyle name="Comma 3 2 3 3 2" xfId="18027" xr:uid="{00000000-0005-0000-0000-00009D090000}"/>
    <cellStyle name="Comma 3 2 3 3 2 2" xfId="18423" xr:uid="{00000000-0005-0000-0000-00009E090000}"/>
    <cellStyle name="Comma 3 2 3 3 2 2 2" xfId="38475" xr:uid="{00000000-0005-0000-0000-00009F090000}"/>
    <cellStyle name="Comma 3 2 3 3 2 3" xfId="18819" xr:uid="{00000000-0005-0000-0000-0000A0090000}"/>
    <cellStyle name="Comma 3 2 3 3 2 3 2" xfId="38871" xr:uid="{00000000-0005-0000-0000-0000A1090000}"/>
    <cellStyle name="Comma 3 2 3 3 2 4" xfId="19215" xr:uid="{00000000-0005-0000-0000-0000A2090000}"/>
    <cellStyle name="Comma 3 2 3 3 2 4 2" xfId="39267" xr:uid="{00000000-0005-0000-0000-0000A3090000}"/>
    <cellStyle name="Comma 3 2 3 3 2 5" xfId="19611" xr:uid="{00000000-0005-0000-0000-0000A4090000}"/>
    <cellStyle name="Comma 3 2 3 3 2 5 2" xfId="39663" xr:uid="{00000000-0005-0000-0000-0000A5090000}"/>
    <cellStyle name="Comma 3 2 3 3 2 6" xfId="20007" xr:uid="{00000000-0005-0000-0000-0000A6090000}"/>
    <cellStyle name="Comma 3 2 3 3 2 6 2" xfId="40059" xr:uid="{00000000-0005-0000-0000-0000A7090000}"/>
    <cellStyle name="Comma 3 2 3 3 2 7" xfId="38079" xr:uid="{00000000-0005-0000-0000-0000A8090000}"/>
    <cellStyle name="Comma 3 2 3 3 3" xfId="18225" xr:uid="{00000000-0005-0000-0000-0000A9090000}"/>
    <cellStyle name="Comma 3 2 3 3 3 2" xfId="38277" xr:uid="{00000000-0005-0000-0000-0000AA090000}"/>
    <cellStyle name="Comma 3 2 3 3 4" xfId="18621" xr:uid="{00000000-0005-0000-0000-0000AB090000}"/>
    <cellStyle name="Comma 3 2 3 3 4 2" xfId="38673" xr:uid="{00000000-0005-0000-0000-0000AC090000}"/>
    <cellStyle name="Comma 3 2 3 3 5" xfId="19017" xr:uid="{00000000-0005-0000-0000-0000AD090000}"/>
    <cellStyle name="Comma 3 2 3 3 5 2" xfId="39069" xr:uid="{00000000-0005-0000-0000-0000AE090000}"/>
    <cellStyle name="Comma 3 2 3 3 6" xfId="19413" xr:uid="{00000000-0005-0000-0000-0000AF090000}"/>
    <cellStyle name="Comma 3 2 3 3 6 2" xfId="39465" xr:uid="{00000000-0005-0000-0000-0000B0090000}"/>
    <cellStyle name="Comma 3 2 3 3 7" xfId="19809" xr:uid="{00000000-0005-0000-0000-0000B1090000}"/>
    <cellStyle name="Comma 3 2 3 3 7 2" xfId="39861" xr:uid="{00000000-0005-0000-0000-0000B2090000}"/>
    <cellStyle name="Comma 3 2 3 3 8" xfId="29049" xr:uid="{00000000-0005-0000-0000-0000B3090000}"/>
    <cellStyle name="Comma 3 2 3 4" xfId="10811" xr:uid="{00000000-0005-0000-0000-0000B4090000}"/>
    <cellStyle name="Comma 3 2 3 4 2" xfId="18291" xr:uid="{00000000-0005-0000-0000-0000B5090000}"/>
    <cellStyle name="Comma 3 2 3 4 2 2" xfId="38343" xr:uid="{00000000-0005-0000-0000-0000B6090000}"/>
    <cellStyle name="Comma 3 2 3 4 3" xfId="18687" xr:uid="{00000000-0005-0000-0000-0000B7090000}"/>
    <cellStyle name="Comma 3 2 3 4 3 2" xfId="38739" xr:uid="{00000000-0005-0000-0000-0000B8090000}"/>
    <cellStyle name="Comma 3 2 3 4 4" xfId="19083" xr:uid="{00000000-0005-0000-0000-0000B9090000}"/>
    <cellStyle name="Comma 3 2 3 4 4 2" xfId="39135" xr:uid="{00000000-0005-0000-0000-0000BA090000}"/>
    <cellStyle name="Comma 3 2 3 4 5" xfId="19479" xr:uid="{00000000-0005-0000-0000-0000BB090000}"/>
    <cellStyle name="Comma 3 2 3 4 5 2" xfId="39531" xr:uid="{00000000-0005-0000-0000-0000BC090000}"/>
    <cellStyle name="Comma 3 2 3 4 6" xfId="19875" xr:uid="{00000000-0005-0000-0000-0000BD090000}"/>
    <cellStyle name="Comma 3 2 3 4 6 2" xfId="39927" xr:uid="{00000000-0005-0000-0000-0000BE090000}"/>
    <cellStyle name="Comma 3 2 3 4 7" xfId="30863" xr:uid="{00000000-0005-0000-0000-0000BF090000}"/>
    <cellStyle name="Comma 3 2 3 5" xfId="18093" xr:uid="{00000000-0005-0000-0000-0000C0090000}"/>
    <cellStyle name="Comma 3 2 3 5 2" xfId="38145" xr:uid="{00000000-0005-0000-0000-0000C1090000}"/>
    <cellStyle name="Comma 3 2 3 6" xfId="18489" xr:uid="{00000000-0005-0000-0000-0000C2090000}"/>
    <cellStyle name="Comma 3 2 3 6 2" xfId="38541" xr:uid="{00000000-0005-0000-0000-0000C3090000}"/>
    <cellStyle name="Comma 3 2 3 7" xfId="18885" xr:uid="{00000000-0005-0000-0000-0000C4090000}"/>
    <cellStyle name="Comma 3 2 3 7 2" xfId="38937" xr:uid="{00000000-0005-0000-0000-0000C5090000}"/>
    <cellStyle name="Comma 3 2 3 8" xfId="19281" xr:uid="{00000000-0005-0000-0000-0000C6090000}"/>
    <cellStyle name="Comma 3 2 3 8 2" xfId="39333" xr:uid="{00000000-0005-0000-0000-0000C7090000}"/>
    <cellStyle name="Comma 3 2 3 9" xfId="19677" xr:uid="{00000000-0005-0000-0000-0000C8090000}"/>
    <cellStyle name="Comma 3 2 3 9 2" xfId="39729" xr:uid="{00000000-0005-0000-0000-0000C9090000}"/>
    <cellStyle name="Comma 3 2 4" xfId="3275" xr:uid="{00000000-0005-0000-0000-0000CA090000}"/>
    <cellStyle name="Comma 3 2 4 10" xfId="23327" xr:uid="{00000000-0005-0000-0000-0000CB090000}"/>
    <cellStyle name="Comma 3 2 4 2" xfId="7757" xr:uid="{00000000-0005-0000-0000-0000CC090000}"/>
    <cellStyle name="Comma 3 2 4 2 2" xfId="16787" xr:uid="{00000000-0005-0000-0000-0000CD090000}"/>
    <cellStyle name="Comma 3 2 4 2 2 2" xfId="18379" xr:uid="{00000000-0005-0000-0000-0000CE090000}"/>
    <cellStyle name="Comma 3 2 4 2 2 2 2" xfId="38431" xr:uid="{00000000-0005-0000-0000-0000CF090000}"/>
    <cellStyle name="Comma 3 2 4 2 2 3" xfId="18775" xr:uid="{00000000-0005-0000-0000-0000D0090000}"/>
    <cellStyle name="Comma 3 2 4 2 2 3 2" xfId="38827" xr:uid="{00000000-0005-0000-0000-0000D1090000}"/>
    <cellStyle name="Comma 3 2 4 2 2 4" xfId="19171" xr:uid="{00000000-0005-0000-0000-0000D2090000}"/>
    <cellStyle name="Comma 3 2 4 2 2 4 2" xfId="39223" xr:uid="{00000000-0005-0000-0000-0000D3090000}"/>
    <cellStyle name="Comma 3 2 4 2 2 5" xfId="19567" xr:uid="{00000000-0005-0000-0000-0000D4090000}"/>
    <cellStyle name="Comma 3 2 4 2 2 5 2" xfId="39619" xr:uid="{00000000-0005-0000-0000-0000D5090000}"/>
    <cellStyle name="Comma 3 2 4 2 2 6" xfId="19963" xr:uid="{00000000-0005-0000-0000-0000D6090000}"/>
    <cellStyle name="Comma 3 2 4 2 2 6 2" xfId="40015" xr:uid="{00000000-0005-0000-0000-0000D7090000}"/>
    <cellStyle name="Comma 3 2 4 2 2 7" xfId="36839" xr:uid="{00000000-0005-0000-0000-0000D8090000}"/>
    <cellStyle name="Comma 3 2 4 2 3" xfId="18181" xr:uid="{00000000-0005-0000-0000-0000D9090000}"/>
    <cellStyle name="Comma 3 2 4 2 3 2" xfId="38233" xr:uid="{00000000-0005-0000-0000-0000DA090000}"/>
    <cellStyle name="Comma 3 2 4 2 4" xfId="18577" xr:uid="{00000000-0005-0000-0000-0000DB090000}"/>
    <cellStyle name="Comma 3 2 4 2 4 2" xfId="38629" xr:uid="{00000000-0005-0000-0000-0000DC090000}"/>
    <cellStyle name="Comma 3 2 4 2 5" xfId="18973" xr:uid="{00000000-0005-0000-0000-0000DD090000}"/>
    <cellStyle name="Comma 3 2 4 2 5 2" xfId="39025" xr:uid="{00000000-0005-0000-0000-0000DE090000}"/>
    <cellStyle name="Comma 3 2 4 2 6" xfId="19369" xr:uid="{00000000-0005-0000-0000-0000DF090000}"/>
    <cellStyle name="Comma 3 2 4 2 6 2" xfId="39421" xr:uid="{00000000-0005-0000-0000-0000E0090000}"/>
    <cellStyle name="Comma 3 2 4 2 7" xfId="19765" xr:uid="{00000000-0005-0000-0000-0000E1090000}"/>
    <cellStyle name="Comma 3 2 4 2 7 2" xfId="39817" xr:uid="{00000000-0005-0000-0000-0000E2090000}"/>
    <cellStyle name="Comma 3 2 4 2 8" xfId="27809" xr:uid="{00000000-0005-0000-0000-0000E3090000}"/>
    <cellStyle name="Comma 3 2 4 3" xfId="9019" xr:uid="{00000000-0005-0000-0000-0000E4090000}"/>
    <cellStyle name="Comma 3 2 4 3 2" xfId="18049" xr:uid="{00000000-0005-0000-0000-0000E5090000}"/>
    <cellStyle name="Comma 3 2 4 3 2 2" xfId="18445" xr:uid="{00000000-0005-0000-0000-0000E6090000}"/>
    <cellStyle name="Comma 3 2 4 3 2 2 2" xfId="38497" xr:uid="{00000000-0005-0000-0000-0000E7090000}"/>
    <cellStyle name="Comma 3 2 4 3 2 3" xfId="18841" xr:uid="{00000000-0005-0000-0000-0000E8090000}"/>
    <cellStyle name="Comma 3 2 4 3 2 3 2" xfId="38893" xr:uid="{00000000-0005-0000-0000-0000E9090000}"/>
    <cellStyle name="Comma 3 2 4 3 2 4" xfId="19237" xr:uid="{00000000-0005-0000-0000-0000EA090000}"/>
    <cellStyle name="Comma 3 2 4 3 2 4 2" xfId="39289" xr:uid="{00000000-0005-0000-0000-0000EB090000}"/>
    <cellStyle name="Comma 3 2 4 3 2 5" xfId="19633" xr:uid="{00000000-0005-0000-0000-0000EC090000}"/>
    <cellStyle name="Comma 3 2 4 3 2 5 2" xfId="39685" xr:uid="{00000000-0005-0000-0000-0000ED090000}"/>
    <cellStyle name="Comma 3 2 4 3 2 6" xfId="20029" xr:uid="{00000000-0005-0000-0000-0000EE090000}"/>
    <cellStyle name="Comma 3 2 4 3 2 6 2" xfId="40081" xr:uid="{00000000-0005-0000-0000-0000EF090000}"/>
    <cellStyle name="Comma 3 2 4 3 2 7" xfId="38101" xr:uid="{00000000-0005-0000-0000-0000F0090000}"/>
    <cellStyle name="Comma 3 2 4 3 3" xfId="18247" xr:uid="{00000000-0005-0000-0000-0000F1090000}"/>
    <cellStyle name="Comma 3 2 4 3 3 2" xfId="38299" xr:uid="{00000000-0005-0000-0000-0000F2090000}"/>
    <cellStyle name="Comma 3 2 4 3 4" xfId="18643" xr:uid="{00000000-0005-0000-0000-0000F3090000}"/>
    <cellStyle name="Comma 3 2 4 3 4 2" xfId="38695" xr:uid="{00000000-0005-0000-0000-0000F4090000}"/>
    <cellStyle name="Comma 3 2 4 3 5" xfId="19039" xr:uid="{00000000-0005-0000-0000-0000F5090000}"/>
    <cellStyle name="Comma 3 2 4 3 5 2" xfId="39091" xr:uid="{00000000-0005-0000-0000-0000F6090000}"/>
    <cellStyle name="Comma 3 2 4 3 6" xfId="19435" xr:uid="{00000000-0005-0000-0000-0000F7090000}"/>
    <cellStyle name="Comma 3 2 4 3 6 2" xfId="39487" xr:uid="{00000000-0005-0000-0000-0000F8090000}"/>
    <cellStyle name="Comma 3 2 4 3 7" xfId="19831" xr:uid="{00000000-0005-0000-0000-0000F9090000}"/>
    <cellStyle name="Comma 3 2 4 3 7 2" xfId="39883" xr:uid="{00000000-0005-0000-0000-0000FA090000}"/>
    <cellStyle name="Comma 3 2 4 3 8" xfId="29071" xr:uid="{00000000-0005-0000-0000-0000FB090000}"/>
    <cellStyle name="Comma 3 2 4 4" xfId="12305" xr:uid="{00000000-0005-0000-0000-0000FC090000}"/>
    <cellStyle name="Comma 3 2 4 4 2" xfId="18313" xr:uid="{00000000-0005-0000-0000-0000FD090000}"/>
    <cellStyle name="Comma 3 2 4 4 2 2" xfId="38365" xr:uid="{00000000-0005-0000-0000-0000FE090000}"/>
    <cellStyle name="Comma 3 2 4 4 3" xfId="18709" xr:uid="{00000000-0005-0000-0000-0000FF090000}"/>
    <cellStyle name="Comma 3 2 4 4 3 2" xfId="38761" xr:uid="{00000000-0005-0000-0000-0000000A0000}"/>
    <cellStyle name="Comma 3 2 4 4 4" xfId="19105" xr:uid="{00000000-0005-0000-0000-0000010A0000}"/>
    <cellStyle name="Comma 3 2 4 4 4 2" xfId="39157" xr:uid="{00000000-0005-0000-0000-0000020A0000}"/>
    <cellStyle name="Comma 3 2 4 4 5" xfId="19501" xr:uid="{00000000-0005-0000-0000-0000030A0000}"/>
    <cellStyle name="Comma 3 2 4 4 5 2" xfId="39553" xr:uid="{00000000-0005-0000-0000-0000040A0000}"/>
    <cellStyle name="Comma 3 2 4 4 6" xfId="19897" xr:uid="{00000000-0005-0000-0000-0000050A0000}"/>
    <cellStyle name="Comma 3 2 4 4 6 2" xfId="39949" xr:uid="{00000000-0005-0000-0000-0000060A0000}"/>
    <cellStyle name="Comma 3 2 4 4 7" xfId="32357" xr:uid="{00000000-0005-0000-0000-0000070A0000}"/>
    <cellStyle name="Comma 3 2 4 5" xfId="18115" xr:uid="{00000000-0005-0000-0000-0000080A0000}"/>
    <cellStyle name="Comma 3 2 4 5 2" xfId="38167" xr:uid="{00000000-0005-0000-0000-0000090A0000}"/>
    <cellStyle name="Comma 3 2 4 6" xfId="18511" xr:uid="{00000000-0005-0000-0000-00000A0A0000}"/>
    <cellStyle name="Comma 3 2 4 6 2" xfId="38563" xr:uid="{00000000-0005-0000-0000-00000B0A0000}"/>
    <cellStyle name="Comma 3 2 4 7" xfId="18907" xr:uid="{00000000-0005-0000-0000-00000C0A0000}"/>
    <cellStyle name="Comma 3 2 4 7 2" xfId="38959" xr:uid="{00000000-0005-0000-0000-00000D0A0000}"/>
    <cellStyle name="Comma 3 2 4 8" xfId="19303" xr:uid="{00000000-0005-0000-0000-00000E0A0000}"/>
    <cellStyle name="Comma 3 2 4 8 2" xfId="39355" xr:uid="{00000000-0005-0000-0000-00000F0A0000}"/>
    <cellStyle name="Comma 3 2 4 9" xfId="19699" xr:uid="{00000000-0005-0000-0000-0000100A0000}"/>
    <cellStyle name="Comma 3 2 4 9 2" xfId="39751" xr:uid="{00000000-0005-0000-0000-0000110A0000}"/>
    <cellStyle name="Comma 3 2 5" xfId="4769" xr:uid="{00000000-0005-0000-0000-0000120A0000}"/>
    <cellStyle name="Comma 3 2 5 2" xfId="13799" xr:uid="{00000000-0005-0000-0000-0000130A0000}"/>
    <cellStyle name="Comma 3 2 5 2 2" xfId="18335" xr:uid="{00000000-0005-0000-0000-0000140A0000}"/>
    <cellStyle name="Comma 3 2 5 2 2 2" xfId="38387" xr:uid="{00000000-0005-0000-0000-0000150A0000}"/>
    <cellStyle name="Comma 3 2 5 2 3" xfId="18731" xr:uid="{00000000-0005-0000-0000-0000160A0000}"/>
    <cellStyle name="Comma 3 2 5 2 3 2" xfId="38783" xr:uid="{00000000-0005-0000-0000-0000170A0000}"/>
    <cellStyle name="Comma 3 2 5 2 4" xfId="19127" xr:uid="{00000000-0005-0000-0000-0000180A0000}"/>
    <cellStyle name="Comma 3 2 5 2 4 2" xfId="39179" xr:uid="{00000000-0005-0000-0000-0000190A0000}"/>
    <cellStyle name="Comma 3 2 5 2 5" xfId="19523" xr:uid="{00000000-0005-0000-0000-00001A0A0000}"/>
    <cellStyle name="Comma 3 2 5 2 5 2" xfId="39575" xr:uid="{00000000-0005-0000-0000-00001B0A0000}"/>
    <cellStyle name="Comma 3 2 5 2 6" xfId="19919" xr:uid="{00000000-0005-0000-0000-00001C0A0000}"/>
    <cellStyle name="Comma 3 2 5 2 6 2" xfId="39971" xr:uid="{00000000-0005-0000-0000-00001D0A0000}"/>
    <cellStyle name="Comma 3 2 5 2 7" xfId="33851" xr:uid="{00000000-0005-0000-0000-00001E0A0000}"/>
    <cellStyle name="Comma 3 2 5 3" xfId="18137" xr:uid="{00000000-0005-0000-0000-00001F0A0000}"/>
    <cellStyle name="Comma 3 2 5 3 2" xfId="38189" xr:uid="{00000000-0005-0000-0000-0000200A0000}"/>
    <cellStyle name="Comma 3 2 5 4" xfId="18533" xr:uid="{00000000-0005-0000-0000-0000210A0000}"/>
    <cellStyle name="Comma 3 2 5 4 2" xfId="38585" xr:uid="{00000000-0005-0000-0000-0000220A0000}"/>
    <cellStyle name="Comma 3 2 5 5" xfId="18929" xr:uid="{00000000-0005-0000-0000-0000230A0000}"/>
    <cellStyle name="Comma 3 2 5 5 2" xfId="38981" xr:uid="{00000000-0005-0000-0000-0000240A0000}"/>
    <cellStyle name="Comma 3 2 5 6" xfId="19325" xr:uid="{00000000-0005-0000-0000-0000250A0000}"/>
    <cellStyle name="Comma 3 2 5 6 2" xfId="39377" xr:uid="{00000000-0005-0000-0000-0000260A0000}"/>
    <cellStyle name="Comma 3 2 5 7" xfId="19721" xr:uid="{00000000-0005-0000-0000-0000270A0000}"/>
    <cellStyle name="Comma 3 2 5 7 2" xfId="39773" xr:uid="{00000000-0005-0000-0000-0000280A0000}"/>
    <cellStyle name="Comma 3 2 5 8" xfId="24821" xr:uid="{00000000-0005-0000-0000-0000290A0000}"/>
    <cellStyle name="Comma 3 2 6" xfId="8975" xr:uid="{00000000-0005-0000-0000-00002A0A0000}"/>
    <cellStyle name="Comma 3 2 6 2" xfId="18005" xr:uid="{00000000-0005-0000-0000-00002B0A0000}"/>
    <cellStyle name="Comma 3 2 6 2 2" xfId="18401" xr:uid="{00000000-0005-0000-0000-00002C0A0000}"/>
    <cellStyle name="Comma 3 2 6 2 2 2" xfId="38453" xr:uid="{00000000-0005-0000-0000-00002D0A0000}"/>
    <cellStyle name="Comma 3 2 6 2 3" xfId="18797" xr:uid="{00000000-0005-0000-0000-00002E0A0000}"/>
    <cellStyle name="Comma 3 2 6 2 3 2" xfId="38849" xr:uid="{00000000-0005-0000-0000-00002F0A0000}"/>
    <cellStyle name="Comma 3 2 6 2 4" xfId="19193" xr:uid="{00000000-0005-0000-0000-0000300A0000}"/>
    <cellStyle name="Comma 3 2 6 2 4 2" xfId="39245" xr:uid="{00000000-0005-0000-0000-0000310A0000}"/>
    <cellStyle name="Comma 3 2 6 2 5" xfId="19589" xr:uid="{00000000-0005-0000-0000-0000320A0000}"/>
    <cellStyle name="Comma 3 2 6 2 5 2" xfId="39641" xr:uid="{00000000-0005-0000-0000-0000330A0000}"/>
    <cellStyle name="Comma 3 2 6 2 6" xfId="19985" xr:uid="{00000000-0005-0000-0000-0000340A0000}"/>
    <cellStyle name="Comma 3 2 6 2 6 2" xfId="40037" xr:uid="{00000000-0005-0000-0000-0000350A0000}"/>
    <cellStyle name="Comma 3 2 6 2 7" xfId="38057" xr:uid="{00000000-0005-0000-0000-0000360A0000}"/>
    <cellStyle name="Comma 3 2 6 3" xfId="18203" xr:uid="{00000000-0005-0000-0000-0000370A0000}"/>
    <cellStyle name="Comma 3 2 6 3 2" xfId="38255" xr:uid="{00000000-0005-0000-0000-0000380A0000}"/>
    <cellStyle name="Comma 3 2 6 4" xfId="18599" xr:uid="{00000000-0005-0000-0000-0000390A0000}"/>
    <cellStyle name="Comma 3 2 6 4 2" xfId="38651" xr:uid="{00000000-0005-0000-0000-00003A0A0000}"/>
    <cellStyle name="Comma 3 2 6 5" xfId="18995" xr:uid="{00000000-0005-0000-0000-00003B0A0000}"/>
    <cellStyle name="Comma 3 2 6 5 2" xfId="39047" xr:uid="{00000000-0005-0000-0000-00003C0A0000}"/>
    <cellStyle name="Comma 3 2 6 6" xfId="19391" xr:uid="{00000000-0005-0000-0000-00003D0A0000}"/>
    <cellStyle name="Comma 3 2 6 6 2" xfId="39443" xr:uid="{00000000-0005-0000-0000-00003E0A0000}"/>
    <cellStyle name="Comma 3 2 6 7" xfId="19787" xr:uid="{00000000-0005-0000-0000-00003F0A0000}"/>
    <cellStyle name="Comma 3 2 6 7 2" xfId="39839" xr:uid="{00000000-0005-0000-0000-0000400A0000}"/>
    <cellStyle name="Comma 3 2 6 8" xfId="29027" xr:uid="{00000000-0005-0000-0000-0000410A0000}"/>
    <cellStyle name="Comma 3 2 7" xfId="9317" xr:uid="{00000000-0005-0000-0000-0000420A0000}"/>
    <cellStyle name="Comma 3 2 7 2" xfId="18269" xr:uid="{00000000-0005-0000-0000-0000430A0000}"/>
    <cellStyle name="Comma 3 2 7 2 2" xfId="38321" xr:uid="{00000000-0005-0000-0000-0000440A0000}"/>
    <cellStyle name="Comma 3 2 7 3" xfId="18665" xr:uid="{00000000-0005-0000-0000-0000450A0000}"/>
    <cellStyle name="Comma 3 2 7 3 2" xfId="38717" xr:uid="{00000000-0005-0000-0000-0000460A0000}"/>
    <cellStyle name="Comma 3 2 7 4" xfId="19061" xr:uid="{00000000-0005-0000-0000-0000470A0000}"/>
    <cellStyle name="Comma 3 2 7 4 2" xfId="39113" xr:uid="{00000000-0005-0000-0000-0000480A0000}"/>
    <cellStyle name="Comma 3 2 7 5" xfId="19457" xr:uid="{00000000-0005-0000-0000-0000490A0000}"/>
    <cellStyle name="Comma 3 2 7 5 2" xfId="39509" xr:uid="{00000000-0005-0000-0000-00004A0A0000}"/>
    <cellStyle name="Comma 3 2 7 6" xfId="19853" xr:uid="{00000000-0005-0000-0000-00004B0A0000}"/>
    <cellStyle name="Comma 3 2 7 6 2" xfId="39905" xr:uid="{00000000-0005-0000-0000-00004C0A0000}"/>
    <cellStyle name="Comma 3 2 7 7" xfId="29369" xr:uid="{00000000-0005-0000-0000-00004D0A0000}"/>
    <cellStyle name="Comma 3 2 8" xfId="18071" xr:uid="{00000000-0005-0000-0000-00004E0A0000}"/>
    <cellStyle name="Comma 3 2 8 2" xfId="38123" xr:uid="{00000000-0005-0000-0000-00004F0A0000}"/>
    <cellStyle name="Comma 3 2 9" xfId="18467" xr:uid="{00000000-0005-0000-0000-0000500A0000}"/>
    <cellStyle name="Comma 3 2 9 2" xfId="38519" xr:uid="{00000000-0005-0000-0000-0000510A0000}"/>
    <cellStyle name="Comma 3 3" xfId="473" xr:uid="{00000000-0005-0000-0000-0000520A0000}"/>
    <cellStyle name="Comma 3 3 10" xfId="18865" xr:uid="{00000000-0005-0000-0000-0000530A0000}"/>
    <cellStyle name="Comma 3 3 10 2" xfId="38917" xr:uid="{00000000-0005-0000-0000-0000540A0000}"/>
    <cellStyle name="Comma 3 3 11" xfId="19261" xr:uid="{00000000-0005-0000-0000-0000550A0000}"/>
    <cellStyle name="Comma 3 3 11 2" xfId="39313" xr:uid="{00000000-0005-0000-0000-0000560A0000}"/>
    <cellStyle name="Comma 3 3 12" xfId="19657" xr:uid="{00000000-0005-0000-0000-0000570A0000}"/>
    <cellStyle name="Comma 3 3 12 2" xfId="39709" xr:uid="{00000000-0005-0000-0000-0000580A0000}"/>
    <cellStyle name="Comma 3 3 13" xfId="20525" xr:uid="{00000000-0005-0000-0000-0000590A0000}"/>
    <cellStyle name="Comma 3 3 2" xfId="1220" xr:uid="{00000000-0005-0000-0000-00005A0A0000}"/>
    <cellStyle name="Comma 3 3 2 10" xfId="19272" xr:uid="{00000000-0005-0000-0000-00005B0A0000}"/>
    <cellStyle name="Comma 3 3 2 10 2" xfId="39324" xr:uid="{00000000-0005-0000-0000-00005C0A0000}"/>
    <cellStyle name="Comma 3 3 2 11" xfId="19668" xr:uid="{00000000-0005-0000-0000-00005D0A0000}"/>
    <cellStyle name="Comma 3 3 2 11 2" xfId="39720" xr:uid="{00000000-0005-0000-0000-00005E0A0000}"/>
    <cellStyle name="Comma 3 3 2 12" xfId="21272" xr:uid="{00000000-0005-0000-0000-00005F0A0000}"/>
    <cellStyle name="Comma 3 3 2 2" xfId="2714" xr:uid="{00000000-0005-0000-0000-0000600A0000}"/>
    <cellStyle name="Comma 3 3 2 2 10" xfId="22766" xr:uid="{00000000-0005-0000-0000-0000610A0000}"/>
    <cellStyle name="Comma 3 3 2 2 2" xfId="7196" xr:uid="{00000000-0005-0000-0000-0000620A0000}"/>
    <cellStyle name="Comma 3 3 2 2 2 2" xfId="16226" xr:uid="{00000000-0005-0000-0000-0000630A0000}"/>
    <cellStyle name="Comma 3 3 2 2 2 2 2" xfId="18370" xr:uid="{00000000-0005-0000-0000-0000640A0000}"/>
    <cellStyle name="Comma 3 3 2 2 2 2 2 2" xfId="38422" xr:uid="{00000000-0005-0000-0000-0000650A0000}"/>
    <cellStyle name="Comma 3 3 2 2 2 2 3" xfId="18766" xr:uid="{00000000-0005-0000-0000-0000660A0000}"/>
    <cellStyle name="Comma 3 3 2 2 2 2 3 2" xfId="38818" xr:uid="{00000000-0005-0000-0000-0000670A0000}"/>
    <cellStyle name="Comma 3 3 2 2 2 2 4" xfId="19162" xr:uid="{00000000-0005-0000-0000-0000680A0000}"/>
    <cellStyle name="Comma 3 3 2 2 2 2 4 2" xfId="39214" xr:uid="{00000000-0005-0000-0000-0000690A0000}"/>
    <cellStyle name="Comma 3 3 2 2 2 2 5" xfId="19558" xr:uid="{00000000-0005-0000-0000-00006A0A0000}"/>
    <cellStyle name="Comma 3 3 2 2 2 2 5 2" xfId="39610" xr:uid="{00000000-0005-0000-0000-00006B0A0000}"/>
    <cellStyle name="Comma 3 3 2 2 2 2 6" xfId="19954" xr:uid="{00000000-0005-0000-0000-00006C0A0000}"/>
    <cellStyle name="Comma 3 3 2 2 2 2 6 2" xfId="40006" xr:uid="{00000000-0005-0000-0000-00006D0A0000}"/>
    <cellStyle name="Comma 3 3 2 2 2 2 7" xfId="36278" xr:uid="{00000000-0005-0000-0000-00006E0A0000}"/>
    <cellStyle name="Comma 3 3 2 2 2 3" xfId="18172" xr:uid="{00000000-0005-0000-0000-00006F0A0000}"/>
    <cellStyle name="Comma 3 3 2 2 2 3 2" xfId="38224" xr:uid="{00000000-0005-0000-0000-0000700A0000}"/>
    <cellStyle name="Comma 3 3 2 2 2 4" xfId="18568" xr:uid="{00000000-0005-0000-0000-0000710A0000}"/>
    <cellStyle name="Comma 3 3 2 2 2 4 2" xfId="38620" xr:uid="{00000000-0005-0000-0000-0000720A0000}"/>
    <cellStyle name="Comma 3 3 2 2 2 5" xfId="18964" xr:uid="{00000000-0005-0000-0000-0000730A0000}"/>
    <cellStyle name="Comma 3 3 2 2 2 5 2" xfId="39016" xr:uid="{00000000-0005-0000-0000-0000740A0000}"/>
    <cellStyle name="Comma 3 3 2 2 2 6" xfId="19360" xr:uid="{00000000-0005-0000-0000-0000750A0000}"/>
    <cellStyle name="Comma 3 3 2 2 2 6 2" xfId="39412" xr:uid="{00000000-0005-0000-0000-0000760A0000}"/>
    <cellStyle name="Comma 3 3 2 2 2 7" xfId="19756" xr:uid="{00000000-0005-0000-0000-0000770A0000}"/>
    <cellStyle name="Comma 3 3 2 2 2 7 2" xfId="39808" xr:uid="{00000000-0005-0000-0000-0000780A0000}"/>
    <cellStyle name="Comma 3 3 2 2 2 8" xfId="27248" xr:uid="{00000000-0005-0000-0000-0000790A0000}"/>
    <cellStyle name="Comma 3 3 2 2 3" xfId="9010" xr:uid="{00000000-0005-0000-0000-00007A0A0000}"/>
    <cellStyle name="Comma 3 3 2 2 3 2" xfId="18040" xr:uid="{00000000-0005-0000-0000-00007B0A0000}"/>
    <cellStyle name="Comma 3 3 2 2 3 2 2" xfId="18436" xr:uid="{00000000-0005-0000-0000-00007C0A0000}"/>
    <cellStyle name="Comma 3 3 2 2 3 2 2 2" xfId="38488" xr:uid="{00000000-0005-0000-0000-00007D0A0000}"/>
    <cellStyle name="Comma 3 3 2 2 3 2 3" xfId="18832" xr:uid="{00000000-0005-0000-0000-00007E0A0000}"/>
    <cellStyle name="Comma 3 3 2 2 3 2 3 2" xfId="38884" xr:uid="{00000000-0005-0000-0000-00007F0A0000}"/>
    <cellStyle name="Comma 3 3 2 2 3 2 4" xfId="19228" xr:uid="{00000000-0005-0000-0000-0000800A0000}"/>
    <cellStyle name="Comma 3 3 2 2 3 2 4 2" xfId="39280" xr:uid="{00000000-0005-0000-0000-0000810A0000}"/>
    <cellStyle name="Comma 3 3 2 2 3 2 5" xfId="19624" xr:uid="{00000000-0005-0000-0000-0000820A0000}"/>
    <cellStyle name="Comma 3 3 2 2 3 2 5 2" xfId="39676" xr:uid="{00000000-0005-0000-0000-0000830A0000}"/>
    <cellStyle name="Comma 3 3 2 2 3 2 6" xfId="20020" xr:uid="{00000000-0005-0000-0000-0000840A0000}"/>
    <cellStyle name="Comma 3 3 2 2 3 2 6 2" xfId="40072" xr:uid="{00000000-0005-0000-0000-0000850A0000}"/>
    <cellStyle name="Comma 3 3 2 2 3 2 7" xfId="38092" xr:uid="{00000000-0005-0000-0000-0000860A0000}"/>
    <cellStyle name="Comma 3 3 2 2 3 3" xfId="18238" xr:uid="{00000000-0005-0000-0000-0000870A0000}"/>
    <cellStyle name="Comma 3 3 2 2 3 3 2" xfId="38290" xr:uid="{00000000-0005-0000-0000-0000880A0000}"/>
    <cellStyle name="Comma 3 3 2 2 3 4" xfId="18634" xr:uid="{00000000-0005-0000-0000-0000890A0000}"/>
    <cellStyle name="Comma 3 3 2 2 3 4 2" xfId="38686" xr:uid="{00000000-0005-0000-0000-00008A0A0000}"/>
    <cellStyle name="Comma 3 3 2 2 3 5" xfId="19030" xr:uid="{00000000-0005-0000-0000-00008B0A0000}"/>
    <cellStyle name="Comma 3 3 2 2 3 5 2" xfId="39082" xr:uid="{00000000-0005-0000-0000-00008C0A0000}"/>
    <cellStyle name="Comma 3 3 2 2 3 6" xfId="19426" xr:uid="{00000000-0005-0000-0000-00008D0A0000}"/>
    <cellStyle name="Comma 3 3 2 2 3 6 2" xfId="39478" xr:uid="{00000000-0005-0000-0000-00008E0A0000}"/>
    <cellStyle name="Comma 3 3 2 2 3 7" xfId="19822" xr:uid="{00000000-0005-0000-0000-00008F0A0000}"/>
    <cellStyle name="Comma 3 3 2 2 3 7 2" xfId="39874" xr:uid="{00000000-0005-0000-0000-0000900A0000}"/>
    <cellStyle name="Comma 3 3 2 2 3 8" xfId="29062" xr:uid="{00000000-0005-0000-0000-0000910A0000}"/>
    <cellStyle name="Comma 3 3 2 2 4" xfId="11744" xr:uid="{00000000-0005-0000-0000-0000920A0000}"/>
    <cellStyle name="Comma 3 3 2 2 4 2" xfId="18304" xr:uid="{00000000-0005-0000-0000-0000930A0000}"/>
    <cellStyle name="Comma 3 3 2 2 4 2 2" xfId="38356" xr:uid="{00000000-0005-0000-0000-0000940A0000}"/>
    <cellStyle name="Comma 3 3 2 2 4 3" xfId="18700" xr:uid="{00000000-0005-0000-0000-0000950A0000}"/>
    <cellStyle name="Comma 3 3 2 2 4 3 2" xfId="38752" xr:uid="{00000000-0005-0000-0000-0000960A0000}"/>
    <cellStyle name="Comma 3 3 2 2 4 4" xfId="19096" xr:uid="{00000000-0005-0000-0000-0000970A0000}"/>
    <cellStyle name="Comma 3 3 2 2 4 4 2" xfId="39148" xr:uid="{00000000-0005-0000-0000-0000980A0000}"/>
    <cellStyle name="Comma 3 3 2 2 4 5" xfId="19492" xr:uid="{00000000-0005-0000-0000-0000990A0000}"/>
    <cellStyle name="Comma 3 3 2 2 4 5 2" xfId="39544" xr:uid="{00000000-0005-0000-0000-00009A0A0000}"/>
    <cellStyle name="Comma 3 3 2 2 4 6" xfId="19888" xr:uid="{00000000-0005-0000-0000-00009B0A0000}"/>
    <cellStyle name="Comma 3 3 2 2 4 6 2" xfId="39940" xr:uid="{00000000-0005-0000-0000-00009C0A0000}"/>
    <cellStyle name="Comma 3 3 2 2 4 7" xfId="31796" xr:uid="{00000000-0005-0000-0000-00009D0A0000}"/>
    <cellStyle name="Comma 3 3 2 2 5" xfId="18106" xr:uid="{00000000-0005-0000-0000-00009E0A0000}"/>
    <cellStyle name="Comma 3 3 2 2 5 2" xfId="38158" xr:uid="{00000000-0005-0000-0000-00009F0A0000}"/>
    <cellStyle name="Comma 3 3 2 2 6" xfId="18502" xr:uid="{00000000-0005-0000-0000-0000A00A0000}"/>
    <cellStyle name="Comma 3 3 2 2 6 2" xfId="38554" xr:uid="{00000000-0005-0000-0000-0000A10A0000}"/>
    <cellStyle name="Comma 3 3 2 2 7" xfId="18898" xr:uid="{00000000-0005-0000-0000-0000A20A0000}"/>
    <cellStyle name="Comma 3 3 2 2 7 2" xfId="38950" xr:uid="{00000000-0005-0000-0000-0000A30A0000}"/>
    <cellStyle name="Comma 3 3 2 2 8" xfId="19294" xr:uid="{00000000-0005-0000-0000-0000A40A0000}"/>
    <cellStyle name="Comma 3 3 2 2 8 2" xfId="39346" xr:uid="{00000000-0005-0000-0000-0000A50A0000}"/>
    <cellStyle name="Comma 3 3 2 2 9" xfId="19690" xr:uid="{00000000-0005-0000-0000-0000A60A0000}"/>
    <cellStyle name="Comma 3 3 2 2 9 2" xfId="39742" xr:uid="{00000000-0005-0000-0000-0000A70A0000}"/>
    <cellStyle name="Comma 3 3 2 3" xfId="4208" xr:uid="{00000000-0005-0000-0000-0000A80A0000}"/>
    <cellStyle name="Comma 3 3 2 3 10" xfId="24260" xr:uid="{00000000-0005-0000-0000-0000A90A0000}"/>
    <cellStyle name="Comma 3 3 2 3 2" xfId="8690" xr:uid="{00000000-0005-0000-0000-0000AA0A0000}"/>
    <cellStyle name="Comma 3 3 2 3 2 2" xfId="17720" xr:uid="{00000000-0005-0000-0000-0000AB0A0000}"/>
    <cellStyle name="Comma 3 3 2 3 2 2 2" xfId="18392" xr:uid="{00000000-0005-0000-0000-0000AC0A0000}"/>
    <cellStyle name="Comma 3 3 2 3 2 2 2 2" xfId="38444" xr:uid="{00000000-0005-0000-0000-0000AD0A0000}"/>
    <cellStyle name="Comma 3 3 2 3 2 2 3" xfId="18788" xr:uid="{00000000-0005-0000-0000-0000AE0A0000}"/>
    <cellStyle name="Comma 3 3 2 3 2 2 3 2" xfId="38840" xr:uid="{00000000-0005-0000-0000-0000AF0A0000}"/>
    <cellStyle name="Comma 3 3 2 3 2 2 4" xfId="19184" xr:uid="{00000000-0005-0000-0000-0000B00A0000}"/>
    <cellStyle name="Comma 3 3 2 3 2 2 4 2" xfId="39236" xr:uid="{00000000-0005-0000-0000-0000B10A0000}"/>
    <cellStyle name="Comma 3 3 2 3 2 2 5" xfId="19580" xr:uid="{00000000-0005-0000-0000-0000B20A0000}"/>
    <cellStyle name="Comma 3 3 2 3 2 2 5 2" xfId="39632" xr:uid="{00000000-0005-0000-0000-0000B30A0000}"/>
    <cellStyle name="Comma 3 3 2 3 2 2 6" xfId="19976" xr:uid="{00000000-0005-0000-0000-0000B40A0000}"/>
    <cellStyle name="Comma 3 3 2 3 2 2 6 2" xfId="40028" xr:uid="{00000000-0005-0000-0000-0000B50A0000}"/>
    <cellStyle name="Comma 3 3 2 3 2 2 7" xfId="37772" xr:uid="{00000000-0005-0000-0000-0000B60A0000}"/>
    <cellStyle name="Comma 3 3 2 3 2 3" xfId="18194" xr:uid="{00000000-0005-0000-0000-0000B70A0000}"/>
    <cellStyle name="Comma 3 3 2 3 2 3 2" xfId="38246" xr:uid="{00000000-0005-0000-0000-0000B80A0000}"/>
    <cellStyle name="Comma 3 3 2 3 2 4" xfId="18590" xr:uid="{00000000-0005-0000-0000-0000B90A0000}"/>
    <cellStyle name="Comma 3 3 2 3 2 4 2" xfId="38642" xr:uid="{00000000-0005-0000-0000-0000BA0A0000}"/>
    <cellStyle name="Comma 3 3 2 3 2 5" xfId="18986" xr:uid="{00000000-0005-0000-0000-0000BB0A0000}"/>
    <cellStyle name="Comma 3 3 2 3 2 5 2" xfId="39038" xr:uid="{00000000-0005-0000-0000-0000BC0A0000}"/>
    <cellStyle name="Comma 3 3 2 3 2 6" xfId="19382" xr:uid="{00000000-0005-0000-0000-0000BD0A0000}"/>
    <cellStyle name="Comma 3 3 2 3 2 6 2" xfId="39434" xr:uid="{00000000-0005-0000-0000-0000BE0A0000}"/>
    <cellStyle name="Comma 3 3 2 3 2 7" xfId="19778" xr:uid="{00000000-0005-0000-0000-0000BF0A0000}"/>
    <cellStyle name="Comma 3 3 2 3 2 7 2" xfId="39830" xr:uid="{00000000-0005-0000-0000-0000C00A0000}"/>
    <cellStyle name="Comma 3 3 2 3 2 8" xfId="28742" xr:uid="{00000000-0005-0000-0000-0000C10A0000}"/>
    <cellStyle name="Comma 3 3 2 3 3" xfId="9032" xr:uid="{00000000-0005-0000-0000-0000C20A0000}"/>
    <cellStyle name="Comma 3 3 2 3 3 2" xfId="18062" xr:uid="{00000000-0005-0000-0000-0000C30A0000}"/>
    <cellStyle name="Comma 3 3 2 3 3 2 2" xfId="18458" xr:uid="{00000000-0005-0000-0000-0000C40A0000}"/>
    <cellStyle name="Comma 3 3 2 3 3 2 2 2" xfId="38510" xr:uid="{00000000-0005-0000-0000-0000C50A0000}"/>
    <cellStyle name="Comma 3 3 2 3 3 2 3" xfId="18854" xr:uid="{00000000-0005-0000-0000-0000C60A0000}"/>
    <cellStyle name="Comma 3 3 2 3 3 2 3 2" xfId="38906" xr:uid="{00000000-0005-0000-0000-0000C70A0000}"/>
    <cellStyle name="Comma 3 3 2 3 3 2 4" xfId="19250" xr:uid="{00000000-0005-0000-0000-0000C80A0000}"/>
    <cellStyle name="Comma 3 3 2 3 3 2 4 2" xfId="39302" xr:uid="{00000000-0005-0000-0000-0000C90A0000}"/>
    <cellStyle name="Comma 3 3 2 3 3 2 5" xfId="19646" xr:uid="{00000000-0005-0000-0000-0000CA0A0000}"/>
    <cellStyle name="Comma 3 3 2 3 3 2 5 2" xfId="39698" xr:uid="{00000000-0005-0000-0000-0000CB0A0000}"/>
    <cellStyle name="Comma 3 3 2 3 3 2 6" xfId="20042" xr:uid="{00000000-0005-0000-0000-0000CC0A0000}"/>
    <cellStyle name="Comma 3 3 2 3 3 2 6 2" xfId="40094" xr:uid="{00000000-0005-0000-0000-0000CD0A0000}"/>
    <cellStyle name="Comma 3 3 2 3 3 2 7" xfId="38114" xr:uid="{00000000-0005-0000-0000-0000CE0A0000}"/>
    <cellStyle name="Comma 3 3 2 3 3 3" xfId="18260" xr:uid="{00000000-0005-0000-0000-0000CF0A0000}"/>
    <cellStyle name="Comma 3 3 2 3 3 3 2" xfId="38312" xr:uid="{00000000-0005-0000-0000-0000D00A0000}"/>
    <cellStyle name="Comma 3 3 2 3 3 4" xfId="18656" xr:uid="{00000000-0005-0000-0000-0000D10A0000}"/>
    <cellStyle name="Comma 3 3 2 3 3 4 2" xfId="38708" xr:uid="{00000000-0005-0000-0000-0000D20A0000}"/>
    <cellStyle name="Comma 3 3 2 3 3 5" xfId="19052" xr:uid="{00000000-0005-0000-0000-0000D30A0000}"/>
    <cellStyle name="Comma 3 3 2 3 3 5 2" xfId="39104" xr:uid="{00000000-0005-0000-0000-0000D40A0000}"/>
    <cellStyle name="Comma 3 3 2 3 3 6" xfId="19448" xr:uid="{00000000-0005-0000-0000-0000D50A0000}"/>
    <cellStyle name="Comma 3 3 2 3 3 6 2" xfId="39500" xr:uid="{00000000-0005-0000-0000-0000D60A0000}"/>
    <cellStyle name="Comma 3 3 2 3 3 7" xfId="19844" xr:uid="{00000000-0005-0000-0000-0000D70A0000}"/>
    <cellStyle name="Comma 3 3 2 3 3 7 2" xfId="39896" xr:uid="{00000000-0005-0000-0000-0000D80A0000}"/>
    <cellStyle name="Comma 3 3 2 3 3 8" xfId="29084" xr:uid="{00000000-0005-0000-0000-0000D90A0000}"/>
    <cellStyle name="Comma 3 3 2 3 4" xfId="13238" xr:uid="{00000000-0005-0000-0000-0000DA0A0000}"/>
    <cellStyle name="Comma 3 3 2 3 4 2" xfId="18326" xr:uid="{00000000-0005-0000-0000-0000DB0A0000}"/>
    <cellStyle name="Comma 3 3 2 3 4 2 2" xfId="38378" xr:uid="{00000000-0005-0000-0000-0000DC0A0000}"/>
    <cellStyle name="Comma 3 3 2 3 4 3" xfId="18722" xr:uid="{00000000-0005-0000-0000-0000DD0A0000}"/>
    <cellStyle name="Comma 3 3 2 3 4 3 2" xfId="38774" xr:uid="{00000000-0005-0000-0000-0000DE0A0000}"/>
    <cellStyle name="Comma 3 3 2 3 4 4" xfId="19118" xr:uid="{00000000-0005-0000-0000-0000DF0A0000}"/>
    <cellStyle name="Comma 3 3 2 3 4 4 2" xfId="39170" xr:uid="{00000000-0005-0000-0000-0000E00A0000}"/>
    <cellStyle name="Comma 3 3 2 3 4 5" xfId="19514" xr:uid="{00000000-0005-0000-0000-0000E10A0000}"/>
    <cellStyle name="Comma 3 3 2 3 4 5 2" xfId="39566" xr:uid="{00000000-0005-0000-0000-0000E20A0000}"/>
    <cellStyle name="Comma 3 3 2 3 4 6" xfId="19910" xr:uid="{00000000-0005-0000-0000-0000E30A0000}"/>
    <cellStyle name="Comma 3 3 2 3 4 6 2" xfId="39962" xr:uid="{00000000-0005-0000-0000-0000E40A0000}"/>
    <cellStyle name="Comma 3 3 2 3 4 7" xfId="33290" xr:uid="{00000000-0005-0000-0000-0000E50A0000}"/>
    <cellStyle name="Comma 3 3 2 3 5" xfId="18128" xr:uid="{00000000-0005-0000-0000-0000E60A0000}"/>
    <cellStyle name="Comma 3 3 2 3 5 2" xfId="38180" xr:uid="{00000000-0005-0000-0000-0000E70A0000}"/>
    <cellStyle name="Comma 3 3 2 3 6" xfId="18524" xr:uid="{00000000-0005-0000-0000-0000E80A0000}"/>
    <cellStyle name="Comma 3 3 2 3 6 2" xfId="38576" xr:uid="{00000000-0005-0000-0000-0000E90A0000}"/>
    <cellStyle name="Comma 3 3 2 3 7" xfId="18920" xr:uid="{00000000-0005-0000-0000-0000EA0A0000}"/>
    <cellStyle name="Comma 3 3 2 3 7 2" xfId="38972" xr:uid="{00000000-0005-0000-0000-0000EB0A0000}"/>
    <cellStyle name="Comma 3 3 2 3 8" xfId="19316" xr:uid="{00000000-0005-0000-0000-0000EC0A0000}"/>
    <cellStyle name="Comma 3 3 2 3 8 2" xfId="39368" xr:uid="{00000000-0005-0000-0000-0000ED0A0000}"/>
    <cellStyle name="Comma 3 3 2 3 9" xfId="19712" xr:uid="{00000000-0005-0000-0000-0000EE0A0000}"/>
    <cellStyle name="Comma 3 3 2 3 9 2" xfId="39764" xr:uid="{00000000-0005-0000-0000-0000EF0A0000}"/>
    <cellStyle name="Comma 3 3 2 4" xfId="5702" xr:uid="{00000000-0005-0000-0000-0000F00A0000}"/>
    <cellStyle name="Comma 3 3 2 4 2" xfId="14732" xr:uid="{00000000-0005-0000-0000-0000F10A0000}"/>
    <cellStyle name="Comma 3 3 2 4 2 2" xfId="18348" xr:uid="{00000000-0005-0000-0000-0000F20A0000}"/>
    <cellStyle name="Comma 3 3 2 4 2 2 2" xfId="38400" xr:uid="{00000000-0005-0000-0000-0000F30A0000}"/>
    <cellStyle name="Comma 3 3 2 4 2 3" xfId="18744" xr:uid="{00000000-0005-0000-0000-0000F40A0000}"/>
    <cellStyle name="Comma 3 3 2 4 2 3 2" xfId="38796" xr:uid="{00000000-0005-0000-0000-0000F50A0000}"/>
    <cellStyle name="Comma 3 3 2 4 2 4" xfId="19140" xr:uid="{00000000-0005-0000-0000-0000F60A0000}"/>
    <cellStyle name="Comma 3 3 2 4 2 4 2" xfId="39192" xr:uid="{00000000-0005-0000-0000-0000F70A0000}"/>
    <cellStyle name="Comma 3 3 2 4 2 5" xfId="19536" xr:uid="{00000000-0005-0000-0000-0000F80A0000}"/>
    <cellStyle name="Comma 3 3 2 4 2 5 2" xfId="39588" xr:uid="{00000000-0005-0000-0000-0000F90A0000}"/>
    <cellStyle name="Comma 3 3 2 4 2 6" xfId="19932" xr:uid="{00000000-0005-0000-0000-0000FA0A0000}"/>
    <cellStyle name="Comma 3 3 2 4 2 6 2" xfId="39984" xr:uid="{00000000-0005-0000-0000-0000FB0A0000}"/>
    <cellStyle name="Comma 3 3 2 4 2 7" xfId="34784" xr:uid="{00000000-0005-0000-0000-0000FC0A0000}"/>
    <cellStyle name="Comma 3 3 2 4 3" xfId="18150" xr:uid="{00000000-0005-0000-0000-0000FD0A0000}"/>
    <cellStyle name="Comma 3 3 2 4 3 2" xfId="38202" xr:uid="{00000000-0005-0000-0000-0000FE0A0000}"/>
    <cellStyle name="Comma 3 3 2 4 4" xfId="18546" xr:uid="{00000000-0005-0000-0000-0000FF0A0000}"/>
    <cellStyle name="Comma 3 3 2 4 4 2" xfId="38598" xr:uid="{00000000-0005-0000-0000-0000000B0000}"/>
    <cellStyle name="Comma 3 3 2 4 5" xfId="18942" xr:uid="{00000000-0005-0000-0000-0000010B0000}"/>
    <cellStyle name="Comma 3 3 2 4 5 2" xfId="38994" xr:uid="{00000000-0005-0000-0000-0000020B0000}"/>
    <cellStyle name="Comma 3 3 2 4 6" xfId="19338" xr:uid="{00000000-0005-0000-0000-0000030B0000}"/>
    <cellStyle name="Comma 3 3 2 4 6 2" xfId="39390" xr:uid="{00000000-0005-0000-0000-0000040B0000}"/>
    <cellStyle name="Comma 3 3 2 4 7" xfId="19734" xr:uid="{00000000-0005-0000-0000-0000050B0000}"/>
    <cellStyle name="Comma 3 3 2 4 7 2" xfId="39786" xr:uid="{00000000-0005-0000-0000-0000060B0000}"/>
    <cellStyle name="Comma 3 3 2 4 8" xfId="25754" xr:uid="{00000000-0005-0000-0000-0000070B0000}"/>
    <cellStyle name="Comma 3 3 2 5" xfId="8988" xr:uid="{00000000-0005-0000-0000-0000080B0000}"/>
    <cellStyle name="Comma 3 3 2 5 2" xfId="18018" xr:uid="{00000000-0005-0000-0000-0000090B0000}"/>
    <cellStyle name="Comma 3 3 2 5 2 2" xfId="18414" xr:uid="{00000000-0005-0000-0000-00000A0B0000}"/>
    <cellStyle name="Comma 3 3 2 5 2 2 2" xfId="38466" xr:uid="{00000000-0005-0000-0000-00000B0B0000}"/>
    <cellStyle name="Comma 3 3 2 5 2 3" xfId="18810" xr:uid="{00000000-0005-0000-0000-00000C0B0000}"/>
    <cellStyle name="Comma 3 3 2 5 2 3 2" xfId="38862" xr:uid="{00000000-0005-0000-0000-00000D0B0000}"/>
    <cellStyle name="Comma 3 3 2 5 2 4" xfId="19206" xr:uid="{00000000-0005-0000-0000-00000E0B0000}"/>
    <cellStyle name="Comma 3 3 2 5 2 4 2" xfId="39258" xr:uid="{00000000-0005-0000-0000-00000F0B0000}"/>
    <cellStyle name="Comma 3 3 2 5 2 5" xfId="19602" xr:uid="{00000000-0005-0000-0000-0000100B0000}"/>
    <cellStyle name="Comma 3 3 2 5 2 5 2" xfId="39654" xr:uid="{00000000-0005-0000-0000-0000110B0000}"/>
    <cellStyle name="Comma 3 3 2 5 2 6" xfId="19998" xr:uid="{00000000-0005-0000-0000-0000120B0000}"/>
    <cellStyle name="Comma 3 3 2 5 2 6 2" xfId="40050" xr:uid="{00000000-0005-0000-0000-0000130B0000}"/>
    <cellStyle name="Comma 3 3 2 5 2 7" xfId="38070" xr:uid="{00000000-0005-0000-0000-0000140B0000}"/>
    <cellStyle name="Comma 3 3 2 5 3" xfId="18216" xr:uid="{00000000-0005-0000-0000-0000150B0000}"/>
    <cellStyle name="Comma 3 3 2 5 3 2" xfId="38268" xr:uid="{00000000-0005-0000-0000-0000160B0000}"/>
    <cellStyle name="Comma 3 3 2 5 4" xfId="18612" xr:uid="{00000000-0005-0000-0000-0000170B0000}"/>
    <cellStyle name="Comma 3 3 2 5 4 2" xfId="38664" xr:uid="{00000000-0005-0000-0000-0000180B0000}"/>
    <cellStyle name="Comma 3 3 2 5 5" xfId="19008" xr:uid="{00000000-0005-0000-0000-0000190B0000}"/>
    <cellStyle name="Comma 3 3 2 5 5 2" xfId="39060" xr:uid="{00000000-0005-0000-0000-00001A0B0000}"/>
    <cellStyle name="Comma 3 3 2 5 6" xfId="19404" xr:uid="{00000000-0005-0000-0000-00001B0B0000}"/>
    <cellStyle name="Comma 3 3 2 5 6 2" xfId="39456" xr:uid="{00000000-0005-0000-0000-00001C0B0000}"/>
    <cellStyle name="Comma 3 3 2 5 7" xfId="19800" xr:uid="{00000000-0005-0000-0000-00001D0B0000}"/>
    <cellStyle name="Comma 3 3 2 5 7 2" xfId="39852" xr:uid="{00000000-0005-0000-0000-00001E0B0000}"/>
    <cellStyle name="Comma 3 3 2 5 8" xfId="29040" xr:uid="{00000000-0005-0000-0000-00001F0B0000}"/>
    <cellStyle name="Comma 3 3 2 6" xfId="10250" xr:uid="{00000000-0005-0000-0000-0000200B0000}"/>
    <cellStyle name="Comma 3 3 2 6 2" xfId="18282" xr:uid="{00000000-0005-0000-0000-0000210B0000}"/>
    <cellStyle name="Comma 3 3 2 6 2 2" xfId="38334" xr:uid="{00000000-0005-0000-0000-0000220B0000}"/>
    <cellStyle name="Comma 3 3 2 6 3" xfId="18678" xr:uid="{00000000-0005-0000-0000-0000230B0000}"/>
    <cellStyle name="Comma 3 3 2 6 3 2" xfId="38730" xr:uid="{00000000-0005-0000-0000-0000240B0000}"/>
    <cellStyle name="Comma 3 3 2 6 4" xfId="19074" xr:uid="{00000000-0005-0000-0000-0000250B0000}"/>
    <cellStyle name="Comma 3 3 2 6 4 2" xfId="39126" xr:uid="{00000000-0005-0000-0000-0000260B0000}"/>
    <cellStyle name="Comma 3 3 2 6 5" xfId="19470" xr:uid="{00000000-0005-0000-0000-0000270B0000}"/>
    <cellStyle name="Comma 3 3 2 6 5 2" xfId="39522" xr:uid="{00000000-0005-0000-0000-0000280B0000}"/>
    <cellStyle name="Comma 3 3 2 6 6" xfId="19866" xr:uid="{00000000-0005-0000-0000-0000290B0000}"/>
    <cellStyle name="Comma 3 3 2 6 6 2" xfId="39918" xr:uid="{00000000-0005-0000-0000-00002A0B0000}"/>
    <cellStyle name="Comma 3 3 2 6 7" xfId="30302" xr:uid="{00000000-0005-0000-0000-00002B0B0000}"/>
    <cellStyle name="Comma 3 3 2 7" xfId="18084" xr:uid="{00000000-0005-0000-0000-00002C0B0000}"/>
    <cellStyle name="Comma 3 3 2 7 2" xfId="38136" xr:uid="{00000000-0005-0000-0000-00002D0B0000}"/>
    <cellStyle name="Comma 3 3 2 8" xfId="18480" xr:uid="{00000000-0005-0000-0000-00002E0B0000}"/>
    <cellStyle name="Comma 3 3 2 8 2" xfId="38532" xr:uid="{00000000-0005-0000-0000-00002F0B0000}"/>
    <cellStyle name="Comma 3 3 2 9" xfId="18876" xr:uid="{00000000-0005-0000-0000-0000300B0000}"/>
    <cellStyle name="Comma 3 3 2 9 2" xfId="38928" xr:uid="{00000000-0005-0000-0000-0000310B0000}"/>
    <cellStyle name="Comma 3 3 3" xfId="1967" xr:uid="{00000000-0005-0000-0000-0000320B0000}"/>
    <cellStyle name="Comma 3 3 3 10" xfId="22019" xr:uid="{00000000-0005-0000-0000-0000330B0000}"/>
    <cellStyle name="Comma 3 3 3 2" xfId="6449" xr:uid="{00000000-0005-0000-0000-0000340B0000}"/>
    <cellStyle name="Comma 3 3 3 2 2" xfId="15479" xr:uid="{00000000-0005-0000-0000-0000350B0000}"/>
    <cellStyle name="Comma 3 3 3 2 2 2" xfId="18359" xr:uid="{00000000-0005-0000-0000-0000360B0000}"/>
    <cellStyle name="Comma 3 3 3 2 2 2 2" xfId="38411" xr:uid="{00000000-0005-0000-0000-0000370B0000}"/>
    <cellStyle name="Comma 3 3 3 2 2 3" xfId="18755" xr:uid="{00000000-0005-0000-0000-0000380B0000}"/>
    <cellStyle name="Comma 3 3 3 2 2 3 2" xfId="38807" xr:uid="{00000000-0005-0000-0000-0000390B0000}"/>
    <cellStyle name="Comma 3 3 3 2 2 4" xfId="19151" xr:uid="{00000000-0005-0000-0000-00003A0B0000}"/>
    <cellStyle name="Comma 3 3 3 2 2 4 2" xfId="39203" xr:uid="{00000000-0005-0000-0000-00003B0B0000}"/>
    <cellStyle name="Comma 3 3 3 2 2 5" xfId="19547" xr:uid="{00000000-0005-0000-0000-00003C0B0000}"/>
    <cellStyle name="Comma 3 3 3 2 2 5 2" xfId="39599" xr:uid="{00000000-0005-0000-0000-00003D0B0000}"/>
    <cellStyle name="Comma 3 3 3 2 2 6" xfId="19943" xr:uid="{00000000-0005-0000-0000-00003E0B0000}"/>
    <cellStyle name="Comma 3 3 3 2 2 6 2" xfId="39995" xr:uid="{00000000-0005-0000-0000-00003F0B0000}"/>
    <cellStyle name="Comma 3 3 3 2 2 7" xfId="35531" xr:uid="{00000000-0005-0000-0000-0000400B0000}"/>
    <cellStyle name="Comma 3 3 3 2 3" xfId="18161" xr:uid="{00000000-0005-0000-0000-0000410B0000}"/>
    <cellStyle name="Comma 3 3 3 2 3 2" xfId="38213" xr:uid="{00000000-0005-0000-0000-0000420B0000}"/>
    <cellStyle name="Comma 3 3 3 2 4" xfId="18557" xr:uid="{00000000-0005-0000-0000-0000430B0000}"/>
    <cellStyle name="Comma 3 3 3 2 4 2" xfId="38609" xr:uid="{00000000-0005-0000-0000-0000440B0000}"/>
    <cellStyle name="Comma 3 3 3 2 5" xfId="18953" xr:uid="{00000000-0005-0000-0000-0000450B0000}"/>
    <cellStyle name="Comma 3 3 3 2 5 2" xfId="39005" xr:uid="{00000000-0005-0000-0000-0000460B0000}"/>
    <cellStyle name="Comma 3 3 3 2 6" xfId="19349" xr:uid="{00000000-0005-0000-0000-0000470B0000}"/>
    <cellStyle name="Comma 3 3 3 2 6 2" xfId="39401" xr:uid="{00000000-0005-0000-0000-0000480B0000}"/>
    <cellStyle name="Comma 3 3 3 2 7" xfId="19745" xr:uid="{00000000-0005-0000-0000-0000490B0000}"/>
    <cellStyle name="Comma 3 3 3 2 7 2" xfId="39797" xr:uid="{00000000-0005-0000-0000-00004A0B0000}"/>
    <cellStyle name="Comma 3 3 3 2 8" xfId="26501" xr:uid="{00000000-0005-0000-0000-00004B0B0000}"/>
    <cellStyle name="Comma 3 3 3 3" xfId="8999" xr:uid="{00000000-0005-0000-0000-00004C0B0000}"/>
    <cellStyle name="Comma 3 3 3 3 2" xfId="18029" xr:uid="{00000000-0005-0000-0000-00004D0B0000}"/>
    <cellStyle name="Comma 3 3 3 3 2 2" xfId="18425" xr:uid="{00000000-0005-0000-0000-00004E0B0000}"/>
    <cellStyle name="Comma 3 3 3 3 2 2 2" xfId="38477" xr:uid="{00000000-0005-0000-0000-00004F0B0000}"/>
    <cellStyle name="Comma 3 3 3 3 2 3" xfId="18821" xr:uid="{00000000-0005-0000-0000-0000500B0000}"/>
    <cellStyle name="Comma 3 3 3 3 2 3 2" xfId="38873" xr:uid="{00000000-0005-0000-0000-0000510B0000}"/>
    <cellStyle name="Comma 3 3 3 3 2 4" xfId="19217" xr:uid="{00000000-0005-0000-0000-0000520B0000}"/>
    <cellStyle name="Comma 3 3 3 3 2 4 2" xfId="39269" xr:uid="{00000000-0005-0000-0000-0000530B0000}"/>
    <cellStyle name="Comma 3 3 3 3 2 5" xfId="19613" xr:uid="{00000000-0005-0000-0000-0000540B0000}"/>
    <cellStyle name="Comma 3 3 3 3 2 5 2" xfId="39665" xr:uid="{00000000-0005-0000-0000-0000550B0000}"/>
    <cellStyle name="Comma 3 3 3 3 2 6" xfId="20009" xr:uid="{00000000-0005-0000-0000-0000560B0000}"/>
    <cellStyle name="Comma 3 3 3 3 2 6 2" xfId="40061" xr:uid="{00000000-0005-0000-0000-0000570B0000}"/>
    <cellStyle name="Comma 3 3 3 3 2 7" xfId="38081" xr:uid="{00000000-0005-0000-0000-0000580B0000}"/>
    <cellStyle name="Comma 3 3 3 3 3" xfId="18227" xr:uid="{00000000-0005-0000-0000-0000590B0000}"/>
    <cellStyle name="Comma 3 3 3 3 3 2" xfId="38279" xr:uid="{00000000-0005-0000-0000-00005A0B0000}"/>
    <cellStyle name="Comma 3 3 3 3 4" xfId="18623" xr:uid="{00000000-0005-0000-0000-00005B0B0000}"/>
    <cellStyle name="Comma 3 3 3 3 4 2" xfId="38675" xr:uid="{00000000-0005-0000-0000-00005C0B0000}"/>
    <cellStyle name="Comma 3 3 3 3 5" xfId="19019" xr:uid="{00000000-0005-0000-0000-00005D0B0000}"/>
    <cellStyle name="Comma 3 3 3 3 5 2" xfId="39071" xr:uid="{00000000-0005-0000-0000-00005E0B0000}"/>
    <cellStyle name="Comma 3 3 3 3 6" xfId="19415" xr:uid="{00000000-0005-0000-0000-00005F0B0000}"/>
    <cellStyle name="Comma 3 3 3 3 6 2" xfId="39467" xr:uid="{00000000-0005-0000-0000-0000600B0000}"/>
    <cellStyle name="Comma 3 3 3 3 7" xfId="19811" xr:uid="{00000000-0005-0000-0000-0000610B0000}"/>
    <cellStyle name="Comma 3 3 3 3 7 2" xfId="39863" xr:uid="{00000000-0005-0000-0000-0000620B0000}"/>
    <cellStyle name="Comma 3 3 3 3 8" xfId="29051" xr:uid="{00000000-0005-0000-0000-0000630B0000}"/>
    <cellStyle name="Comma 3 3 3 4" xfId="10997" xr:uid="{00000000-0005-0000-0000-0000640B0000}"/>
    <cellStyle name="Comma 3 3 3 4 2" xfId="18293" xr:uid="{00000000-0005-0000-0000-0000650B0000}"/>
    <cellStyle name="Comma 3 3 3 4 2 2" xfId="38345" xr:uid="{00000000-0005-0000-0000-0000660B0000}"/>
    <cellStyle name="Comma 3 3 3 4 3" xfId="18689" xr:uid="{00000000-0005-0000-0000-0000670B0000}"/>
    <cellStyle name="Comma 3 3 3 4 3 2" xfId="38741" xr:uid="{00000000-0005-0000-0000-0000680B0000}"/>
    <cellStyle name="Comma 3 3 3 4 4" xfId="19085" xr:uid="{00000000-0005-0000-0000-0000690B0000}"/>
    <cellStyle name="Comma 3 3 3 4 4 2" xfId="39137" xr:uid="{00000000-0005-0000-0000-00006A0B0000}"/>
    <cellStyle name="Comma 3 3 3 4 5" xfId="19481" xr:uid="{00000000-0005-0000-0000-00006B0B0000}"/>
    <cellStyle name="Comma 3 3 3 4 5 2" xfId="39533" xr:uid="{00000000-0005-0000-0000-00006C0B0000}"/>
    <cellStyle name="Comma 3 3 3 4 6" xfId="19877" xr:uid="{00000000-0005-0000-0000-00006D0B0000}"/>
    <cellStyle name="Comma 3 3 3 4 6 2" xfId="39929" xr:uid="{00000000-0005-0000-0000-00006E0B0000}"/>
    <cellStyle name="Comma 3 3 3 4 7" xfId="31049" xr:uid="{00000000-0005-0000-0000-00006F0B0000}"/>
    <cellStyle name="Comma 3 3 3 5" xfId="18095" xr:uid="{00000000-0005-0000-0000-0000700B0000}"/>
    <cellStyle name="Comma 3 3 3 5 2" xfId="38147" xr:uid="{00000000-0005-0000-0000-0000710B0000}"/>
    <cellStyle name="Comma 3 3 3 6" xfId="18491" xr:uid="{00000000-0005-0000-0000-0000720B0000}"/>
    <cellStyle name="Comma 3 3 3 6 2" xfId="38543" xr:uid="{00000000-0005-0000-0000-0000730B0000}"/>
    <cellStyle name="Comma 3 3 3 7" xfId="18887" xr:uid="{00000000-0005-0000-0000-0000740B0000}"/>
    <cellStyle name="Comma 3 3 3 7 2" xfId="38939" xr:uid="{00000000-0005-0000-0000-0000750B0000}"/>
    <cellStyle name="Comma 3 3 3 8" xfId="19283" xr:uid="{00000000-0005-0000-0000-0000760B0000}"/>
    <cellStyle name="Comma 3 3 3 8 2" xfId="39335" xr:uid="{00000000-0005-0000-0000-0000770B0000}"/>
    <cellStyle name="Comma 3 3 3 9" xfId="19679" xr:uid="{00000000-0005-0000-0000-0000780B0000}"/>
    <cellStyle name="Comma 3 3 3 9 2" xfId="39731" xr:uid="{00000000-0005-0000-0000-0000790B0000}"/>
    <cellStyle name="Comma 3 3 4" xfId="3461" xr:uid="{00000000-0005-0000-0000-00007A0B0000}"/>
    <cellStyle name="Comma 3 3 4 10" xfId="23513" xr:uid="{00000000-0005-0000-0000-00007B0B0000}"/>
    <cellStyle name="Comma 3 3 4 2" xfId="7943" xr:uid="{00000000-0005-0000-0000-00007C0B0000}"/>
    <cellStyle name="Comma 3 3 4 2 2" xfId="16973" xr:uid="{00000000-0005-0000-0000-00007D0B0000}"/>
    <cellStyle name="Comma 3 3 4 2 2 2" xfId="18381" xr:uid="{00000000-0005-0000-0000-00007E0B0000}"/>
    <cellStyle name="Comma 3 3 4 2 2 2 2" xfId="38433" xr:uid="{00000000-0005-0000-0000-00007F0B0000}"/>
    <cellStyle name="Comma 3 3 4 2 2 3" xfId="18777" xr:uid="{00000000-0005-0000-0000-0000800B0000}"/>
    <cellStyle name="Comma 3 3 4 2 2 3 2" xfId="38829" xr:uid="{00000000-0005-0000-0000-0000810B0000}"/>
    <cellStyle name="Comma 3 3 4 2 2 4" xfId="19173" xr:uid="{00000000-0005-0000-0000-0000820B0000}"/>
    <cellStyle name="Comma 3 3 4 2 2 4 2" xfId="39225" xr:uid="{00000000-0005-0000-0000-0000830B0000}"/>
    <cellStyle name="Comma 3 3 4 2 2 5" xfId="19569" xr:uid="{00000000-0005-0000-0000-0000840B0000}"/>
    <cellStyle name="Comma 3 3 4 2 2 5 2" xfId="39621" xr:uid="{00000000-0005-0000-0000-0000850B0000}"/>
    <cellStyle name="Comma 3 3 4 2 2 6" xfId="19965" xr:uid="{00000000-0005-0000-0000-0000860B0000}"/>
    <cellStyle name="Comma 3 3 4 2 2 6 2" xfId="40017" xr:uid="{00000000-0005-0000-0000-0000870B0000}"/>
    <cellStyle name="Comma 3 3 4 2 2 7" xfId="37025" xr:uid="{00000000-0005-0000-0000-0000880B0000}"/>
    <cellStyle name="Comma 3 3 4 2 3" xfId="18183" xr:uid="{00000000-0005-0000-0000-0000890B0000}"/>
    <cellStyle name="Comma 3 3 4 2 3 2" xfId="38235" xr:uid="{00000000-0005-0000-0000-00008A0B0000}"/>
    <cellStyle name="Comma 3 3 4 2 4" xfId="18579" xr:uid="{00000000-0005-0000-0000-00008B0B0000}"/>
    <cellStyle name="Comma 3 3 4 2 4 2" xfId="38631" xr:uid="{00000000-0005-0000-0000-00008C0B0000}"/>
    <cellStyle name="Comma 3 3 4 2 5" xfId="18975" xr:uid="{00000000-0005-0000-0000-00008D0B0000}"/>
    <cellStyle name="Comma 3 3 4 2 5 2" xfId="39027" xr:uid="{00000000-0005-0000-0000-00008E0B0000}"/>
    <cellStyle name="Comma 3 3 4 2 6" xfId="19371" xr:uid="{00000000-0005-0000-0000-00008F0B0000}"/>
    <cellStyle name="Comma 3 3 4 2 6 2" xfId="39423" xr:uid="{00000000-0005-0000-0000-0000900B0000}"/>
    <cellStyle name="Comma 3 3 4 2 7" xfId="19767" xr:uid="{00000000-0005-0000-0000-0000910B0000}"/>
    <cellStyle name="Comma 3 3 4 2 7 2" xfId="39819" xr:uid="{00000000-0005-0000-0000-0000920B0000}"/>
    <cellStyle name="Comma 3 3 4 2 8" xfId="27995" xr:uid="{00000000-0005-0000-0000-0000930B0000}"/>
    <cellStyle name="Comma 3 3 4 3" xfId="9021" xr:uid="{00000000-0005-0000-0000-0000940B0000}"/>
    <cellStyle name="Comma 3 3 4 3 2" xfId="18051" xr:uid="{00000000-0005-0000-0000-0000950B0000}"/>
    <cellStyle name="Comma 3 3 4 3 2 2" xfId="18447" xr:uid="{00000000-0005-0000-0000-0000960B0000}"/>
    <cellStyle name="Comma 3 3 4 3 2 2 2" xfId="38499" xr:uid="{00000000-0005-0000-0000-0000970B0000}"/>
    <cellStyle name="Comma 3 3 4 3 2 3" xfId="18843" xr:uid="{00000000-0005-0000-0000-0000980B0000}"/>
    <cellStyle name="Comma 3 3 4 3 2 3 2" xfId="38895" xr:uid="{00000000-0005-0000-0000-0000990B0000}"/>
    <cellStyle name="Comma 3 3 4 3 2 4" xfId="19239" xr:uid="{00000000-0005-0000-0000-00009A0B0000}"/>
    <cellStyle name="Comma 3 3 4 3 2 4 2" xfId="39291" xr:uid="{00000000-0005-0000-0000-00009B0B0000}"/>
    <cellStyle name="Comma 3 3 4 3 2 5" xfId="19635" xr:uid="{00000000-0005-0000-0000-00009C0B0000}"/>
    <cellStyle name="Comma 3 3 4 3 2 5 2" xfId="39687" xr:uid="{00000000-0005-0000-0000-00009D0B0000}"/>
    <cellStyle name="Comma 3 3 4 3 2 6" xfId="20031" xr:uid="{00000000-0005-0000-0000-00009E0B0000}"/>
    <cellStyle name="Comma 3 3 4 3 2 6 2" xfId="40083" xr:uid="{00000000-0005-0000-0000-00009F0B0000}"/>
    <cellStyle name="Comma 3 3 4 3 2 7" xfId="38103" xr:uid="{00000000-0005-0000-0000-0000A00B0000}"/>
    <cellStyle name="Comma 3 3 4 3 3" xfId="18249" xr:uid="{00000000-0005-0000-0000-0000A10B0000}"/>
    <cellStyle name="Comma 3 3 4 3 3 2" xfId="38301" xr:uid="{00000000-0005-0000-0000-0000A20B0000}"/>
    <cellStyle name="Comma 3 3 4 3 4" xfId="18645" xr:uid="{00000000-0005-0000-0000-0000A30B0000}"/>
    <cellStyle name="Comma 3 3 4 3 4 2" xfId="38697" xr:uid="{00000000-0005-0000-0000-0000A40B0000}"/>
    <cellStyle name="Comma 3 3 4 3 5" xfId="19041" xr:uid="{00000000-0005-0000-0000-0000A50B0000}"/>
    <cellStyle name="Comma 3 3 4 3 5 2" xfId="39093" xr:uid="{00000000-0005-0000-0000-0000A60B0000}"/>
    <cellStyle name="Comma 3 3 4 3 6" xfId="19437" xr:uid="{00000000-0005-0000-0000-0000A70B0000}"/>
    <cellStyle name="Comma 3 3 4 3 6 2" xfId="39489" xr:uid="{00000000-0005-0000-0000-0000A80B0000}"/>
    <cellStyle name="Comma 3 3 4 3 7" xfId="19833" xr:uid="{00000000-0005-0000-0000-0000A90B0000}"/>
    <cellStyle name="Comma 3 3 4 3 7 2" xfId="39885" xr:uid="{00000000-0005-0000-0000-0000AA0B0000}"/>
    <cellStyle name="Comma 3 3 4 3 8" xfId="29073" xr:uid="{00000000-0005-0000-0000-0000AB0B0000}"/>
    <cellStyle name="Comma 3 3 4 4" xfId="12491" xr:uid="{00000000-0005-0000-0000-0000AC0B0000}"/>
    <cellStyle name="Comma 3 3 4 4 2" xfId="18315" xr:uid="{00000000-0005-0000-0000-0000AD0B0000}"/>
    <cellStyle name="Comma 3 3 4 4 2 2" xfId="38367" xr:uid="{00000000-0005-0000-0000-0000AE0B0000}"/>
    <cellStyle name="Comma 3 3 4 4 3" xfId="18711" xr:uid="{00000000-0005-0000-0000-0000AF0B0000}"/>
    <cellStyle name="Comma 3 3 4 4 3 2" xfId="38763" xr:uid="{00000000-0005-0000-0000-0000B00B0000}"/>
    <cellStyle name="Comma 3 3 4 4 4" xfId="19107" xr:uid="{00000000-0005-0000-0000-0000B10B0000}"/>
    <cellStyle name="Comma 3 3 4 4 4 2" xfId="39159" xr:uid="{00000000-0005-0000-0000-0000B20B0000}"/>
    <cellStyle name="Comma 3 3 4 4 5" xfId="19503" xr:uid="{00000000-0005-0000-0000-0000B30B0000}"/>
    <cellStyle name="Comma 3 3 4 4 5 2" xfId="39555" xr:uid="{00000000-0005-0000-0000-0000B40B0000}"/>
    <cellStyle name="Comma 3 3 4 4 6" xfId="19899" xr:uid="{00000000-0005-0000-0000-0000B50B0000}"/>
    <cellStyle name="Comma 3 3 4 4 6 2" xfId="39951" xr:uid="{00000000-0005-0000-0000-0000B60B0000}"/>
    <cellStyle name="Comma 3 3 4 4 7" xfId="32543" xr:uid="{00000000-0005-0000-0000-0000B70B0000}"/>
    <cellStyle name="Comma 3 3 4 5" xfId="18117" xr:uid="{00000000-0005-0000-0000-0000B80B0000}"/>
    <cellStyle name="Comma 3 3 4 5 2" xfId="38169" xr:uid="{00000000-0005-0000-0000-0000B90B0000}"/>
    <cellStyle name="Comma 3 3 4 6" xfId="18513" xr:uid="{00000000-0005-0000-0000-0000BA0B0000}"/>
    <cellStyle name="Comma 3 3 4 6 2" xfId="38565" xr:uid="{00000000-0005-0000-0000-0000BB0B0000}"/>
    <cellStyle name="Comma 3 3 4 7" xfId="18909" xr:uid="{00000000-0005-0000-0000-0000BC0B0000}"/>
    <cellStyle name="Comma 3 3 4 7 2" xfId="38961" xr:uid="{00000000-0005-0000-0000-0000BD0B0000}"/>
    <cellStyle name="Comma 3 3 4 8" xfId="19305" xr:uid="{00000000-0005-0000-0000-0000BE0B0000}"/>
    <cellStyle name="Comma 3 3 4 8 2" xfId="39357" xr:uid="{00000000-0005-0000-0000-0000BF0B0000}"/>
    <cellStyle name="Comma 3 3 4 9" xfId="19701" xr:uid="{00000000-0005-0000-0000-0000C00B0000}"/>
    <cellStyle name="Comma 3 3 4 9 2" xfId="39753" xr:uid="{00000000-0005-0000-0000-0000C10B0000}"/>
    <cellStyle name="Comma 3 3 5" xfId="4955" xr:uid="{00000000-0005-0000-0000-0000C20B0000}"/>
    <cellStyle name="Comma 3 3 5 2" xfId="13985" xr:uid="{00000000-0005-0000-0000-0000C30B0000}"/>
    <cellStyle name="Comma 3 3 5 2 2" xfId="18337" xr:uid="{00000000-0005-0000-0000-0000C40B0000}"/>
    <cellStyle name="Comma 3 3 5 2 2 2" xfId="38389" xr:uid="{00000000-0005-0000-0000-0000C50B0000}"/>
    <cellStyle name="Comma 3 3 5 2 3" xfId="18733" xr:uid="{00000000-0005-0000-0000-0000C60B0000}"/>
    <cellStyle name="Comma 3 3 5 2 3 2" xfId="38785" xr:uid="{00000000-0005-0000-0000-0000C70B0000}"/>
    <cellStyle name="Comma 3 3 5 2 4" xfId="19129" xr:uid="{00000000-0005-0000-0000-0000C80B0000}"/>
    <cellStyle name="Comma 3 3 5 2 4 2" xfId="39181" xr:uid="{00000000-0005-0000-0000-0000C90B0000}"/>
    <cellStyle name="Comma 3 3 5 2 5" xfId="19525" xr:uid="{00000000-0005-0000-0000-0000CA0B0000}"/>
    <cellStyle name="Comma 3 3 5 2 5 2" xfId="39577" xr:uid="{00000000-0005-0000-0000-0000CB0B0000}"/>
    <cellStyle name="Comma 3 3 5 2 6" xfId="19921" xr:uid="{00000000-0005-0000-0000-0000CC0B0000}"/>
    <cellStyle name="Comma 3 3 5 2 6 2" xfId="39973" xr:uid="{00000000-0005-0000-0000-0000CD0B0000}"/>
    <cellStyle name="Comma 3 3 5 2 7" xfId="34037" xr:uid="{00000000-0005-0000-0000-0000CE0B0000}"/>
    <cellStyle name="Comma 3 3 5 3" xfId="18139" xr:uid="{00000000-0005-0000-0000-0000CF0B0000}"/>
    <cellStyle name="Comma 3 3 5 3 2" xfId="38191" xr:uid="{00000000-0005-0000-0000-0000D00B0000}"/>
    <cellStyle name="Comma 3 3 5 4" xfId="18535" xr:uid="{00000000-0005-0000-0000-0000D10B0000}"/>
    <cellStyle name="Comma 3 3 5 4 2" xfId="38587" xr:uid="{00000000-0005-0000-0000-0000D20B0000}"/>
    <cellStyle name="Comma 3 3 5 5" xfId="18931" xr:uid="{00000000-0005-0000-0000-0000D30B0000}"/>
    <cellStyle name="Comma 3 3 5 5 2" xfId="38983" xr:uid="{00000000-0005-0000-0000-0000D40B0000}"/>
    <cellStyle name="Comma 3 3 5 6" xfId="19327" xr:uid="{00000000-0005-0000-0000-0000D50B0000}"/>
    <cellStyle name="Comma 3 3 5 6 2" xfId="39379" xr:uid="{00000000-0005-0000-0000-0000D60B0000}"/>
    <cellStyle name="Comma 3 3 5 7" xfId="19723" xr:uid="{00000000-0005-0000-0000-0000D70B0000}"/>
    <cellStyle name="Comma 3 3 5 7 2" xfId="39775" xr:uid="{00000000-0005-0000-0000-0000D80B0000}"/>
    <cellStyle name="Comma 3 3 5 8" xfId="25007" xr:uid="{00000000-0005-0000-0000-0000D90B0000}"/>
    <cellStyle name="Comma 3 3 6" xfId="8977" xr:uid="{00000000-0005-0000-0000-0000DA0B0000}"/>
    <cellStyle name="Comma 3 3 6 2" xfId="18007" xr:uid="{00000000-0005-0000-0000-0000DB0B0000}"/>
    <cellStyle name="Comma 3 3 6 2 2" xfId="18403" xr:uid="{00000000-0005-0000-0000-0000DC0B0000}"/>
    <cellStyle name="Comma 3 3 6 2 2 2" xfId="38455" xr:uid="{00000000-0005-0000-0000-0000DD0B0000}"/>
    <cellStyle name="Comma 3 3 6 2 3" xfId="18799" xr:uid="{00000000-0005-0000-0000-0000DE0B0000}"/>
    <cellStyle name="Comma 3 3 6 2 3 2" xfId="38851" xr:uid="{00000000-0005-0000-0000-0000DF0B0000}"/>
    <cellStyle name="Comma 3 3 6 2 4" xfId="19195" xr:uid="{00000000-0005-0000-0000-0000E00B0000}"/>
    <cellStyle name="Comma 3 3 6 2 4 2" xfId="39247" xr:uid="{00000000-0005-0000-0000-0000E10B0000}"/>
    <cellStyle name="Comma 3 3 6 2 5" xfId="19591" xr:uid="{00000000-0005-0000-0000-0000E20B0000}"/>
    <cellStyle name="Comma 3 3 6 2 5 2" xfId="39643" xr:uid="{00000000-0005-0000-0000-0000E30B0000}"/>
    <cellStyle name="Comma 3 3 6 2 6" xfId="19987" xr:uid="{00000000-0005-0000-0000-0000E40B0000}"/>
    <cellStyle name="Comma 3 3 6 2 6 2" xfId="40039" xr:uid="{00000000-0005-0000-0000-0000E50B0000}"/>
    <cellStyle name="Comma 3 3 6 2 7" xfId="38059" xr:uid="{00000000-0005-0000-0000-0000E60B0000}"/>
    <cellStyle name="Comma 3 3 6 3" xfId="18205" xr:uid="{00000000-0005-0000-0000-0000E70B0000}"/>
    <cellStyle name="Comma 3 3 6 3 2" xfId="38257" xr:uid="{00000000-0005-0000-0000-0000E80B0000}"/>
    <cellStyle name="Comma 3 3 6 4" xfId="18601" xr:uid="{00000000-0005-0000-0000-0000E90B0000}"/>
    <cellStyle name="Comma 3 3 6 4 2" xfId="38653" xr:uid="{00000000-0005-0000-0000-0000EA0B0000}"/>
    <cellStyle name="Comma 3 3 6 5" xfId="18997" xr:uid="{00000000-0005-0000-0000-0000EB0B0000}"/>
    <cellStyle name="Comma 3 3 6 5 2" xfId="39049" xr:uid="{00000000-0005-0000-0000-0000EC0B0000}"/>
    <cellStyle name="Comma 3 3 6 6" xfId="19393" xr:uid="{00000000-0005-0000-0000-0000ED0B0000}"/>
    <cellStyle name="Comma 3 3 6 6 2" xfId="39445" xr:uid="{00000000-0005-0000-0000-0000EE0B0000}"/>
    <cellStyle name="Comma 3 3 6 7" xfId="19789" xr:uid="{00000000-0005-0000-0000-0000EF0B0000}"/>
    <cellStyle name="Comma 3 3 6 7 2" xfId="39841" xr:uid="{00000000-0005-0000-0000-0000F00B0000}"/>
    <cellStyle name="Comma 3 3 6 8" xfId="29029" xr:uid="{00000000-0005-0000-0000-0000F10B0000}"/>
    <cellStyle name="Comma 3 3 7" xfId="9503" xr:uid="{00000000-0005-0000-0000-0000F20B0000}"/>
    <cellStyle name="Comma 3 3 7 2" xfId="18271" xr:uid="{00000000-0005-0000-0000-0000F30B0000}"/>
    <cellStyle name="Comma 3 3 7 2 2" xfId="38323" xr:uid="{00000000-0005-0000-0000-0000F40B0000}"/>
    <cellStyle name="Comma 3 3 7 3" xfId="18667" xr:uid="{00000000-0005-0000-0000-0000F50B0000}"/>
    <cellStyle name="Comma 3 3 7 3 2" xfId="38719" xr:uid="{00000000-0005-0000-0000-0000F60B0000}"/>
    <cellStyle name="Comma 3 3 7 4" xfId="19063" xr:uid="{00000000-0005-0000-0000-0000F70B0000}"/>
    <cellStyle name="Comma 3 3 7 4 2" xfId="39115" xr:uid="{00000000-0005-0000-0000-0000F80B0000}"/>
    <cellStyle name="Comma 3 3 7 5" xfId="19459" xr:uid="{00000000-0005-0000-0000-0000F90B0000}"/>
    <cellStyle name="Comma 3 3 7 5 2" xfId="39511" xr:uid="{00000000-0005-0000-0000-0000FA0B0000}"/>
    <cellStyle name="Comma 3 3 7 6" xfId="19855" xr:uid="{00000000-0005-0000-0000-0000FB0B0000}"/>
    <cellStyle name="Comma 3 3 7 6 2" xfId="39907" xr:uid="{00000000-0005-0000-0000-0000FC0B0000}"/>
    <cellStyle name="Comma 3 3 7 7" xfId="29555" xr:uid="{00000000-0005-0000-0000-0000FD0B0000}"/>
    <cellStyle name="Comma 3 3 8" xfId="18073" xr:uid="{00000000-0005-0000-0000-0000FE0B0000}"/>
    <cellStyle name="Comma 3 3 8 2" xfId="38125" xr:uid="{00000000-0005-0000-0000-0000FF0B0000}"/>
    <cellStyle name="Comma 3 3 9" xfId="18469" xr:uid="{00000000-0005-0000-0000-0000000C0000}"/>
    <cellStyle name="Comma 3 3 9 2" xfId="38521" xr:uid="{00000000-0005-0000-0000-0000010C0000}"/>
    <cellStyle name="Comma 3 4" xfId="659" xr:uid="{00000000-0005-0000-0000-0000020C0000}"/>
    <cellStyle name="Comma 3 4 10" xfId="18867" xr:uid="{00000000-0005-0000-0000-0000030C0000}"/>
    <cellStyle name="Comma 3 4 10 2" xfId="38919" xr:uid="{00000000-0005-0000-0000-0000040C0000}"/>
    <cellStyle name="Comma 3 4 11" xfId="19263" xr:uid="{00000000-0005-0000-0000-0000050C0000}"/>
    <cellStyle name="Comma 3 4 11 2" xfId="39315" xr:uid="{00000000-0005-0000-0000-0000060C0000}"/>
    <cellStyle name="Comma 3 4 12" xfId="19659" xr:uid="{00000000-0005-0000-0000-0000070C0000}"/>
    <cellStyle name="Comma 3 4 12 2" xfId="39711" xr:uid="{00000000-0005-0000-0000-0000080C0000}"/>
    <cellStyle name="Comma 3 4 13" xfId="20711" xr:uid="{00000000-0005-0000-0000-0000090C0000}"/>
    <cellStyle name="Comma 3 4 2" xfId="1406" xr:uid="{00000000-0005-0000-0000-00000A0C0000}"/>
    <cellStyle name="Comma 3 4 2 10" xfId="19274" xr:uid="{00000000-0005-0000-0000-00000B0C0000}"/>
    <cellStyle name="Comma 3 4 2 10 2" xfId="39326" xr:uid="{00000000-0005-0000-0000-00000C0C0000}"/>
    <cellStyle name="Comma 3 4 2 11" xfId="19670" xr:uid="{00000000-0005-0000-0000-00000D0C0000}"/>
    <cellStyle name="Comma 3 4 2 11 2" xfId="39722" xr:uid="{00000000-0005-0000-0000-00000E0C0000}"/>
    <cellStyle name="Comma 3 4 2 12" xfId="21458" xr:uid="{00000000-0005-0000-0000-00000F0C0000}"/>
    <cellStyle name="Comma 3 4 2 2" xfId="2900" xr:uid="{00000000-0005-0000-0000-0000100C0000}"/>
    <cellStyle name="Comma 3 4 2 2 10" xfId="22952" xr:uid="{00000000-0005-0000-0000-0000110C0000}"/>
    <cellStyle name="Comma 3 4 2 2 2" xfId="7382" xr:uid="{00000000-0005-0000-0000-0000120C0000}"/>
    <cellStyle name="Comma 3 4 2 2 2 2" xfId="16412" xr:uid="{00000000-0005-0000-0000-0000130C0000}"/>
    <cellStyle name="Comma 3 4 2 2 2 2 2" xfId="18372" xr:uid="{00000000-0005-0000-0000-0000140C0000}"/>
    <cellStyle name="Comma 3 4 2 2 2 2 2 2" xfId="38424" xr:uid="{00000000-0005-0000-0000-0000150C0000}"/>
    <cellStyle name="Comma 3 4 2 2 2 2 3" xfId="18768" xr:uid="{00000000-0005-0000-0000-0000160C0000}"/>
    <cellStyle name="Comma 3 4 2 2 2 2 3 2" xfId="38820" xr:uid="{00000000-0005-0000-0000-0000170C0000}"/>
    <cellStyle name="Comma 3 4 2 2 2 2 4" xfId="19164" xr:uid="{00000000-0005-0000-0000-0000180C0000}"/>
    <cellStyle name="Comma 3 4 2 2 2 2 4 2" xfId="39216" xr:uid="{00000000-0005-0000-0000-0000190C0000}"/>
    <cellStyle name="Comma 3 4 2 2 2 2 5" xfId="19560" xr:uid="{00000000-0005-0000-0000-00001A0C0000}"/>
    <cellStyle name="Comma 3 4 2 2 2 2 5 2" xfId="39612" xr:uid="{00000000-0005-0000-0000-00001B0C0000}"/>
    <cellStyle name="Comma 3 4 2 2 2 2 6" xfId="19956" xr:uid="{00000000-0005-0000-0000-00001C0C0000}"/>
    <cellStyle name="Comma 3 4 2 2 2 2 6 2" xfId="40008" xr:uid="{00000000-0005-0000-0000-00001D0C0000}"/>
    <cellStyle name="Comma 3 4 2 2 2 2 7" xfId="36464" xr:uid="{00000000-0005-0000-0000-00001E0C0000}"/>
    <cellStyle name="Comma 3 4 2 2 2 3" xfId="18174" xr:uid="{00000000-0005-0000-0000-00001F0C0000}"/>
    <cellStyle name="Comma 3 4 2 2 2 3 2" xfId="38226" xr:uid="{00000000-0005-0000-0000-0000200C0000}"/>
    <cellStyle name="Comma 3 4 2 2 2 4" xfId="18570" xr:uid="{00000000-0005-0000-0000-0000210C0000}"/>
    <cellStyle name="Comma 3 4 2 2 2 4 2" xfId="38622" xr:uid="{00000000-0005-0000-0000-0000220C0000}"/>
    <cellStyle name="Comma 3 4 2 2 2 5" xfId="18966" xr:uid="{00000000-0005-0000-0000-0000230C0000}"/>
    <cellStyle name="Comma 3 4 2 2 2 5 2" xfId="39018" xr:uid="{00000000-0005-0000-0000-0000240C0000}"/>
    <cellStyle name="Comma 3 4 2 2 2 6" xfId="19362" xr:uid="{00000000-0005-0000-0000-0000250C0000}"/>
    <cellStyle name="Comma 3 4 2 2 2 6 2" xfId="39414" xr:uid="{00000000-0005-0000-0000-0000260C0000}"/>
    <cellStyle name="Comma 3 4 2 2 2 7" xfId="19758" xr:uid="{00000000-0005-0000-0000-0000270C0000}"/>
    <cellStyle name="Comma 3 4 2 2 2 7 2" xfId="39810" xr:uid="{00000000-0005-0000-0000-0000280C0000}"/>
    <cellStyle name="Comma 3 4 2 2 2 8" xfId="27434" xr:uid="{00000000-0005-0000-0000-0000290C0000}"/>
    <cellStyle name="Comma 3 4 2 2 3" xfId="9012" xr:uid="{00000000-0005-0000-0000-00002A0C0000}"/>
    <cellStyle name="Comma 3 4 2 2 3 2" xfId="18042" xr:uid="{00000000-0005-0000-0000-00002B0C0000}"/>
    <cellStyle name="Comma 3 4 2 2 3 2 2" xfId="18438" xr:uid="{00000000-0005-0000-0000-00002C0C0000}"/>
    <cellStyle name="Comma 3 4 2 2 3 2 2 2" xfId="38490" xr:uid="{00000000-0005-0000-0000-00002D0C0000}"/>
    <cellStyle name="Comma 3 4 2 2 3 2 3" xfId="18834" xr:uid="{00000000-0005-0000-0000-00002E0C0000}"/>
    <cellStyle name="Comma 3 4 2 2 3 2 3 2" xfId="38886" xr:uid="{00000000-0005-0000-0000-00002F0C0000}"/>
    <cellStyle name="Comma 3 4 2 2 3 2 4" xfId="19230" xr:uid="{00000000-0005-0000-0000-0000300C0000}"/>
    <cellStyle name="Comma 3 4 2 2 3 2 4 2" xfId="39282" xr:uid="{00000000-0005-0000-0000-0000310C0000}"/>
    <cellStyle name="Comma 3 4 2 2 3 2 5" xfId="19626" xr:uid="{00000000-0005-0000-0000-0000320C0000}"/>
    <cellStyle name="Comma 3 4 2 2 3 2 5 2" xfId="39678" xr:uid="{00000000-0005-0000-0000-0000330C0000}"/>
    <cellStyle name="Comma 3 4 2 2 3 2 6" xfId="20022" xr:uid="{00000000-0005-0000-0000-0000340C0000}"/>
    <cellStyle name="Comma 3 4 2 2 3 2 6 2" xfId="40074" xr:uid="{00000000-0005-0000-0000-0000350C0000}"/>
    <cellStyle name="Comma 3 4 2 2 3 2 7" xfId="38094" xr:uid="{00000000-0005-0000-0000-0000360C0000}"/>
    <cellStyle name="Comma 3 4 2 2 3 3" xfId="18240" xr:uid="{00000000-0005-0000-0000-0000370C0000}"/>
    <cellStyle name="Comma 3 4 2 2 3 3 2" xfId="38292" xr:uid="{00000000-0005-0000-0000-0000380C0000}"/>
    <cellStyle name="Comma 3 4 2 2 3 4" xfId="18636" xr:uid="{00000000-0005-0000-0000-0000390C0000}"/>
    <cellStyle name="Comma 3 4 2 2 3 4 2" xfId="38688" xr:uid="{00000000-0005-0000-0000-00003A0C0000}"/>
    <cellStyle name="Comma 3 4 2 2 3 5" xfId="19032" xr:uid="{00000000-0005-0000-0000-00003B0C0000}"/>
    <cellStyle name="Comma 3 4 2 2 3 5 2" xfId="39084" xr:uid="{00000000-0005-0000-0000-00003C0C0000}"/>
    <cellStyle name="Comma 3 4 2 2 3 6" xfId="19428" xr:uid="{00000000-0005-0000-0000-00003D0C0000}"/>
    <cellStyle name="Comma 3 4 2 2 3 6 2" xfId="39480" xr:uid="{00000000-0005-0000-0000-00003E0C0000}"/>
    <cellStyle name="Comma 3 4 2 2 3 7" xfId="19824" xr:uid="{00000000-0005-0000-0000-00003F0C0000}"/>
    <cellStyle name="Comma 3 4 2 2 3 7 2" xfId="39876" xr:uid="{00000000-0005-0000-0000-0000400C0000}"/>
    <cellStyle name="Comma 3 4 2 2 3 8" xfId="29064" xr:uid="{00000000-0005-0000-0000-0000410C0000}"/>
    <cellStyle name="Comma 3 4 2 2 4" xfId="11930" xr:uid="{00000000-0005-0000-0000-0000420C0000}"/>
    <cellStyle name="Comma 3 4 2 2 4 2" xfId="18306" xr:uid="{00000000-0005-0000-0000-0000430C0000}"/>
    <cellStyle name="Comma 3 4 2 2 4 2 2" xfId="38358" xr:uid="{00000000-0005-0000-0000-0000440C0000}"/>
    <cellStyle name="Comma 3 4 2 2 4 3" xfId="18702" xr:uid="{00000000-0005-0000-0000-0000450C0000}"/>
    <cellStyle name="Comma 3 4 2 2 4 3 2" xfId="38754" xr:uid="{00000000-0005-0000-0000-0000460C0000}"/>
    <cellStyle name="Comma 3 4 2 2 4 4" xfId="19098" xr:uid="{00000000-0005-0000-0000-0000470C0000}"/>
    <cellStyle name="Comma 3 4 2 2 4 4 2" xfId="39150" xr:uid="{00000000-0005-0000-0000-0000480C0000}"/>
    <cellStyle name="Comma 3 4 2 2 4 5" xfId="19494" xr:uid="{00000000-0005-0000-0000-0000490C0000}"/>
    <cellStyle name="Comma 3 4 2 2 4 5 2" xfId="39546" xr:uid="{00000000-0005-0000-0000-00004A0C0000}"/>
    <cellStyle name="Comma 3 4 2 2 4 6" xfId="19890" xr:uid="{00000000-0005-0000-0000-00004B0C0000}"/>
    <cellStyle name="Comma 3 4 2 2 4 6 2" xfId="39942" xr:uid="{00000000-0005-0000-0000-00004C0C0000}"/>
    <cellStyle name="Comma 3 4 2 2 4 7" xfId="31982" xr:uid="{00000000-0005-0000-0000-00004D0C0000}"/>
    <cellStyle name="Comma 3 4 2 2 5" xfId="18108" xr:uid="{00000000-0005-0000-0000-00004E0C0000}"/>
    <cellStyle name="Comma 3 4 2 2 5 2" xfId="38160" xr:uid="{00000000-0005-0000-0000-00004F0C0000}"/>
    <cellStyle name="Comma 3 4 2 2 6" xfId="18504" xr:uid="{00000000-0005-0000-0000-0000500C0000}"/>
    <cellStyle name="Comma 3 4 2 2 6 2" xfId="38556" xr:uid="{00000000-0005-0000-0000-0000510C0000}"/>
    <cellStyle name="Comma 3 4 2 2 7" xfId="18900" xr:uid="{00000000-0005-0000-0000-0000520C0000}"/>
    <cellStyle name="Comma 3 4 2 2 7 2" xfId="38952" xr:uid="{00000000-0005-0000-0000-0000530C0000}"/>
    <cellStyle name="Comma 3 4 2 2 8" xfId="19296" xr:uid="{00000000-0005-0000-0000-0000540C0000}"/>
    <cellStyle name="Comma 3 4 2 2 8 2" xfId="39348" xr:uid="{00000000-0005-0000-0000-0000550C0000}"/>
    <cellStyle name="Comma 3 4 2 2 9" xfId="19692" xr:uid="{00000000-0005-0000-0000-0000560C0000}"/>
    <cellStyle name="Comma 3 4 2 2 9 2" xfId="39744" xr:uid="{00000000-0005-0000-0000-0000570C0000}"/>
    <cellStyle name="Comma 3 4 2 3" xfId="4394" xr:uid="{00000000-0005-0000-0000-0000580C0000}"/>
    <cellStyle name="Comma 3 4 2 3 10" xfId="24446" xr:uid="{00000000-0005-0000-0000-0000590C0000}"/>
    <cellStyle name="Comma 3 4 2 3 2" xfId="8876" xr:uid="{00000000-0005-0000-0000-00005A0C0000}"/>
    <cellStyle name="Comma 3 4 2 3 2 2" xfId="17906" xr:uid="{00000000-0005-0000-0000-00005B0C0000}"/>
    <cellStyle name="Comma 3 4 2 3 2 2 2" xfId="18394" xr:uid="{00000000-0005-0000-0000-00005C0C0000}"/>
    <cellStyle name="Comma 3 4 2 3 2 2 2 2" xfId="38446" xr:uid="{00000000-0005-0000-0000-00005D0C0000}"/>
    <cellStyle name="Comma 3 4 2 3 2 2 3" xfId="18790" xr:uid="{00000000-0005-0000-0000-00005E0C0000}"/>
    <cellStyle name="Comma 3 4 2 3 2 2 3 2" xfId="38842" xr:uid="{00000000-0005-0000-0000-00005F0C0000}"/>
    <cellStyle name="Comma 3 4 2 3 2 2 4" xfId="19186" xr:uid="{00000000-0005-0000-0000-0000600C0000}"/>
    <cellStyle name="Comma 3 4 2 3 2 2 4 2" xfId="39238" xr:uid="{00000000-0005-0000-0000-0000610C0000}"/>
    <cellStyle name="Comma 3 4 2 3 2 2 5" xfId="19582" xr:uid="{00000000-0005-0000-0000-0000620C0000}"/>
    <cellStyle name="Comma 3 4 2 3 2 2 5 2" xfId="39634" xr:uid="{00000000-0005-0000-0000-0000630C0000}"/>
    <cellStyle name="Comma 3 4 2 3 2 2 6" xfId="19978" xr:uid="{00000000-0005-0000-0000-0000640C0000}"/>
    <cellStyle name="Comma 3 4 2 3 2 2 6 2" xfId="40030" xr:uid="{00000000-0005-0000-0000-0000650C0000}"/>
    <cellStyle name="Comma 3 4 2 3 2 2 7" xfId="37958" xr:uid="{00000000-0005-0000-0000-0000660C0000}"/>
    <cellStyle name="Comma 3 4 2 3 2 3" xfId="18196" xr:uid="{00000000-0005-0000-0000-0000670C0000}"/>
    <cellStyle name="Comma 3 4 2 3 2 3 2" xfId="38248" xr:uid="{00000000-0005-0000-0000-0000680C0000}"/>
    <cellStyle name="Comma 3 4 2 3 2 4" xfId="18592" xr:uid="{00000000-0005-0000-0000-0000690C0000}"/>
    <cellStyle name="Comma 3 4 2 3 2 4 2" xfId="38644" xr:uid="{00000000-0005-0000-0000-00006A0C0000}"/>
    <cellStyle name="Comma 3 4 2 3 2 5" xfId="18988" xr:uid="{00000000-0005-0000-0000-00006B0C0000}"/>
    <cellStyle name="Comma 3 4 2 3 2 5 2" xfId="39040" xr:uid="{00000000-0005-0000-0000-00006C0C0000}"/>
    <cellStyle name="Comma 3 4 2 3 2 6" xfId="19384" xr:uid="{00000000-0005-0000-0000-00006D0C0000}"/>
    <cellStyle name="Comma 3 4 2 3 2 6 2" xfId="39436" xr:uid="{00000000-0005-0000-0000-00006E0C0000}"/>
    <cellStyle name="Comma 3 4 2 3 2 7" xfId="19780" xr:uid="{00000000-0005-0000-0000-00006F0C0000}"/>
    <cellStyle name="Comma 3 4 2 3 2 7 2" xfId="39832" xr:uid="{00000000-0005-0000-0000-0000700C0000}"/>
    <cellStyle name="Comma 3 4 2 3 2 8" xfId="28928" xr:uid="{00000000-0005-0000-0000-0000710C0000}"/>
    <cellStyle name="Comma 3 4 2 3 3" xfId="9034" xr:uid="{00000000-0005-0000-0000-0000720C0000}"/>
    <cellStyle name="Comma 3 4 2 3 3 2" xfId="18064" xr:uid="{00000000-0005-0000-0000-0000730C0000}"/>
    <cellStyle name="Comma 3 4 2 3 3 2 2" xfId="18460" xr:uid="{00000000-0005-0000-0000-0000740C0000}"/>
    <cellStyle name="Comma 3 4 2 3 3 2 2 2" xfId="38512" xr:uid="{00000000-0005-0000-0000-0000750C0000}"/>
    <cellStyle name="Comma 3 4 2 3 3 2 3" xfId="18856" xr:uid="{00000000-0005-0000-0000-0000760C0000}"/>
    <cellStyle name="Comma 3 4 2 3 3 2 3 2" xfId="38908" xr:uid="{00000000-0005-0000-0000-0000770C0000}"/>
    <cellStyle name="Comma 3 4 2 3 3 2 4" xfId="19252" xr:uid="{00000000-0005-0000-0000-0000780C0000}"/>
    <cellStyle name="Comma 3 4 2 3 3 2 4 2" xfId="39304" xr:uid="{00000000-0005-0000-0000-0000790C0000}"/>
    <cellStyle name="Comma 3 4 2 3 3 2 5" xfId="19648" xr:uid="{00000000-0005-0000-0000-00007A0C0000}"/>
    <cellStyle name="Comma 3 4 2 3 3 2 5 2" xfId="39700" xr:uid="{00000000-0005-0000-0000-00007B0C0000}"/>
    <cellStyle name="Comma 3 4 2 3 3 2 6" xfId="20044" xr:uid="{00000000-0005-0000-0000-00007C0C0000}"/>
    <cellStyle name="Comma 3 4 2 3 3 2 6 2" xfId="40096" xr:uid="{00000000-0005-0000-0000-00007D0C0000}"/>
    <cellStyle name="Comma 3 4 2 3 3 2 7" xfId="38116" xr:uid="{00000000-0005-0000-0000-00007E0C0000}"/>
    <cellStyle name="Comma 3 4 2 3 3 3" xfId="18262" xr:uid="{00000000-0005-0000-0000-00007F0C0000}"/>
    <cellStyle name="Comma 3 4 2 3 3 3 2" xfId="38314" xr:uid="{00000000-0005-0000-0000-0000800C0000}"/>
    <cellStyle name="Comma 3 4 2 3 3 4" xfId="18658" xr:uid="{00000000-0005-0000-0000-0000810C0000}"/>
    <cellStyle name="Comma 3 4 2 3 3 4 2" xfId="38710" xr:uid="{00000000-0005-0000-0000-0000820C0000}"/>
    <cellStyle name="Comma 3 4 2 3 3 5" xfId="19054" xr:uid="{00000000-0005-0000-0000-0000830C0000}"/>
    <cellStyle name="Comma 3 4 2 3 3 5 2" xfId="39106" xr:uid="{00000000-0005-0000-0000-0000840C0000}"/>
    <cellStyle name="Comma 3 4 2 3 3 6" xfId="19450" xr:uid="{00000000-0005-0000-0000-0000850C0000}"/>
    <cellStyle name="Comma 3 4 2 3 3 6 2" xfId="39502" xr:uid="{00000000-0005-0000-0000-0000860C0000}"/>
    <cellStyle name="Comma 3 4 2 3 3 7" xfId="19846" xr:uid="{00000000-0005-0000-0000-0000870C0000}"/>
    <cellStyle name="Comma 3 4 2 3 3 7 2" xfId="39898" xr:uid="{00000000-0005-0000-0000-0000880C0000}"/>
    <cellStyle name="Comma 3 4 2 3 3 8" xfId="29086" xr:uid="{00000000-0005-0000-0000-0000890C0000}"/>
    <cellStyle name="Comma 3 4 2 3 4" xfId="13424" xr:uid="{00000000-0005-0000-0000-00008A0C0000}"/>
    <cellStyle name="Comma 3 4 2 3 4 2" xfId="18328" xr:uid="{00000000-0005-0000-0000-00008B0C0000}"/>
    <cellStyle name="Comma 3 4 2 3 4 2 2" xfId="38380" xr:uid="{00000000-0005-0000-0000-00008C0C0000}"/>
    <cellStyle name="Comma 3 4 2 3 4 3" xfId="18724" xr:uid="{00000000-0005-0000-0000-00008D0C0000}"/>
    <cellStyle name="Comma 3 4 2 3 4 3 2" xfId="38776" xr:uid="{00000000-0005-0000-0000-00008E0C0000}"/>
    <cellStyle name="Comma 3 4 2 3 4 4" xfId="19120" xr:uid="{00000000-0005-0000-0000-00008F0C0000}"/>
    <cellStyle name="Comma 3 4 2 3 4 4 2" xfId="39172" xr:uid="{00000000-0005-0000-0000-0000900C0000}"/>
    <cellStyle name="Comma 3 4 2 3 4 5" xfId="19516" xr:uid="{00000000-0005-0000-0000-0000910C0000}"/>
    <cellStyle name="Comma 3 4 2 3 4 5 2" xfId="39568" xr:uid="{00000000-0005-0000-0000-0000920C0000}"/>
    <cellStyle name="Comma 3 4 2 3 4 6" xfId="19912" xr:uid="{00000000-0005-0000-0000-0000930C0000}"/>
    <cellStyle name="Comma 3 4 2 3 4 6 2" xfId="39964" xr:uid="{00000000-0005-0000-0000-0000940C0000}"/>
    <cellStyle name="Comma 3 4 2 3 4 7" xfId="33476" xr:uid="{00000000-0005-0000-0000-0000950C0000}"/>
    <cellStyle name="Comma 3 4 2 3 5" xfId="18130" xr:uid="{00000000-0005-0000-0000-0000960C0000}"/>
    <cellStyle name="Comma 3 4 2 3 5 2" xfId="38182" xr:uid="{00000000-0005-0000-0000-0000970C0000}"/>
    <cellStyle name="Comma 3 4 2 3 6" xfId="18526" xr:uid="{00000000-0005-0000-0000-0000980C0000}"/>
    <cellStyle name="Comma 3 4 2 3 6 2" xfId="38578" xr:uid="{00000000-0005-0000-0000-0000990C0000}"/>
    <cellStyle name="Comma 3 4 2 3 7" xfId="18922" xr:uid="{00000000-0005-0000-0000-00009A0C0000}"/>
    <cellStyle name="Comma 3 4 2 3 7 2" xfId="38974" xr:uid="{00000000-0005-0000-0000-00009B0C0000}"/>
    <cellStyle name="Comma 3 4 2 3 8" xfId="19318" xr:uid="{00000000-0005-0000-0000-00009C0C0000}"/>
    <cellStyle name="Comma 3 4 2 3 8 2" xfId="39370" xr:uid="{00000000-0005-0000-0000-00009D0C0000}"/>
    <cellStyle name="Comma 3 4 2 3 9" xfId="19714" xr:uid="{00000000-0005-0000-0000-00009E0C0000}"/>
    <cellStyle name="Comma 3 4 2 3 9 2" xfId="39766" xr:uid="{00000000-0005-0000-0000-00009F0C0000}"/>
    <cellStyle name="Comma 3 4 2 4" xfId="5888" xr:uid="{00000000-0005-0000-0000-0000A00C0000}"/>
    <cellStyle name="Comma 3 4 2 4 2" xfId="14918" xr:uid="{00000000-0005-0000-0000-0000A10C0000}"/>
    <cellStyle name="Comma 3 4 2 4 2 2" xfId="18350" xr:uid="{00000000-0005-0000-0000-0000A20C0000}"/>
    <cellStyle name="Comma 3 4 2 4 2 2 2" xfId="38402" xr:uid="{00000000-0005-0000-0000-0000A30C0000}"/>
    <cellStyle name="Comma 3 4 2 4 2 3" xfId="18746" xr:uid="{00000000-0005-0000-0000-0000A40C0000}"/>
    <cellStyle name="Comma 3 4 2 4 2 3 2" xfId="38798" xr:uid="{00000000-0005-0000-0000-0000A50C0000}"/>
    <cellStyle name="Comma 3 4 2 4 2 4" xfId="19142" xr:uid="{00000000-0005-0000-0000-0000A60C0000}"/>
    <cellStyle name="Comma 3 4 2 4 2 4 2" xfId="39194" xr:uid="{00000000-0005-0000-0000-0000A70C0000}"/>
    <cellStyle name="Comma 3 4 2 4 2 5" xfId="19538" xr:uid="{00000000-0005-0000-0000-0000A80C0000}"/>
    <cellStyle name="Comma 3 4 2 4 2 5 2" xfId="39590" xr:uid="{00000000-0005-0000-0000-0000A90C0000}"/>
    <cellStyle name="Comma 3 4 2 4 2 6" xfId="19934" xr:uid="{00000000-0005-0000-0000-0000AA0C0000}"/>
    <cellStyle name="Comma 3 4 2 4 2 6 2" xfId="39986" xr:uid="{00000000-0005-0000-0000-0000AB0C0000}"/>
    <cellStyle name="Comma 3 4 2 4 2 7" xfId="34970" xr:uid="{00000000-0005-0000-0000-0000AC0C0000}"/>
    <cellStyle name="Comma 3 4 2 4 3" xfId="18152" xr:uid="{00000000-0005-0000-0000-0000AD0C0000}"/>
    <cellStyle name="Comma 3 4 2 4 3 2" xfId="38204" xr:uid="{00000000-0005-0000-0000-0000AE0C0000}"/>
    <cellStyle name="Comma 3 4 2 4 4" xfId="18548" xr:uid="{00000000-0005-0000-0000-0000AF0C0000}"/>
    <cellStyle name="Comma 3 4 2 4 4 2" xfId="38600" xr:uid="{00000000-0005-0000-0000-0000B00C0000}"/>
    <cellStyle name="Comma 3 4 2 4 5" xfId="18944" xr:uid="{00000000-0005-0000-0000-0000B10C0000}"/>
    <cellStyle name="Comma 3 4 2 4 5 2" xfId="38996" xr:uid="{00000000-0005-0000-0000-0000B20C0000}"/>
    <cellStyle name="Comma 3 4 2 4 6" xfId="19340" xr:uid="{00000000-0005-0000-0000-0000B30C0000}"/>
    <cellStyle name="Comma 3 4 2 4 6 2" xfId="39392" xr:uid="{00000000-0005-0000-0000-0000B40C0000}"/>
    <cellStyle name="Comma 3 4 2 4 7" xfId="19736" xr:uid="{00000000-0005-0000-0000-0000B50C0000}"/>
    <cellStyle name="Comma 3 4 2 4 7 2" xfId="39788" xr:uid="{00000000-0005-0000-0000-0000B60C0000}"/>
    <cellStyle name="Comma 3 4 2 4 8" xfId="25940" xr:uid="{00000000-0005-0000-0000-0000B70C0000}"/>
    <cellStyle name="Comma 3 4 2 5" xfId="8990" xr:uid="{00000000-0005-0000-0000-0000B80C0000}"/>
    <cellStyle name="Comma 3 4 2 5 2" xfId="18020" xr:uid="{00000000-0005-0000-0000-0000B90C0000}"/>
    <cellStyle name="Comma 3 4 2 5 2 2" xfId="18416" xr:uid="{00000000-0005-0000-0000-0000BA0C0000}"/>
    <cellStyle name="Comma 3 4 2 5 2 2 2" xfId="38468" xr:uid="{00000000-0005-0000-0000-0000BB0C0000}"/>
    <cellStyle name="Comma 3 4 2 5 2 3" xfId="18812" xr:uid="{00000000-0005-0000-0000-0000BC0C0000}"/>
    <cellStyle name="Comma 3 4 2 5 2 3 2" xfId="38864" xr:uid="{00000000-0005-0000-0000-0000BD0C0000}"/>
    <cellStyle name="Comma 3 4 2 5 2 4" xfId="19208" xr:uid="{00000000-0005-0000-0000-0000BE0C0000}"/>
    <cellStyle name="Comma 3 4 2 5 2 4 2" xfId="39260" xr:uid="{00000000-0005-0000-0000-0000BF0C0000}"/>
    <cellStyle name="Comma 3 4 2 5 2 5" xfId="19604" xr:uid="{00000000-0005-0000-0000-0000C00C0000}"/>
    <cellStyle name="Comma 3 4 2 5 2 5 2" xfId="39656" xr:uid="{00000000-0005-0000-0000-0000C10C0000}"/>
    <cellStyle name="Comma 3 4 2 5 2 6" xfId="20000" xr:uid="{00000000-0005-0000-0000-0000C20C0000}"/>
    <cellStyle name="Comma 3 4 2 5 2 6 2" xfId="40052" xr:uid="{00000000-0005-0000-0000-0000C30C0000}"/>
    <cellStyle name="Comma 3 4 2 5 2 7" xfId="38072" xr:uid="{00000000-0005-0000-0000-0000C40C0000}"/>
    <cellStyle name="Comma 3 4 2 5 3" xfId="18218" xr:uid="{00000000-0005-0000-0000-0000C50C0000}"/>
    <cellStyle name="Comma 3 4 2 5 3 2" xfId="38270" xr:uid="{00000000-0005-0000-0000-0000C60C0000}"/>
    <cellStyle name="Comma 3 4 2 5 4" xfId="18614" xr:uid="{00000000-0005-0000-0000-0000C70C0000}"/>
    <cellStyle name="Comma 3 4 2 5 4 2" xfId="38666" xr:uid="{00000000-0005-0000-0000-0000C80C0000}"/>
    <cellStyle name="Comma 3 4 2 5 5" xfId="19010" xr:uid="{00000000-0005-0000-0000-0000C90C0000}"/>
    <cellStyle name="Comma 3 4 2 5 5 2" xfId="39062" xr:uid="{00000000-0005-0000-0000-0000CA0C0000}"/>
    <cellStyle name="Comma 3 4 2 5 6" xfId="19406" xr:uid="{00000000-0005-0000-0000-0000CB0C0000}"/>
    <cellStyle name="Comma 3 4 2 5 6 2" xfId="39458" xr:uid="{00000000-0005-0000-0000-0000CC0C0000}"/>
    <cellStyle name="Comma 3 4 2 5 7" xfId="19802" xr:uid="{00000000-0005-0000-0000-0000CD0C0000}"/>
    <cellStyle name="Comma 3 4 2 5 7 2" xfId="39854" xr:uid="{00000000-0005-0000-0000-0000CE0C0000}"/>
    <cellStyle name="Comma 3 4 2 5 8" xfId="29042" xr:uid="{00000000-0005-0000-0000-0000CF0C0000}"/>
    <cellStyle name="Comma 3 4 2 6" xfId="10436" xr:uid="{00000000-0005-0000-0000-0000D00C0000}"/>
    <cellStyle name="Comma 3 4 2 6 2" xfId="18284" xr:uid="{00000000-0005-0000-0000-0000D10C0000}"/>
    <cellStyle name="Comma 3 4 2 6 2 2" xfId="38336" xr:uid="{00000000-0005-0000-0000-0000D20C0000}"/>
    <cellStyle name="Comma 3 4 2 6 3" xfId="18680" xr:uid="{00000000-0005-0000-0000-0000D30C0000}"/>
    <cellStyle name="Comma 3 4 2 6 3 2" xfId="38732" xr:uid="{00000000-0005-0000-0000-0000D40C0000}"/>
    <cellStyle name="Comma 3 4 2 6 4" xfId="19076" xr:uid="{00000000-0005-0000-0000-0000D50C0000}"/>
    <cellStyle name="Comma 3 4 2 6 4 2" xfId="39128" xr:uid="{00000000-0005-0000-0000-0000D60C0000}"/>
    <cellStyle name="Comma 3 4 2 6 5" xfId="19472" xr:uid="{00000000-0005-0000-0000-0000D70C0000}"/>
    <cellStyle name="Comma 3 4 2 6 5 2" xfId="39524" xr:uid="{00000000-0005-0000-0000-0000D80C0000}"/>
    <cellStyle name="Comma 3 4 2 6 6" xfId="19868" xr:uid="{00000000-0005-0000-0000-0000D90C0000}"/>
    <cellStyle name="Comma 3 4 2 6 6 2" xfId="39920" xr:uid="{00000000-0005-0000-0000-0000DA0C0000}"/>
    <cellStyle name="Comma 3 4 2 6 7" xfId="30488" xr:uid="{00000000-0005-0000-0000-0000DB0C0000}"/>
    <cellStyle name="Comma 3 4 2 7" xfId="18086" xr:uid="{00000000-0005-0000-0000-0000DC0C0000}"/>
    <cellStyle name="Comma 3 4 2 7 2" xfId="38138" xr:uid="{00000000-0005-0000-0000-0000DD0C0000}"/>
    <cellStyle name="Comma 3 4 2 8" xfId="18482" xr:uid="{00000000-0005-0000-0000-0000DE0C0000}"/>
    <cellStyle name="Comma 3 4 2 8 2" xfId="38534" xr:uid="{00000000-0005-0000-0000-0000DF0C0000}"/>
    <cellStyle name="Comma 3 4 2 9" xfId="18878" xr:uid="{00000000-0005-0000-0000-0000E00C0000}"/>
    <cellStyle name="Comma 3 4 2 9 2" xfId="38930" xr:uid="{00000000-0005-0000-0000-0000E10C0000}"/>
    <cellStyle name="Comma 3 4 3" xfId="2153" xr:uid="{00000000-0005-0000-0000-0000E20C0000}"/>
    <cellStyle name="Comma 3 4 3 10" xfId="22205" xr:uid="{00000000-0005-0000-0000-0000E30C0000}"/>
    <cellStyle name="Comma 3 4 3 2" xfId="6635" xr:uid="{00000000-0005-0000-0000-0000E40C0000}"/>
    <cellStyle name="Comma 3 4 3 2 2" xfId="15665" xr:uid="{00000000-0005-0000-0000-0000E50C0000}"/>
    <cellStyle name="Comma 3 4 3 2 2 2" xfId="18361" xr:uid="{00000000-0005-0000-0000-0000E60C0000}"/>
    <cellStyle name="Comma 3 4 3 2 2 2 2" xfId="38413" xr:uid="{00000000-0005-0000-0000-0000E70C0000}"/>
    <cellStyle name="Comma 3 4 3 2 2 3" xfId="18757" xr:uid="{00000000-0005-0000-0000-0000E80C0000}"/>
    <cellStyle name="Comma 3 4 3 2 2 3 2" xfId="38809" xr:uid="{00000000-0005-0000-0000-0000E90C0000}"/>
    <cellStyle name="Comma 3 4 3 2 2 4" xfId="19153" xr:uid="{00000000-0005-0000-0000-0000EA0C0000}"/>
    <cellStyle name="Comma 3 4 3 2 2 4 2" xfId="39205" xr:uid="{00000000-0005-0000-0000-0000EB0C0000}"/>
    <cellStyle name="Comma 3 4 3 2 2 5" xfId="19549" xr:uid="{00000000-0005-0000-0000-0000EC0C0000}"/>
    <cellStyle name="Comma 3 4 3 2 2 5 2" xfId="39601" xr:uid="{00000000-0005-0000-0000-0000ED0C0000}"/>
    <cellStyle name="Comma 3 4 3 2 2 6" xfId="19945" xr:uid="{00000000-0005-0000-0000-0000EE0C0000}"/>
    <cellStyle name="Comma 3 4 3 2 2 6 2" xfId="39997" xr:uid="{00000000-0005-0000-0000-0000EF0C0000}"/>
    <cellStyle name="Comma 3 4 3 2 2 7" xfId="35717" xr:uid="{00000000-0005-0000-0000-0000F00C0000}"/>
    <cellStyle name="Comma 3 4 3 2 3" xfId="18163" xr:uid="{00000000-0005-0000-0000-0000F10C0000}"/>
    <cellStyle name="Comma 3 4 3 2 3 2" xfId="38215" xr:uid="{00000000-0005-0000-0000-0000F20C0000}"/>
    <cellStyle name="Comma 3 4 3 2 4" xfId="18559" xr:uid="{00000000-0005-0000-0000-0000F30C0000}"/>
    <cellStyle name="Comma 3 4 3 2 4 2" xfId="38611" xr:uid="{00000000-0005-0000-0000-0000F40C0000}"/>
    <cellStyle name="Comma 3 4 3 2 5" xfId="18955" xr:uid="{00000000-0005-0000-0000-0000F50C0000}"/>
    <cellStyle name="Comma 3 4 3 2 5 2" xfId="39007" xr:uid="{00000000-0005-0000-0000-0000F60C0000}"/>
    <cellStyle name="Comma 3 4 3 2 6" xfId="19351" xr:uid="{00000000-0005-0000-0000-0000F70C0000}"/>
    <cellStyle name="Comma 3 4 3 2 6 2" xfId="39403" xr:uid="{00000000-0005-0000-0000-0000F80C0000}"/>
    <cellStyle name="Comma 3 4 3 2 7" xfId="19747" xr:uid="{00000000-0005-0000-0000-0000F90C0000}"/>
    <cellStyle name="Comma 3 4 3 2 7 2" xfId="39799" xr:uid="{00000000-0005-0000-0000-0000FA0C0000}"/>
    <cellStyle name="Comma 3 4 3 2 8" xfId="26687" xr:uid="{00000000-0005-0000-0000-0000FB0C0000}"/>
    <cellStyle name="Comma 3 4 3 3" xfId="9001" xr:uid="{00000000-0005-0000-0000-0000FC0C0000}"/>
    <cellStyle name="Comma 3 4 3 3 2" xfId="18031" xr:uid="{00000000-0005-0000-0000-0000FD0C0000}"/>
    <cellStyle name="Comma 3 4 3 3 2 2" xfId="18427" xr:uid="{00000000-0005-0000-0000-0000FE0C0000}"/>
    <cellStyle name="Comma 3 4 3 3 2 2 2" xfId="38479" xr:uid="{00000000-0005-0000-0000-0000FF0C0000}"/>
    <cellStyle name="Comma 3 4 3 3 2 3" xfId="18823" xr:uid="{00000000-0005-0000-0000-0000000D0000}"/>
    <cellStyle name="Comma 3 4 3 3 2 3 2" xfId="38875" xr:uid="{00000000-0005-0000-0000-0000010D0000}"/>
    <cellStyle name="Comma 3 4 3 3 2 4" xfId="19219" xr:uid="{00000000-0005-0000-0000-0000020D0000}"/>
    <cellStyle name="Comma 3 4 3 3 2 4 2" xfId="39271" xr:uid="{00000000-0005-0000-0000-0000030D0000}"/>
    <cellStyle name="Comma 3 4 3 3 2 5" xfId="19615" xr:uid="{00000000-0005-0000-0000-0000040D0000}"/>
    <cellStyle name="Comma 3 4 3 3 2 5 2" xfId="39667" xr:uid="{00000000-0005-0000-0000-0000050D0000}"/>
    <cellStyle name="Comma 3 4 3 3 2 6" xfId="20011" xr:uid="{00000000-0005-0000-0000-0000060D0000}"/>
    <cellStyle name="Comma 3 4 3 3 2 6 2" xfId="40063" xr:uid="{00000000-0005-0000-0000-0000070D0000}"/>
    <cellStyle name="Comma 3 4 3 3 2 7" xfId="38083" xr:uid="{00000000-0005-0000-0000-0000080D0000}"/>
    <cellStyle name="Comma 3 4 3 3 3" xfId="18229" xr:uid="{00000000-0005-0000-0000-0000090D0000}"/>
    <cellStyle name="Comma 3 4 3 3 3 2" xfId="38281" xr:uid="{00000000-0005-0000-0000-00000A0D0000}"/>
    <cellStyle name="Comma 3 4 3 3 4" xfId="18625" xr:uid="{00000000-0005-0000-0000-00000B0D0000}"/>
    <cellStyle name="Comma 3 4 3 3 4 2" xfId="38677" xr:uid="{00000000-0005-0000-0000-00000C0D0000}"/>
    <cellStyle name="Comma 3 4 3 3 5" xfId="19021" xr:uid="{00000000-0005-0000-0000-00000D0D0000}"/>
    <cellStyle name="Comma 3 4 3 3 5 2" xfId="39073" xr:uid="{00000000-0005-0000-0000-00000E0D0000}"/>
    <cellStyle name="Comma 3 4 3 3 6" xfId="19417" xr:uid="{00000000-0005-0000-0000-00000F0D0000}"/>
    <cellStyle name="Comma 3 4 3 3 6 2" xfId="39469" xr:uid="{00000000-0005-0000-0000-0000100D0000}"/>
    <cellStyle name="Comma 3 4 3 3 7" xfId="19813" xr:uid="{00000000-0005-0000-0000-0000110D0000}"/>
    <cellStyle name="Comma 3 4 3 3 7 2" xfId="39865" xr:uid="{00000000-0005-0000-0000-0000120D0000}"/>
    <cellStyle name="Comma 3 4 3 3 8" xfId="29053" xr:uid="{00000000-0005-0000-0000-0000130D0000}"/>
    <cellStyle name="Comma 3 4 3 4" xfId="11183" xr:uid="{00000000-0005-0000-0000-0000140D0000}"/>
    <cellStyle name="Comma 3 4 3 4 2" xfId="18295" xr:uid="{00000000-0005-0000-0000-0000150D0000}"/>
    <cellStyle name="Comma 3 4 3 4 2 2" xfId="38347" xr:uid="{00000000-0005-0000-0000-0000160D0000}"/>
    <cellStyle name="Comma 3 4 3 4 3" xfId="18691" xr:uid="{00000000-0005-0000-0000-0000170D0000}"/>
    <cellStyle name="Comma 3 4 3 4 3 2" xfId="38743" xr:uid="{00000000-0005-0000-0000-0000180D0000}"/>
    <cellStyle name="Comma 3 4 3 4 4" xfId="19087" xr:uid="{00000000-0005-0000-0000-0000190D0000}"/>
    <cellStyle name="Comma 3 4 3 4 4 2" xfId="39139" xr:uid="{00000000-0005-0000-0000-00001A0D0000}"/>
    <cellStyle name="Comma 3 4 3 4 5" xfId="19483" xr:uid="{00000000-0005-0000-0000-00001B0D0000}"/>
    <cellStyle name="Comma 3 4 3 4 5 2" xfId="39535" xr:uid="{00000000-0005-0000-0000-00001C0D0000}"/>
    <cellStyle name="Comma 3 4 3 4 6" xfId="19879" xr:uid="{00000000-0005-0000-0000-00001D0D0000}"/>
    <cellStyle name="Comma 3 4 3 4 6 2" xfId="39931" xr:uid="{00000000-0005-0000-0000-00001E0D0000}"/>
    <cellStyle name="Comma 3 4 3 4 7" xfId="31235" xr:uid="{00000000-0005-0000-0000-00001F0D0000}"/>
    <cellStyle name="Comma 3 4 3 5" xfId="18097" xr:uid="{00000000-0005-0000-0000-0000200D0000}"/>
    <cellStyle name="Comma 3 4 3 5 2" xfId="38149" xr:uid="{00000000-0005-0000-0000-0000210D0000}"/>
    <cellStyle name="Comma 3 4 3 6" xfId="18493" xr:uid="{00000000-0005-0000-0000-0000220D0000}"/>
    <cellStyle name="Comma 3 4 3 6 2" xfId="38545" xr:uid="{00000000-0005-0000-0000-0000230D0000}"/>
    <cellStyle name="Comma 3 4 3 7" xfId="18889" xr:uid="{00000000-0005-0000-0000-0000240D0000}"/>
    <cellStyle name="Comma 3 4 3 7 2" xfId="38941" xr:uid="{00000000-0005-0000-0000-0000250D0000}"/>
    <cellStyle name="Comma 3 4 3 8" xfId="19285" xr:uid="{00000000-0005-0000-0000-0000260D0000}"/>
    <cellStyle name="Comma 3 4 3 8 2" xfId="39337" xr:uid="{00000000-0005-0000-0000-0000270D0000}"/>
    <cellStyle name="Comma 3 4 3 9" xfId="19681" xr:uid="{00000000-0005-0000-0000-0000280D0000}"/>
    <cellStyle name="Comma 3 4 3 9 2" xfId="39733" xr:uid="{00000000-0005-0000-0000-0000290D0000}"/>
    <cellStyle name="Comma 3 4 4" xfId="3647" xr:uid="{00000000-0005-0000-0000-00002A0D0000}"/>
    <cellStyle name="Comma 3 4 4 10" xfId="23699" xr:uid="{00000000-0005-0000-0000-00002B0D0000}"/>
    <cellStyle name="Comma 3 4 4 2" xfId="8129" xr:uid="{00000000-0005-0000-0000-00002C0D0000}"/>
    <cellStyle name="Comma 3 4 4 2 2" xfId="17159" xr:uid="{00000000-0005-0000-0000-00002D0D0000}"/>
    <cellStyle name="Comma 3 4 4 2 2 2" xfId="18383" xr:uid="{00000000-0005-0000-0000-00002E0D0000}"/>
    <cellStyle name="Comma 3 4 4 2 2 2 2" xfId="38435" xr:uid="{00000000-0005-0000-0000-00002F0D0000}"/>
    <cellStyle name="Comma 3 4 4 2 2 3" xfId="18779" xr:uid="{00000000-0005-0000-0000-0000300D0000}"/>
    <cellStyle name="Comma 3 4 4 2 2 3 2" xfId="38831" xr:uid="{00000000-0005-0000-0000-0000310D0000}"/>
    <cellStyle name="Comma 3 4 4 2 2 4" xfId="19175" xr:uid="{00000000-0005-0000-0000-0000320D0000}"/>
    <cellStyle name="Comma 3 4 4 2 2 4 2" xfId="39227" xr:uid="{00000000-0005-0000-0000-0000330D0000}"/>
    <cellStyle name="Comma 3 4 4 2 2 5" xfId="19571" xr:uid="{00000000-0005-0000-0000-0000340D0000}"/>
    <cellStyle name="Comma 3 4 4 2 2 5 2" xfId="39623" xr:uid="{00000000-0005-0000-0000-0000350D0000}"/>
    <cellStyle name="Comma 3 4 4 2 2 6" xfId="19967" xr:uid="{00000000-0005-0000-0000-0000360D0000}"/>
    <cellStyle name="Comma 3 4 4 2 2 6 2" xfId="40019" xr:uid="{00000000-0005-0000-0000-0000370D0000}"/>
    <cellStyle name="Comma 3 4 4 2 2 7" xfId="37211" xr:uid="{00000000-0005-0000-0000-0000380D0000}"/>
    <cellStyle name="Comma 3 4 4 2 3" xfId="18185" xr:uid="{00000000-0005-0000-0000-0000390D0000}"/>
    <cellStyle name="Comma 3 4 4 2 3 2" xfId="38237" xr:uid="{00000000-0005-0000-0000-00003A0D0000}"/>
    <cellStyle name="Comma 3 4 4 2 4" xfId="18581" xr:uid="{00000000-0005-0000-0000-00003B0D0000}"/>
    <cellStyle name="Comma 3 4 4 2 4 2" xfId="38633" xr:uid="{00000000-0005-0000-0000-00003C0D0000}"/>
    <cellStyle name="Comma 3 4 4 2 5" xfId="18977" xr:uid="{00000000-0005-0000-0000-00003D0D0000}"/>
    <cellStyle name="Comma 3 4 4 2 5 2" xfId="39029" xr:uid="{00000000-0005-0000-0000-00003E0D0000}"/>
    <cellStyle name="Comma 3 4 4 2 6" xfId="19373" xr:uid="{00000000-0005-0000-0000-00003F0D0000}"/>
    <cellStyle name="Comma 3 4 4 2 6 2" xfId="39425" xr:uid="{00000000-0005-0000-0000-0000400D0000}"/>
    <cellStyle name="Comma 3 4 4 2 7" xfId="19769" xr:uid="{00000000-0005-0000-0000-0000410D0000}"/>
    <cellStyle name="Comma 3 4 4 2 7 2" xfId="39821" xr:uid="{00000000-0005-0000-0000-0000420D0000}"/>
    <cellStyle name="Comma 3 4 4 2 8" xfId="28181" xr:uid="{00000000-0005-0000-0000-0000430D0000}"/>
    <cellStyle name="Comma 3 4 4 3" xfId="9023" xr:uid="{00000000-0005-0000-0000-0000440D0000}"/>
    <cellStyle name="Comma 3 4 4 3 2" xfId="18053" xr:uid="{00000000-0005-0000-0000-0000450D0000}"/>
    <cellStyle name="Comma 3 4 4 3 2 2" xfId="18449" xr:uid="{00000000-0005-0000-0000-0000460D0000}"/>
    <cellStyle name="Comma 3 4 4 3 2 2 2" xfId="38501" xr:uid="{00000000-0005-0000-0000-0000470D0000}"/>
    <cellStyle name="Comma 3 4 4 3 2 3" xfId="18845" xr:uid="{00000000-0005-0000-0000-0000480D0000}"/>
    <cellStyle name="Comma 3 4 4 3 2 3 2" xfId="38897" xr:uid="{00000000-0005-0000-0000-0000490D0000}"/>
    <cellStyle name="Comma 3 4 4 3 2 4" xfId="19241" xr:uid="{00000000-0005-0000-0000-00004A0D0000}"/>
    <cellStyle name="Comma 3 4 4 3 2 4 2" xfId="39293" xr:uid="{00000000-0005-0000-0000-00004B0D0000}"/>
    <cellStyle name="Comma 3 4 4 3 2 5" xfId="19637" xr:uid="{00000000-0005-0000-0000-00004C0D0000}"/>
    <cellStyle name="Comma 3 4 4 3 2 5 2" xfId="39689" xr:uid="{00000000-0005-0000-0000-00004D0D0000}"/>
    <cellStyle name="Comma 3 4 4 3 2 6" xfId="20033" xr:uid="{00000000-0005-0000-0000-00004E0D0000}"/>
    <cellStyle name="Comma 3 4 4 3 2 6 2" xfId="40085" xr:uid="{00000000-0005-0000-0000-00004F0D0000}"/>
    <cellStyle name="Comma 3 4 4 3 2 7" xfId="38105" xr:uid="{00000000-0005-0000-0000-0000500D0000}"/>
    <cellStyle name="Comma 3 4 4 3 3" xfId="18251" xr:uid="{00000000-0005-0000-0000-0000510D0000}"/>
    <cellStyle name="Comma 3 4 4 3 3 2" xfId="38303" xr:uid="{00000000-0005-0000-0000-0000520D0000}"/>
    <cellStyle name="Comma 3 4 4 3 4" xfId="18647" xr:uid="{00000000-0005-0000-0000-0000530D0000}"/>
    <cellStyle name="Comma 3 4 4 3 4 2" xfId="38699" xr:uid="{00000000-0005-0000-0000-0000540D0000}"/>
    <cellStyle name="Comma 3 4 4 3 5" xfId="19043" xr:uid="{00000000-0005-0000-0000-0000550D0000}"/>
    <cellStyle name="Comma 3 4 4 3 5 2" xfId="39095" xr:uid="{00000000-0005-0000-0000-0000560D0000}"/>
    <cellStyle name="Comma 3 4 4 3 6" xfId="19439" xr:uid="{00000000-0005-0000-0000-0000570D0000}"/>
    <cellStyle name="Comma 3 4 4 3 6 2" xfId="39491" xr:uid="{00000000-0005-0000-0000-0000580D0000}"/>
    <cellStyle name="Comma 3 4 4 3 7" xfId="19835" xr:uid="{00000000-0005-0000-0000-0000590D0000}"/>
    <cellStyle name="Comma 3 4 4 3 7 2" xfId="39887" xr:uid="{00000000-0005-0000-0000-00005A0D0000}"/>
    <cellStyle name="Comma 3 4 4 3 8" xfId="29075" xr:uid="{00000000-0005-0000-0000-00005B0D0000}"/>
    <cellStyle name="Comma 3 4 4 4" xfId="12677" xr:uid="{00000000-0005-0000-0000-00005C0D0000}"/>
    <cellStyle name="Comma 3 4 4 4 2" xfId="18317" xr:uid="{00000000-0005-0000-0000-00005D0D0000}"/>
    <cellStyle name="Comma 3 4 4 4 2 2" xfId="38369" xr:uid="{00000000-0005-0000-0000-00005E0D0000}"/>
    <cellStyle name="Comma 3 4 4 4 3" xfId="18713" xr:uid="{00000000-0005-0000-0000-00005F0D0000}"/>
    <cellStyle name="Comma 3 4 4 4 3 2" xfId="38765" xr:uid="{00000000-0005-0000-0000-0000600D0000}"/>
    <cellStyle name="Comma 3 4 4 4 4" xfId="19109" xr:uid="{00000000-0005-0000-0000-0000610D0000}"/>
    <cellStyle name="Comma 3 4 4 4 4 2" xfId="39161" xr:uid="{00000000-0005-0000-0000-0000620D0000}"/>
    <cellStyle name="Comma 3 4 4 4 5" xfId="19505" xr:uid="{00000000-0005-0000-0000-0000630D0000}"/>
    <cellStyle name="Comma 3 4 4 4 5 2" xfId="39557" xr:uid="{00000000-0005-0000-0000-0000640D0000}"/>
    <cellStyle name="Comma 3 4 4 4 6" xfId="19901" xr:uid="{00000000-0005-0000-0000-0000650D0000}"/>
    <cellStyle name="Comma 3 4 4 4 6 2" xfId="39953" xr:uid="{00000000-0005-0000-0000-0000660D0000}"/>
    <cellStyle name="Comma 3 4 4 4 7" xfId="32729" xr:uid="{00000000-0005-0000-0000-0000670D0000}"/>
    <cellStyle name="Comma 3 4 4 5" xfId="18119" xr:uid="{00000000-0005-0000-0000-0000680D0000}"/>
    <cellStyle name="Comma 3 4 4 5 2" xfId="38171" xr:uid="{00000000-0005-0000-0000-0000690D0000}"/>
    <cellStyle name="Comma 3 4 4 6" xfId="18515" xr:uid="{00000000-0005-0000-0000-00006A0D0000}"/>
    <cellStyle name="Comma 3 4 4 6 2" xfId="38567" xr:uid="{00000000-0005-0000-0000-00006B0D0000}"/>
    <cellStyle name="Comma 3 4 4 7" xfId="18911" xr:uid="{00000000-0005-0000-0000-00006C0D0000}"/>
    <cellStyle name="Comma 3 4 4 7 2" xfId="38963" xr:uid="{00000000-0005-0000-0000-00006D0D0000}"/>
    <cellStyle name="Comma 3 4 4 8" xfId="19307" xr:uid="{00000000-0005-0000-0000-00006E0D0000}"/>
    <cellStyle name="Comma 3 4 4 8 2" xfId="39359" xr:uid="{00000000-0005-0000-0000-00006F0D0000}"/>
    <cellStyle name="Comma 3 4 4 9" xfId="19703" xr:uid="{00000000-0005-0000-0000-0000700D0000}"/>
    <cellStyle name="Comma 3 4 4 9 2" xfId="39755" xr:uid="{00000000-0005-0000-0000-0000710D0000}"/>
    <cellStyle name="Comma 3 4 5" xfId="5141" xr:uid="{00000000-0005-0000-0000-0000720D0000}"/>
    <cellStyle name="Comma 3 4 5 2" xfId="14171" xr:uid="{00000000-0005-0000-0000-0000730D0000}"/>
    <cellStyle name="Comma 3 4 5 2 2" xfId="18339" xr:uid="{00000000-0005-0000-0000-0000740D0000}"/>
    <cellStyle name="Comma 3 4 5 2 2 2" xfId="38391" xr:uid="{00000000-0005-0000-0000-0000750D0000}"/>
    <cellStyle name="Comma 3 4 5 2 3" xfId="18735" xr:uid="{00000000-0005-0000-0000-0000760D0000}"/>
    <cellStyle name="Comma 3 4 5 2 3 2" xfId="38787" xr:uid="{00000000-0005-0000-0000-0000770D0000}"/>
    <cellStyle name="Comma 3 4 5 2 4" xfId="19131" xr:uid="{00000000-0005-0000-0000-0000780D0000}"/>
    <cellStyle name="Comma 3 4 5 2 4 2" xfId="39183" xr:uid="{00000000-0005-0000-0000-0000790D0000}"/>
    <cellStyle name="Comma 3 4 5 2 5" xfId="19527" xr:uid="{00000000-0005-0000-0000-00007A0D0000}"/>
    <cellStyle name="Comma 3 4 5 2 5 2" xfId="39579" xr:uid="{00000000-0005-0000-0000-00007B0D0000}"/>
    <cellStyle name="Comma 3 4 5 2 6" xfId="19923" xr:uid="{00000000-0005-0000-0000-00007C0D0000}"/>
    <cellStyle name="Comma 3 4 5 2 6 2" xfId="39975" xr:uid="{00000000-0005-0000-0000-00007D0D0000}"/>
    <cellStyle name="Comma 3 4 5 2 7" xfId="34223" xr:uid="{00000000-0005-0000-0000-00007E0D0000}"/>
    <cellStyle name="Comma 3 4 5 3" xfId="18141" xr:uid="{00000000-0005-0000-0000-00007F0D0000}"/>
    <cellStyle name="Comma 3 4 5 3 2" xfId="38193" xr:uid="{00000000-0005-0000-0000-0000800D0000}"/>
    <cellStyle name="Comma 3 4 5 4" xfId="18537" xr:uid="{00000000-0005-0000-0000-0000810D0000}"/>
    <cellStyle name="Comma 3 4 5 4 2" xfId="38589" xr:uid="{00000000-0005-0000-0000-0000820D0000}"/>
    <cellStyle name="Comma 3 4 5 5" xfId="18933" xr:uid="{00000000-0005-0000-0000-0000830D0000}"/>
    <cellStyle name="Comma 3 4 5 5 2" xfId="38985" xr:uid="{00000000-0005-0000-0000-0000840D0000}"/>
    <cellStyle name="Comma 3 4 5 6" xfId="19329" xr:uid="{00000000-0005-0000-0000-0000850D0000}"/>
    <cellStyle name="Comma 3 4 5 6 2" xfId="39381" xr:uid="{00000000-0005-0000-0000-0000860D0000}"/>
    <cellStyle name="Comma 3 4 5 7" xfId="19725" xr:uid="{00000000-0005-0000-0000-0000870D0000}"/>
    <cellStyle name="Comma 3 4 5 7 2" xfId="39777" xr:uid="{00000000-0005-0000-0000-0000880D0000}"/>
    <cellStyle name="Comma 3 4 5 8" xfId="25193" xr:uid="{00000000-0005-0000-0000-0000890D0000}"/>
    <cellStyle name="Comma 3 4 6" xfId="8979" xr:uid="{00000000-0005-0000-0000-00008A0D0000}"/>
    <cellStyle name="Comma 3 4 6 2" xfId="18009" xr:uid="{00000000-0005-0000-0000-00008B0D0000}"/>
    <cellStyle name="Comma 3 4 6 2 2" xfId="18405" xr:uid="{00000000-0005-0000-0000-00008C0D0000}"/>
    <cellStyle name="Comma 3 4 6 2 2 2" xfId="38457" xr:uid="{00000000-0005-0000-0000-00008D0D0000}"/>
    <cellStyle name="Comma 3 4 6 2 3" xfId="18801" xr:uid="{00000000-0005-0000-0000-00008E0D0000}"/>
    <cellStyle name="Comma 3 4 6 2 3 2" xfId="38853" xr:uid="{00000000-0005-0000-0000-00008F0D0000}"/>
    <cellStyle name="Comma 3 4 6 2 4" xfId="19197" xr:uid="{00000000-0005-0000-0000-0000900D0000}"/>
    <cellStyle name="Comma 3 4 6 2 4 2" xfId="39249" xr:uid="{00000000-0005-0000-0000-0000910D0000}"/>
    <cellStyle name="Comma 3 4 6 2 5" xfId="19593" xr:uid="{00000000-0005-0000-0000-0000920D0000}"/>
    <cellStyle name="Comma 3 4 6 2 5 2" xfId="39645" xr:uid="{00000000-0005-0000-0000-0000930D0000}"/>
    <cellStyle name="Comma 3 4 6 2 6" xfId="19989" xr:uid="{00000000-0005-0000-0000-0000940D0000}"/>
    <cellStyle name="Comma 3 4 6 2 6 2" xfId="40041" xr:uid="{00000000-0005-0000-0000-0000950D0000}"/>
    <cellStyle name="Comma 3 4 6 2 7" xfId="38061" xr:uid="{00000000-0005-0000-0000-0000960D0000}"/>
    <cellStyle name="Comma 3 4 6 3" xfId="18207" xr:uid="{00000000-0005-0000-0000-0000970D0000}"/>
    <cellStyle name="Comma 3 4 6 3 2" xfId="38259" xr:uid="{00000000-0005-0000-0000-0000980D0000}"/>
    <cellStyle name="Comma 3 4 6 4" xfId="18603" xr:uid="{00000000-0005-0000-0000-0000990D0000}"/>
    <cellStyle name="Comma 3 4 6 4 2" xfId="38655" xr:uid="{00000000-0005-0000-0000-00009A0D0000}"/>
    <cellStyle name="Comma 3 4 6 5" xfId="18999" xr:uid="{00000000-0005-0000-0000-00009B0D0000}"/>
    <cellStyle name="Comma 3 4 6 5 2" xfId="39051" xr:uid="{00000000-0005-0000-0000-00009C0D0000}"/>
    <cellStyle name="Comma 3 4 6 6" xfId="19395" xr:uid="{00000000-0005-0000-0000-00009D0D0000}"/>
    <cellStyle name="Comma 3 4 6 6 2" xfId="39447" xr:uid="{00000000-0005-0000-0000-00009E0D0000}"/>
    <cellStyle name="Comma 3 4 6 7" xfId="19791" xr:uid="{00000000-0005-0000-0000-00009F0D0000}"/>
    <cellStyle name="Comma 3 4 6 7 2" xfId="39843" xr:uid="{00000000-0005-0000-0000-0000A00D0000}"/>
    <cellStyle name="Comma 3 4 6 8" xfId="29031" xr:uid="{00000000-0005-0000-0000-0000A10D0000}"/>
    <cellStyle name="Comma 3 4 7" xfId="9689" xr:uid="{00000000-0005-0000-0000-0000A20D0000}"/>
    <cellStyle name="Comma 3 4 7 2" xfId="18273" xr:uid="{00000000-0005-0000-0000-0000A30D0000}"/>
    <cellStyle name="Comma 3 4 7 2 2" xfId="38325" xr:uid="{00000000-0005-0000-0000-0000A40D0000}"/>
    <cellStyle name="Comma 3 4 7 3" xfId="18669" xr:uid="{00000000-0005-0000-0000-0000A50D0000}"/>
    <cellStyle name="Comma 3 4 7 3 2" xfId="38721" xr:uid="{00000000-0005-0000-0000-0000A60D0000}"/>
    <cellStyle name="Comma 3 4 7 4" xfId="19065" xr:uid="{00000000-0005-0000-0000-0000A70D0000}"/>
    <cellStyle name="Comma 3 4 7 4 2" xfId="39117" xr:uid="{00000000-0005-0000-0000-0000A80D0000}"/>
    <cellStyle name="Comma 3 4 7 5" xfId="19461" xr:uid="{00000000-0005-0000-0000-0000A90D0000}"/>
    <cellStyle name="Comma 3 4 7 5 2" xfId="39513" xr:uid="{00000000-0005-0000-0000-0000AA0D0000}"/>
    <cellStyle name="Comma 3 4 7 6" xfId="19857" xr:uid="{00000000-0005-0000-0000-0000AB0D0000}"/>
    <cellStyle name="Comma 3 4 7 6 2" xfId="39909" xr:uid="{00000000-0005-0000-0000-0000AC0D0000}"/>
    <cellStyle name="Comma 3 4 7 7" xfId="29741" xr:uid="{00000000-0005-0000-0000-0000AD0D0000}"/>
    <cellStyle name="Comma 3 4 8" xfId="18075" xr:uid="{00000000-0005-0000-0000-0000AE0D0000}"/>
    <cellStyle name="Comma 3 4 8 2" xfId="38127" xr:uid="{00000000-0005-0000-0000-0000AF0D0000}"/>
    <cellStyle name="Comma 3 4 9" xfId="18471" xr:uid="{00000000-0005-0000-0000-0000B00D0000}"/>
    <cellStyle name="Comma 3 4 9 2" xfId="38523" xr:uid="{00000000-0005-0000-0000-0000B10D0000}"/>
    <cellStyle name="Comma 3 5" xfId="846" xr:uid="{00000000-0005-0000-0000-0000B20D0000}"/>
    <cellStyle name="Comma 3 5 10" xfId="18870" xr:uid="{00000000-0005-0000-0000-0000B30D0000}"/>
    <cellStyle name="Comma 3 5 10 2" xfId="38922" xr:uid="{00000000-0005-0000-0000-0000B40D0000}"/>
    <cellStyle name="Comma 3 5 11" xfId="19266" xr:uid="{00000000-0005-0000-0000-0000B50D0000}"/>
    <cellStyle name="Comma 3 5 11 2" xfId="39318" xr:uid="{00000000-0005-0000-0000-0000B60D0000}"/>
    <cellStyle name="Comma 3 5 12" xfId="19662" xr:uid="{00000000-0005-0000-0000-0000B70D0000}"/>
    <cellStyle name="Comma 3 5 12 2" xfId="39714" xr:uid="{00000000-0005-0000-0000-0000B80D0000}"/>
    <cellStyle name="Comma 3 5 13" xfId="20898" xr:uid="{00000000-0005-0000-0000-0000B90D0000}"/>
    <cellStyle name="Comma 3 5 2" xfId="1501" xr:uid="{00000000-0005-0000-0000-0000BA0D0000}"/>
    <cellStyle name="Comma 3 5 2 10" xfId="19277" xr:uid="{00000000-0005-0000-0000-0000BB0D0000}"/>
    <cellStyle name="Comma 3 5 2 10 2" xfId="39329" xr:uid="{00000000-0005-0000-0000-0000BC0D0000}"/>
    <cellStyle name="Comma 3 5 2 11" xfId="19673" xr:uid="{00000000-0005-0000-0000-0000BD0D0000}"/>
    <cellStyle name="Comma 3 5 2 11 2" xfId="39725" xr:uid="{00000000-0005-0000-0000-0000BE0D0000}"/>
    <cellStyle name="Comma 3 5 2 12" xfId="21553" xr:uid="{00000000-0005-0000-0000-0000BF0D0000}"/>
    <cellStyle name="Comma 3 5 2 2" xfId="2995" xr:uid="{00000000-0005-0000-0000-0000C00D0000}"/>
    <cellStyle name="Comma 3 5 2 2 10" xfId="23047" xr:uid="{00000000-0005-0000-0000-0000C10D0000}"/>
    <cellStyle name="Comma 3 5 2 2 2" xfId="7477" xr:uid="{00000000-0005-0000-0000-0000C20D0000}"/>
    <cellStyle name="Comma 3 5 2 2 2 2" xfId="16507" xr:uid="{00000000-0005-0000-0000-0000C30D0000}"/>
    <cellStyle name="Comma 3 5 2 2 2 2 2" xfId="18375" xr:uid="{00000000-0005-0000-0000-0000C40D0000}"/>
    <cellStyle name="Comma 3 5 2 2 2 2 2 2" xfId="38427" xr:uid="{00000000-0005-0000-0000-0000C50D0000}"/>
    <cellStyle name="Comma 3 5 2 2 2 2 3" xfId="18771" xr:uid="{00000000-0005-0000-0000-0000C60D0000}"/>
    <cellStyle name="Comma 3 5 2 2 2 2 3 2" xfId="38823" xr:uid="{00000000-0005-0000-0000-0000C70D0000}"/>
    <cellStyle name="Comma 3 5 2 2 2 2 4" xfId="19167" xr:uid="{00000000-0005-0000-0000-0000C80D0000}"/>
    <cellStyle name="Comma 3 5 2 2 2 2 4 2" xfId="39219" xr:uid="{00000000-0005-0000-0000-0000C90D0000}"/>
    <cellStyle name="Comma 3 5 2 2 2 2 5" xfId="19563" xr:uid="{00000000-0005-0000-0000-0000CA0D0000}"/>
    <cellStyle name="Comma 3 5 2 2 2 2 5 2" xfId="39615" xr:uid="{00000000-0005-0000-0000-0000CB0D0000}"/>
    <cellStyle name="Comma 3 5 2 2 2 2 6" xfId="19959" xr:uid="{00000000-0005-0000-0000-0000CC0D0000}"/>
    <cellStyle name="Comma 3 5 2 2 2 2 6 2" xfId="40011" xr:uid="{00000000-0005-0000-0000-0000CD0D0000}"/>
    <cellStyle name="Comma 3 5 2 2 2 2 7" xfId="36559" xr:uid="{00000000-0005-0000-0000-0000CE0D0000}"/>
    <cellStyle name="Comma 3 5 2 2 2 3" xfId="18177" xr:uid="{00000000-0005-0000-0000-0000CF0D0000}"/>
    <cellStyle name="Comma 3 5 2 2 2 3 2" xfId="38229" xr:uid="{00000000-0005-0000-0000-0000D00D0000}"/>
    <cellStyle name="Comma 3 5 2 2 2 4" xfId="18573" xr:uid="{00000000-0005-0000-0000-0000D10D0000}"/>
    <cellStyle name="Comma 3 5 2 2 2 4 2" xfId="38625" xr:uid="{00000000-0005-0000-0000-0000D20D0000}"/>
    <cellStyle name="Comma 3 5 2 2 2 5" xfId="18969" xr:uid="{00000000-0005-0000-0000-0000D30D0000}"/>
    <cellStyle name="Comma 3 5 2 2 2 5 2" xfId="39021" xr:uid="{00000000-0005-0000-0000-0000D40D0000}"/>
    <cellStyle name="Comma 3 5 2 2 2 6" xfId="19365" xr:uid="{00000000-0005-0000-0000-0000D50D0000}"/>
    <cellStyle name="Comma 3 5 2 2 2 6 2" xfId="39417" xr:uid="{00000000-0005-0000-0000-0000D60D0000}"/>
    <cellStyle name="Comma 3 5 2 2 2 7" xfId="19761" xr:uid="{00000000-0005-0000-0000-0000D70D0000}"/>
    <cellStyle name="Comma 3 5 2 2 2 7 2" xfId="39813" xr:uid="{00000000-0005-0000-0000-0000D80D0000}"/>
    <cellStyle name="Comma 3 5 2 2 2 8" xfId="27529" xr:uid="{00000000-0005-0000-0000-0000D90D0000}"/>
    <cellStyle name="Comma 3 5 2 2 3" xfId="9015" xr:uid="{00000000-0005-0000-0000-0000DA0D0000}"/>
    <cellStyle name="Comma 3 5 2 2 3 2" xfId="18045" xr:uid="{00000000-0005-0000-0000-0000DB0D0000}"/>
    <cellStyle name="Comma 3 5 2 2 3 2 2" xfId="18441" xr:uid="{00000000-0005-0000-0000-0000DC0D0000}"/>
    <cellStyle name="Comma 3 5 2 2 3 2 2 2" xfId="38493" xr:uid="{00000000-0005-0000-0000-0000DD0D0000}"/>
    <cellStyle name="Comma 3 5 2 2 3 2 3" xfId="18837" xr:uid="{00000000-0005-0000-0000-0000DE0D0000}"/>
    <cellStyle name="Comma 3 5 2 2 3 2 3 2" xfId="38889" xr:uid="{00000000-0005-0000-0000-0000DF0D0000}"/>
    <cellStyle name="Comma 3 5 2 2 3 2 4" xfId="19233" xr:uid="{00000000-0005-0000-0000-0000E00D0000}"/>
    <cellStyle name="Comma 3 5 2 2 3 2 4 2" xfId="39285" xr:uid="{00000000-0005-0000-0000-0000E10D0000}"/>
    <cellStyle name="Comma 3 5 2 2 3 2 5" xfId="19629" xr:uid="{00000000-0005-0000-0000-0000E20D0000}"/>
    <cellStyle name="Comma 3 5 2 2 3 2 5 2" xfId="39681" xr:uid="{00000000-0005-0000-0000-0000E30D0000}"/>
    <cellStyle name="Comma 3 5 2 2 3 2 6" xfId="20025" xr:uid="{00000000-0005-0000-0000-0000E40D0000}"/>
    <cellStyle name="Comma 3 5 2 2 3 2 6 2" xfId="40077" xr:uid="{00000000-0005-0000-0000-0000E50D0000}"/>
    <cellStyle name="Comma 3 5 2 2 3 2 7" xfId="38097" xr:uid="{00000000-0005-0000-0000-0000E60D0000}"/>
    <cellStyle name="Comma 3 5 2 2 3 3" xfId="18243" xr:uid="{00000000-0005-0000-0000-0000E70D0000}"/>
    <cellStyle name="Comma 3 5 2 2 3 3 2" xfId="38295" xr:uid="{00000000-0005-0000-0000-0000E80D0000}"/>
    <cellStyle name="Comma 3 5 2 2 3 4" xfId="18639" xr:uid="{00000000-0005-0000-0000-0000E90D0000}"/>
    <cellStyle name="Comma 3 5 2 2 3 4 2" xfId="38691" xr:uid="{00000000-0005-0000-0000-0000EA0D0000}"/>
    <cellStyle name="Comma 3 5 2 2 3 5" xfId="19035" xr:uid="{00000000-0005-0000-0000-0000EB0D0000}"/>
    <cellStyle name="Comma 3 5 2 2 3 5 2" xfId="39087" xr:uid="{00000000-0005-0000-0000-0000EC0D0000}"/>
    <cellStyle name="Comma 3 5 2 2 3 6" xfId="19431" xr:uid="{00000000-0005-0000-0000-0000ED0D0000}"/>
    <cellStyle name="Comma 3 5 2 2 3 6 2" xfId="39483" xr:uid="{00000000-0005-0000-0000-0000EE0D0000}"/>
    <cellStyle name="Comma 3 5 2 2 3 7" xfId="19827" xr:uid="{00000000-0005-0000-0000-0000EF0D0000}"/>
    <cellStyle name="Comma 3 5 2 2 3 7 2" xfId="39879" xr:uid="{00000000-0005-0000-0000-0000F00D0000}"/>
    <cellStyle name="Comma 3 5 2 2 3 8" xfId="29067" xr:uid="{00000000-0005-0000-0000-0000F10D0000}"/>
    <cellStyle name="Comma 3 5 2 2 4" xfId="12025" xr:uid="{00000000-0005-0000-0000-0000F20D0000}"/>
    <cellStyle name="Comma 3 5 2 2 4 2" xfId="18309" xr:uid="{00000000-0005-0000-0000-0000F30D0000}"/>
    <cellStyle name="Comma 3 5 2 2 4 2 2" xfId="38361" xr:uid="{00000000-0005-0000-0000-0000F40D0000}"/>
    <cellStyle name="Comma 3 5 2 2 4 3" xfId="18705" xr:uid="{00000000-0005-0000-0000-0000F50D0000}"/>
    <cellStyle name="Comma 3 5 2 2 4 3 2" xfId="38757" xr:uid="{00000000-0005-0000-0000-0000F60D0000}"/>
    <cellStyle name="Comma 3 5 2 2 4 4" xfId="19101" xr:uid="{00000000-0005-0000-0000-0000F70D0000}"/>
    <cellStyle name="Comma 3 5 2 2 4 4 2" xfId="39153" xr:uid="{00000000-0005-0000-0000-0000F80D0000}"/>
    <cellStyle name="Comma 3 5 2 2 4 5" xfId="19497" xr:uid="{00000000-0005-0000-0000-0000F90D0000}"/>
    <cellStyle name="Comma 3 5 2 2 4 5 2" xfId="39549" xr:uid="{00000000-0005-0000-0000-0000FA0D0000}"/>
    <cellStyle name="Comma 3 5 2 2 4 6" xfId="19893" xr:uid="{00000000-0005-0000-0000-0000FB0D0000}"/>
    <cellStyle name="Comma 3 5 2 2 4 6 2" xfId="39945" xr:uid="{00000000-0005-0000-0000-0000FC0D0000}"/>
    <cellStyle name="Comma 3 5 2 2 4 7" xfId="32077" xr:uid="{00000000-0005-0000-0000-0000FD0D0000}"/>
    <cellStyle name="Comma 3 5 2 2 5" xfId="18111" xr:uid="{00000000-0005-0000-0000-0000FE0D0000}"/>
    <cellStyle name="Comma 3 5 2 2 5 2" xfId="38163" xr:uid="{00000000-0005-0000-0000-0000FF0D0000}"/>
    <cellStyle name="Comma 3 5 2 2 6" xfId="18507" xr:uid="{00000000-0005-0000-0000-0000000E0000}"/>
    <cellStyle name="Comma 3 5 2 2 6 2" xfId="38559" xr:uid="{00000000-0005-0000-0000-0000010E0000}"/>
    <cellStyle name="Comma 3 5 2 2 7" xfId="18903" xr:uid="{00000000-0005-0000-0000-0000020E0000}"/>
    <cellStyle name="Comma 3 5 2 2 7 2" xfId="38955" xr:uid="{00000000-0005-0000-0000-0000030E0000}"/>
    <cellStyle name="Comma 3 5 2 2 8" xfId="19299" xr:uid="{00000000-0005-0000-0000-0000040E0000}"/>
    <cellStyle name="Comma 3 5 2 2 8 2" xfId="39351" xr:uid="{00000000-0005-0000-0000-0000050E0000}"/>
    <cellStyle name="Comma 3 5 2 2 9" xfId="19695" xr:uid="{00000000-0005-0000-0000-0000060E0000}"/>
    <cellStyle name="Comma 3 5 2 2 9 2" xfId="39747" xr:uid="{00000000-0005-0000-0000-0000070E0000}"/>
    <cellStyle name="Comma 3 5 2 3" xfId="4489" xr:uid="{00000000-0005-0000-0000-0000080E0000}"/>
    <cellStyle name="Comma 3 5 2 3 10" xfId="24541" xr:uid="{00000000-0005-0000-0000-0000090E0000}"/>
    <cellStyle name="Comma 3 5 2 3 2" xfId="8971" xr:uid="{00000000-0005-0000-0000-00000A0E0000}"/>
    <cellStyle name="Comma 3 5 2 3 2 2" xfId="18001" xr:uid="{00000000-0005-0000-0000-00000B0E0000}"/>
    <cellStyle name="Comma 3 5 2 3 2 2 2" xfId="18397" xr:uid="{00000000-0005-0000-0000-00000C0E0000}"/>
    <cellStyle name="Comma 3 5 2 3 2 2 2 2" xfId="38449" xr:uid="{00000000-0005-0000-0000-00000D0E0000}"/>
    <cellStyle name="Comma 3 5 2 3 2 2 3" xfId="18793" xr:uid="{00000000-0005-0000-0000-00000E0E0000}"/>
    <cellStyle name="Comma 3 5 2 3 2 2 3 2" xfId="38845" xr:uid="{00000000-0005-0000-0000-00000F0E0000}"/>
    <cellStyle name="Comma 3 5 2 3 2 2 4" xfId="19189" xr:uid="{00000000-0005-0000-0000-0000100E0000}"/>
    <cellStyle name="Comma 3 5 2 3 2 2 4 2" xfId="39241" xr:uid="{00000000-0005-0000-0000-0000110E0000}"/>
    <cellStyle name="Comma 3 5 2 3 2 2 5" xfId="19585" xr:uid="{00000000-0005-0000-0000-0000120E0000}"/>
    <cellStyle name="Comma 3 5 2 3 2 2 5 2" xfId="39637" xr:uid="{00000000-0005-0000-0000-0000130E0000}"/>
    <cellStyle name="Comma 3 5 2 3 2 2 6" xfId="19981" xr:uid="{00000000-0005-0000-0000-0000140E0000}"/>
    <cellStyle name="Comma 3 5 2 3 2 2 6 2" xfId="40033" xr:uid="{00000000-0005-0000-0000-0000150E0000}"/>
    <cellStyle name="Comma 3 5 2 3 2 2 7" xfId="38053" xr:uid="{00000000-0005-0000-0000-0000160E0000}"/>
    <cellStyle name="Comma 3 5 2 3 2 3" xfId="18199" xr:uid="{00000000-0005-0000-0000-0000170E0000}"/>
    <cellStyle name="Comma 3 5 2 3 2 3 2" xfId="38251" xr:uid="{00000000-0005-0000-0000-0000180E0000}"/>
    <cellStyle name="Comma 3 5 2 3 2 4" xfId="18595" xr:uid="{00000000-0005-0000-0000-0000190E0000}"/>
    <cellStyle name="Comma 3 5 2 3 2 4 2" xfId="38647" xr:uid="{00000000-0005-0000-0000-00001A0E0000}"/>
    <cellStyle name="Comma 3 5 2 3 2 5" xfId="18991" xr:uid="{00000000-0005-0000-0000-00001B0E0000}"/>
    <cellStyle name="Comma 3 5 2 3 2 5 2" xfId="39043" xr:uid="{00000000-0005-0000-0000-00001C0E0000}"/>
    <cellStyle name="Comma 3 5 2 3 2 6" xfId="19387" xr:uid="{00000000-0005-0000-0000-00001D0E0000}"/>
    <cellStyle name="Comma 3 5 2 3 2 6 2" xfId="39439" xr:uid="{00000000-0005-0000-0000-00001E0E0000}"/>
    <cellStyle name="Comma 3 5 2 3 2 7" xfId="19783" xr:uid="{00000000-0005-0000-0000-00001F0E0000}"/>
    <cellStyle name="Comma 3 5 2 3 2 7 2" xfId="39835" xr:uid="{00000000-0005-0000-0000-0000200E0000}"/>
    <cellStyle name="Comma 3 5 2 3 2 8" xfId="29023" xr:uid="{00000000-0005-0000-0000-0000210E0000}"/>
    <cellStyle name="Comma 3 5 2 3 3" xfId="9037" xr:uid="{00000000-0005-0000-0000-0000220E0000}"/>
    <cellStyle name="Comma 3 5 2 3 3 2" xfId="18067" xr:uid="{00000000-0005-0000-0000-0000230E0000}"/>
    <cellStyle name="Comma 3 5 2 3 3 2 2" xfId="18463" xr:uid="{00000000-0005-0000-0000-0000240E0000}"/>
    <cellStyle name="Comma 3 5 2 3 3 2 2 2" xfId="38515" xr:uid="{00000000-0005-0000-0000-0000250E0000}"/>
    <cellStyle name="Comma 3 5 2 3 3 2 3" xfId="18859" xr:uid="{00000000-0005-0000-0000-0000260E0000}"/>
    <cellStyle name="Comma 3 5 2 3 3 2 3 2" xfId="38911" xr:uid="{00000000-0005-0000-0000-0000270E0000}"/>
    <cellStyle name="Comma 3 5 2 3 3 2 4" xfId="19255" xr:uid="{00000000-0005-0000-0000-0000280E0000}"/>
    <cellStyle name="Comma 3 5 2 3 3 2 4 2" xfId="39307" xr:uid="{00000000-0005-0000-0000-0000290E0000}"/>
    <cellStyle name="Comma 3 5 2 3 3 2 5" xfId="19651" xr:uid="{00000000-0005-0000-0000-00002A0E0000}"/>
    <cellStyle name="Comma 3 5 2 3 3 2 5 2" xfId="39703" xr:uid="{00000000-0005-0000-0000-00002B0E0000}"/>
    <cellStyle name="Comma 3 5 2 3 3 2 6" xfId="20047" xr:uid="{00000000-0005-0000-0000-00002C0E0000}"/>
    <cellStyle name="Comma 3 5 2 3 3 2 6 2" xfId="40099" xr:uid="{00000000-0005-0000-0000-00002D0E0000}"/>
    <cellStyle name="Comma 3 5 2 3 3 2 7" xfId="38119" xr:uid="{00000000-0005-0000-0000-00002E0E0000}"/>
    <cellStyle name="Comma 3 5 2 3 3 3" xfId="18265" xr:uid="{00000000-0005-0000-0000-00002F0E0000}"/>
    <cellStyle name="Comma 3 5 2 3 3 3 2" xfId="38317" xr:uid="{00000000-0005-0000-0000-0000300E0000}"/>
    <cellStyle name="Comma 3 5 2 3 3 4" xfId="18661" xr:uid="{00000000-0005-0000-0000-0000310E0000}"/>
    <cellStyle name="Comma 3 5 2 3 3 4 2" xfId="38713" xr:uid="{00000000-0005-0000-0000-0000320E0000}"/>
    <cellStyle name="Comma 3 5 2 3 3 5" xfId="19057" xr:uid="{00000000-0005-0000-0000-0000330E0000}"/>
    <cellStyle name="Comma 3 5 2 3 3 5 2" xfId="39109" xr:uid="{00000000-0005-0000-0000-0000340E0000}"/>
    <cellStyle name="Comma 3 5 2 3 3 6" xfId="19453" xr:uid="{00000000-0005-0000-0000-0000350E0000}"/>
    <cellStyle name="Comma 3 5 2 3 3 6 2" xfId="39505" xr:uid="{00000000-0005-0000-0000-0000360E0000}"/>
    <cellStyle name="Comma 3 5 2 3 3 7" xfId="19849" xr:uid="{00000000-0005-0000-0000-0000370E0000}"/>
    <cellStyle name="Comma 3 5 2 3 3 7 2" xfId="39901" xr:uid="{00000000-0005-0000-0000-0000380E0000}"/>
    <cellStyle name="Comma 3 5 2 3 3 8" xfId="29089" xr:uid="{00000000-0005-0000-0000-0000390E0000}"/>
    <cellStyle name="Comma 3 5 2 3 4" xfId="13519" xr:uid="{00000000-0005-0000-0000-00003A0E0000}"/>
    <cellStyle name="Comma 3 5 2 3 4 2" xfId="18331" xr:uid="{00000000-0005-0000-0000-00003B0E0000}"/>
    <cellStyle name="Comma 3 5 2 3 4 2 2" xfId="38383" xr:uid="{00000000-0005-0000-0000-00003C0E0000}"/>
    <cellStyle name="Comma 3 5 2 3 4 3" xfId="18727" xr:uid="{00000000-0005-0000-0000-00003D0E0000}"/>
    <cellStyle name="Comma 3 5 2 3 4 3 2" xfId="38779" xr:uid="{00000000-0005-0000-0000-00003E0E0000}"/>
    <cellStyle name="Comma 3 5 2 3 4 4" xfId="19123" xr:uid="{00000000-0005-0000-0000-00003F0E0000}"/>
    <cellStyle name="Comma 3 5 2 3 4 4 2" xfId="39175" xr:uid="{00000000-0005-0000-0000-0000400E0000}"/>
    <cellStyle name="Comma 3 5 2 3 4 5" xfId="19519" xr:uid="{00000000-0005-0000-0000-0000410E0000}"/>
    <cellStyle name="Comma 3 5 2 3 4 5 2" xfId="39571" xr:uid="{00000000-0005-0000-0000-0000420E0000}"/>
    <cellStyle name="Comma 3 5 2 3 4 6" xfId="19915" xr:uid="{00000000-0005-0000-0000-0000430E0000}"/>
    <cellStyle name="Comma 3 5 2 3 4 6 2" xfId="39967" xr:uid="{00000000-0005-0000-0000-0000440E0000}"/>
    <cellStyle name="Comma 3 5 2 3 4 7" xfId="33571" xr:uid="{00000000-0005-0000-0000-0000450E0000}"/>
    <cellStyle name="Comma 3 5 2 3 5" xfId="18133" xr:uid="{00000000-0005-0000-0000-0000460E0000}"/>
    <cellStyle name="Comma 3 5 2 3 5 2" xfId="38185" xr:uid="{00000000-0005-0000-0000-0000470E0000}"/>
    <cellStyle name="Comma 3 5 2 3 6" xfId="18529" xr:uid="{00000000-0005-0000-0000-0000480E0000}"/>
    <cellStyle name="Comma 3 5 2 3 6 2" xfId="38581" xr:uid="{00000000-0005-0000-0000-0000490E0000}"/>
    <cellStyle name="Comma 3 5 2 3 7" xfId="18925" xr:uid="{00000000-0005-0000-0000-00004A0E0000}"/>
    <cellStyle name="Comma 3 5 2 3 7 2" xfId="38977" xr:uid="{00000000-0005-0000-0000-00004B0E0000}"/>
    <cellStyle name="Comma 3 5 2 3 8" xfId="19321" xr:uid="{00000000-0005-0000-0000-00004C0E0000}"/>
    <cellStyle name="Comma 3 5 2 3 8 2" xfId="39373" xr:uid="{00000000-0005-0000-0000-00004D0E0000}"/>
    <cellStyle name="Comma 3 5 2 3 9" xfId="19717" xr:uid="{00000000-0005-0000-0000-00004E0E0000}"/>
    <cellStyle name="Comma 3 5 2 3 9 2" xfId="39769" xr:uid="{00000000-0005-0000-0000-00004F0E0000}"/>
    <cellStyle name="Comma 3 5 2 4" xfId="5983" xr:uid="{00000000-0005-0000-0000-0000500E0000}"/>
    <cellStyle name="Comma 3 5 2 4 2" xfId="15013" xr:uid="{00000000-0005-0000-0000-0000510E0000}"/>
    <cellStyle name="Comma 3 5 2 4 2 2" xfId="18353" xr:uid="{00000000-0005-0000-0000-0000520E0000}"/>
    <cellStyle name="Comma 3 5 2 4 2 2 2" xfId="38405" xr:uid="{00000000-0005-0000-0000-0000530E0000}"/>
    <cellStyle name="Comma 3 5 2 4 2 3" xfId="18749" xr:uid="{00000000-0005-0000-0000-0000540E0000}"/>
    <cellStyle name="Comma 3 5 2 4 2 3 2" xfId="38801" xr:uid="{00000000-0005-0000-0000-0000550E0000}"/>
    <cellStyle name="Comma 3 5 2 4 2 4" xfId="19145" xr:uid="{00000000-0005-0000-0000-0000560E0000}"/>
    <cellStyle name="Comma 3 5 2 4 2 4 2" xfId="39197" xr:uid="{00000000-0005-0000-0000-0000570E0000}"/>
    <cellStyle name="Comma 3 5 2 4 2 5" xfId="19541" xr:uid="{00000000-0005-0000-0000-0000580E0000}"/>
    <cellStyle name="Comma 3 5 2 4 2 5 2" xfId="39593" xr:uid="{00000000-0005-0000-0000-0000590E0000}"/>
    <cellStyle name="Comma 3 5 2 4 2 6" xfId="19937" xr:uid="{00000000-0005-0000-0000-00005A0E0000}"/>
    <cellStyle name="Comma 3 5 2 4 2 6 2" xfId="39989" xr:uid="{00000000-0005-0000-0000-00005B0E0000}"/>
    <cellStyle name="Comma 3 5 2 4 2 7" xfId="35065" xr:uid="{00000000-0005-0000-0000-00005C0E0000}"/>
    <cellStyle name="Comma 3 5 2 4 3" xfId="18155" xr:uid="{00000000-0005-0000-0000-00005D0E0000}"/>
    <cellStyle name="Comma 3 5 2 4 3 2" xfId="38207" xr:uid="{00000000-0005-0000-0000-00005E0E0000}"/>
    <cellStyle name="Comma 3 5 2 4 4" xfId="18551" xr:uid="{00000000-0005-0000-0000-00005F0E0000}"/>
    <cellStyle name="Comma 3 5 2 4 4 2" xfId="38603" xr:uid="{00000000-0005-0000-0000-0000600E0000}"/>
    <cellStyle name="Comma 3 5 2 4 5" xfId="18947" xr:uid="{00000000-0005-0000-0000-0000610E0000}"/>
    <cellStyle name="Comma 3 5 2 4 5 2" xfId="38999" xr:uid="{00000000-0005-0000-0000-0000620E0000}"/>
    <cellStyle name="Comma 3 5 2 4 6" xfId="19343" xr:uid="{00000000-0005-0000-0000-0000630E0000}"/>
    <cellStyle name="Comma 3 5 2 4 6 2" xfId="39395" xr:uid="{00000000-0005-0000-0000-0000640E0000}"/>
    <cellStyle name="Comma 3 5 2 4 7" xfId="19739" xr:uid="{00000000-0005-0000-0000-0000650E0000}"/>
    <cellStyle name="Comma 3 5 2 4 7 2" xfId="39791" xr:uid="{00000000-0005-0000-0000-0000660E0000}"/>
    <cellStyle name="Comma 3 5 2 4 8" xfId="26035" xr:uid="{00000000-0005-0000-0000-0000670E0000}"/>
    <cellStyle name="Comma 3 5 2 5" xfId="8993" xr:uid="{00000000-0005-0000-0000-0000680E0000}"/>
    <cellStyle name="Comma 3 5 2 5 2" xfId="18023" xr:uid="{00000000-0005-0000-0000-0000690E0000}"/>
    <cellStyle name="Comma 3 5 2 5 2 2" xfId="18419" xr:uid="{00000000-0005-0000-0000-00006A0E0000}"/>
    <cellStyle name="Comma 3 5 2 5 2 2 2" xfId="38471" xr:uid="{00000000-0005-0000-0000-00006B0E0000}"/>
    <cellStyle name="Comma 3 5 2 5 2 3" xfId="18815" xr:uid="{00000000-0005-0000-0000-00006C0E0000}"/>
    <cellStyle name="Comma 3 5 2 5 2 3 2" xfId="38867" xr:uid="{00000000-0005-0000-0000-00006D0E0000}"/>
    <cellStyle name="Comma 3 5 2 5 2 4" xfId="19211" xr:uid="{00000000-0005-0000-0000-00006E0E0000}"/>
    <cellStyle name="Comma 3 5 2 5 2 4 2" xfId="39263" xr:uid="{00000000-0005-0000-0000-00006F0E0000}"/>
    <cellStyle name="Comma 3 5 2 5 2 5" xfId="19607" xr:uid="{00000000-0005-0000-0000-0000700E0000}"/>
    <cellStyle name="Comma 3 5 2 5 2 5 2" xfId="39659" xr:uid="{00000000-0005-0000-0000-0000710E0000}"/>
    <cellStyle name="Comma 3 5 2 5 2 6" xfId="20003" xr:uid="{00000000-0005-0000-0000-0000720E0000}"/>
    <cellStyle name="Comma 3 5 2 5 2 6 2" xfId="40055" xr:uid="{00000000-0005-0000-0000-0000730E0000}"/>
    <cellStyle name="Comma 3 5 2 5 2 7" xfId="38075" xr:uid="{00000000-0005-0000-0000-0000740E0000}"/>
    <cellStyle name="Comma 3 5 2 5 3" xfId="18221" xr:uid="{00000000-0005-0000-0000-0000750E0000}"/>
    <cellStyle name="Comma 3 5 2 5 3 2" xfId="38273" xr:uid="{00000000-0005-0000-0000-0000760E0000}"/>
    <cellStyle name="Comma 3 5 2 5 4" xfId="18617" xr:uid="{00000000-0005-0000-0000-0000770E0000}"/>
    <cellStyle name="Comma 3 5 2 5 4 2" xfId="38669" xr:uid="{00000000-0005-0000-0000-0000780E0000}"/>
    <cellStyle name="Comma 3 5 2 5 5" xfId="19013" xr:uid="{00000000-0005-0000-0000-0000790E0000}"/>
    <cellStyle name="Comma 3 5 2 5 5 2" xfId="39065" xr:uid="{00000000-0005-0000-0000-00007A0E0000}"/>
    <cellStyle name="Comma 3 5 2 5 6" xfId="19409" xr:uid="{00000000-0005-0000-0000-00007B0E0000}"/>
    <cellStyle name="Comma 3 5 2 5 6 2" xfId="39461" xr:uid="{00000000-0005-0000-0000-00007C0E0000}"/>
    <cellStyle name="Comma 3 5 2 5 7" xfId="19805" xr:uid="{00000000-0005-0000-0000-00007D0E0000}"/>
    <cellStyle name="Comma 3 5 2 5 7 2" xfId="39857" xr:uid="{00000000-0005-0000-0000-00007E0E0000}"/>
    <cellStyle name="Comma 3 5 2 5 8" xfId="29045" xr:uid="{00000000-0005-0000-0000-00007F0E0000}"/>
    <cellStyle name="Comma 3 5 2 6" xfId="10531" xr:uid="{00000000-0005-0000-0000-0000800E0000}"/>
    <cellStyle name="Comma 3 5 2 6 2" xfId="18287" xr:uid="{00000000-0005-0000-0000-0000810E0000}"/>
    <cellStyle name="Comma 3 5 2 6 2 2" xfId="38339" xr:uid="{00000000-0005-0000-0000-0000820E0000}"/>
    <cellStyle name="Comma 3 5 2 6 3" xfId="18683" xr:uid="{00000000-0005-0000-0000-0000830E0000}"/>
    <cellStyle name="Comma 3 5 2 6 3 2" xfId="38735" xr:uid="{00000000-0005-0000-0000-0000840E0000}"/>
    <cellStyle name="Comma 3 5 2 6 4" xfId="19079" xr:uid="{00000000-0005-0000-0000-0000850E0000}"/>
    <cellStyle name="Comma 3 5 2 6 4 2" xfId="39131" xr:uid="{00000000-0005-0000-0000-0000860E0000}"/>
    <cellStyle name="Comma 3 5 2 6 5" xfId="19475" xr:uid="{00000000-0005-0000-0000-0000870E0000}"/>
    <cellStyle name="Comma 3 5 2 6 5 2" xfId="39527" xr:uid="{00000000-0005-0000-0000-0000880E0000}"/>
    <cellStyle name="Comma 3 5 2 6 6" xfId="19871" xr:uid="{00000000-0005-0000-0000-0000890E0000}"/>
    <cellStyle name="Comma 3 5 2 6 6 2" xfId="39923" xr:uid="{00000000-0005-0000-0000-00008A0E0000}"/>
    <cellStyle name="Comma 3 5 2 6 7" xfId="30583" xr:uid="{00000000-0005-0000-0000-00008B0E0000}"/>
    <cellStyle name="Comma 3 5 2 7" xfId="18089" xr:uid="{00000000-0005-0000-0000-00008C0E0000}"/>
    <cellStyle name="Comma 3 5 2 7 2" xfId="38141" xr:uid="{00000000-0005-0000-0000-00008D0E0000}"/>
    <cellStyle name="Comma 3 5 2 8" xfId="18485" xr:uid="{00000000-0005-0000-0000-00008E0E0000}"/>
    <cellStyle name="Comma 3 5 2 8 2" xfId="38537" xr:uid="{00000000-0005-0000-0000-00008F0E0000}"/>
    <cellStyle name="Comma 3 5 2 9" xfId="18881" xr:uid="{00000000-0005-0000-0000-0000900E0000}"/>
    <cellStyle name="Comma 3 5 2 9 2" xfId="38933" xr:uid="{00000000-0005-0000-0000-0000910E0000}"/>
    <cellStyle name="Comma 3 5 3" xfId="2340" xr:uid="{00000000-0005-0000-0000-0000920E0000}"/>
    <cellStyle name="Comma 3 5 3 10" xfId="22392" xr:uid="{00000000-0005-0000-0000-0000930E0000}"/>
    <cellStyle name="Comma 3 5 3 2" xfId="6822" xr:uid="{00000000-0005-0000-0000-0000940E0000}"/>
    <cellStyle name="Comma 3 5 3 2 2" xfId="15852" xr:uid="{00000000-0005-0000-0000-0000950E0000}"/>
    <cellStyle name="Comma 3 5 3 2 2 2" xfId="18364" xr:uid="{00000000-0005-0000-0000-0000960E0000}"/>
    <cellStyle name="Comma 3 5 3 2 2 2 2" xfId="38416" xr:uid="{00000000-0005-0000-0000-0000970E0000}"/>
    <cellStyle name="Comma 3 5 3 2 2 3" xfId="18760" xr:uid="{00000000-0005-0000-0000-0000980E0000}"/>
    <cellStyle name="Comma 3 5 3 2 2 3 2" xfId="38812" xr:uid="{00000000-0005-0000-0000-0000990E0000}"/>
    <cellStyle name="Comma 3 5 3 2 2 4" xfId="19156" xr:uid="{00000000-0005-0000-0000-00009A0E0000}"/>
    <cellStyle name="Comma 3 5 3 2 2 4 2" xfId="39208" xr:uid="{00000000-0005-0000-0000-00009B0E0000}"/>
    <cellStyle name="Comma 3 5 3 2 2 5" xfId="19552" xr:uid="{00000000-0005-0000-0000-00009C0E0000}"/>
    <cellStyle name="Comma 3 5 3 2 2 5 2" xfId="39604" xr:uid="{00000000-0005-0000-0000-00009D0E0000}"/>
    <cellStyle name="Comma 3 5 3 2 2 6" xfId="19948" xr:uid="{00000000-0005-0000-0000-00009E0E0000}"/>
    <cellStyle name="Comma 3 5 3 2 2 6 2" xfId="40000" xr:uid="{00000000-0005-0000-0000-00009F0E0000}"/>
    <cellStyle name="Comma 3 5 3 2 2 7" xfId="35904" xr:uid="{00000000-0005-0000-0000-0000A00E0000}"/>
    <cellStyle name="Comma 3 5 3 2 3" xfId="18166" xr:uid="{00000000-0005-0000-0000-0000A10E0000}"/>
    <cellStyle name="Comma 3 5 3 2 3 2" xfId="38218" xr:uid="{00000000-0005-0000-0000-0000A20E0000}"/>
    <cellStyle name="Comma 3 5 3 2 4" xfId="18562" xr:uid="{00000000-0005-0000-0000-0000A30E0000}"/>
    <cellStyle name="Comma 3 5 3 2 4 2" xfId="38614" xr:uid="{00000000-0005-0000-0000-0000A40E0000}"/>
    <cellStyle name="Comma 3 5 3 2 5" xfId="18958" xr:uid="{00000000-0005-0000-0000-0000A50E0000}"/>
    <cellStyle name="Comma 3 5 3 2 5 2" xfId="39010" xr:uid="{00000000-0005-0000-0000-0000A60E0000}"/>
    <cellStyle name="Comma 3 5 3 2 6" xfId="19354" xr:uid="{00000000-0005-0000-0000-0000A70E0000}"/>
    <cellStyle name="Comma 3 5 3 2 6 2" xfId="39406" xr:uid="{00000000-0005-0000-0000-0000A80E0000}"/>
    <cellStyle name="Comma 3 5 3 2 7" xfId="19750" xr:uid="{00000000-0005-0000-0000-0000A90E0000}"/>
    <cellStyle name="Comma 3 5 3 2 7 2" xfId="39802" xr:uid="{00000000-0005-0000-0000-0000AA0E0000}"/>
    <cellStyle name="Comma 3 5 3 2 8" xfId="26874" xr:uid="{00000000-0005-0000-0000-0000AB0E0000}"/>
    <cellStyle name="Comma 3 5 3 3" xfId="9004" xr:uid="{00000000-0005-0000-0000-0000AC0E0000}"/>
    <cellStyle name="Comma 3 5 3 3 2" xfId="18034" xr:uid="{00000000-0005-0000-0000-0000AD0E0000}"/>
    <cellStyle name="Comma 3 5 3 3 2 2" xfId="18430" xr:uid="{00000000-0005-0000-0000-0000AE0E0000}"/>
    <cellStyle name="Comma 3 5 3 3 2 2 2" xfId="38482" xr:uid="{00000000-0005-0000-0000-0000AF0E0000}"/>
    <cellStyle name="Comma 3 5 3 3 2 3" xfId="18826" xr:uid="{00000000-0005-0000-0000-0000B00E0000}"/>
    <cellStyle name="Comma 3 5 3 3 2 3 2" xfId="38878" xr:uid="{00000000-0005-0000-0000-0000B10E0000}"/>
    <cellStyle name="Comma 3 5 3 3 2 4" xfId="19222" xr:uid="{00000000-0005-0000-0000-0000B20E0000}"/>
    <cellStyle name="Comma 3 5 3 3 2 4 2" xfId="39274" xr:uid="{00000000-0005-0000-0000-0000B30E0000}"/>
    <cellStyle name="Comma 3 5 3 3 2 5" xfId="19618" xr:uid="{00000000-0005-0000-0000-0000B40E0000}"/>
    <cellStyle name="Comma 3 5 3 3 2 5 2" xfId="39670" xr:uid="{00000000-0005-0000-0000-0000B50E0000}"/>
    <cellStyle name="Comma 3 5 3 3 2 6" xfId="20014" xr:uid="{00000000-0005-0000-0000-0000B60E0000}"/>
    <cellStyle name="Comma 3 5 3 3 2 6 2" xfId="40066" xr:uid="{00000000-0005-0000-0000-0000B70E0000}"/>
    <cellStyle name="Comma 3 5 3 3 2 7" xfId="38086" xr:uid="{00000000-0005-0000-0000-0000B80E0000}"/>
    <cellStyle name="Comma 3 5 3 3 3" xfId="18232" xr:uid="{00000000-0005-0000-0000-0000B90E0000}"/>
    <cellStyle name="Comma 3 5 3 3 3 2" xfId="38284" xr:uid="{00000000-0005-0000-0000-0000BA0E0000}"/>
    <cellStyle name="Comma 3 5 3 3 4" xfId="18628" xr:uid="{00000000-0005-0000-0000-0000BB0E0000}"/>
    <cellStyle name="Comma 3 5 3 3 4 2" xfId="38680" xr:uid="{00000000-0005-0000-0000-0000BC0E0000}"/>
    <cellStyle name="Comma 3 5 3 3 5" xfId="19024" xr:uid="{00000000-0005-0000-0000-0000BD0E0000}"/>
    <cellStyle name="Comma 3 5 3 3 5 2" xfId="39076" xr:uid="{00000000-0005-0000-0000-0000BE0E0000}"/>
    <cellStyle name="Comma 3 5 3 3 6" xfId="19420" xr:uid="{00000000-0005-0000-0000-0000BF0E0000}"/>
    <cellStyle name="Comma 3 5 3 3 6 2" xfId="39472" xr:uid="{00000000-0005-0000-0000-0000C00E0000}"/>
    <cellStyle name="Comma 3 5 3 3 7" xfId="19816" xr:uid="{00000000-0005-0000-0000-0000C10E0000}"/>
    <cellStyle name="Comma 3 5 3 3 7 2" xfId="39868" xr:uid="{00000000-0005-0000-0000-0000C20E0000}"/>
    <cellStyle name="Comma 3 5 3 3 8" xfId="29056" xr:uid="{00000000-0005-0000-0000-0000C30E0000}"/>
    <cellStyle name="Comma 3 5 3 4" xfId="11370" xr:uid="{00000000-0005-0000-0000-0000C40E0000}"/>
    <cellStyle name="Comma 3 5 3 4 2" xfId="18298" xr:uid="{00000000-0005-0000-0000-0000C50E0000}"/>
    <cellStyle name="Comma 3 5 3 4 2 2" xfId="38350" xr:uid="{00000000-0005-0000-0000-0000C60E0000}"/>
    <cellStyle name="Comma 3 5 3 4 3" xfId="18694" xr:uid="{00000000-0005-0000-0000-0000C70E0000}"/>
    <cellStyle name="Comma 3 5 3 4 3 2" xfId="38746" xr:uid="{00000000-0005-0000-0000-0000C80E0000}"/>
    <cellStyle name="Comma 3 5 3 4 4" xfId="19090" xr:uid="{00000000-0005-0000-0000-0000C90E0000}"/>
    <cellStyle name="Comma 3 5 3 4 4 2" xfId="39142" xr:uid="{00000000-0005-0000-0000-0000CA0E0000}"/>
    <cellStyle name="Comma 3 5 3 4 5" xfId="19486" xr:uid="{00000000-0005-0000-0000-0000CB0E0000}"/>
    <cellStyle name="Comma 3 5 3 4 5 2" xfId="39538" xr:uid="{00000000-0005-0000-0000-0000CC0E0000}"/>
    <cellStyle name="Comma 3 5 3 4 6" xfId="19882" xr:uid="{00000000-0005-0000-0000-0000CD0E0000}"/>
    <cellStyle name="Comma 3 5 3 4 6 2" xfId="39934" xr:uid="{00000000-0005-0000-0000-0000CE0E0000}"/>
    <cellStyle name="Comma 3 5 3 4 7" xfId="31422" xr:uid="{00000000-0005-0000-0000-0000CF0E0000}"/>
    <cellStyle name="Comma 3 5 3 5" xfId="18100" xr:uid="{00000000-0005-0000-0000-0000D00E0000}"/>
    <cellStyle name="Comma 3 5 3 5 2" xfId="38152" xr:uid="{00000000-0005-0000-0000-0000D10E0000}"/>
    <cellStyle name="Comma 3 5 3 6" xfId="18496" xr:uid="{00000000-0005-0000-0000-0000D20E0000}"/>
    <cellStyle name="Comma 3 5 3 6 2" xfId="38548" xr:uid="{00000000-0005-0000-0000-0000D30E0000}"/>
    <cellStyle name="Comma 3 5 3 7" xfId="18892" xr:uid="{00000000-0005-0000-0000-0000D40E0000}"/>
    <cellStyle name="Comma 3 5 3 7 2" xfId="38944" xr:uid="{00000000-0005-0000-0000-0000D50E0000}"/>
    <cellStyle name="Comma 3 5 3 8" xfId="19288" xr:uid="{00000000-0005-0000-0000-0000D60E0000}"/>
    <cellStyle name="Comma 3 5 3 8 2" xfId="39340" xr:uid="{00000000-0005-0000-0000-0000D70E0000}"/>
    <cellStyle name="Comma 3 5 3 9" xfId="19684" xr:uid="{00000000-0005-0000-0000-0000D80E0000}"/>
    <cellStyle name="Comma 3 5 3 9 2" xfId="39736" xr:uid="{00000000-0005-0000-0000-0000D90E0000}"/>
    <cellStyle name="Comma 3 5 4" xfId="3834" xr:uid="{00000000-0005-0000-0000-0000DA0E0000}"/>
    <cellStyle name="Comma 3 5 4 10" xfId="23886" xr:uid="{00000000-0005-0000-0000-0000DB0E0000}"/>
    <cellStyle name="Comma 3 5 4 2" xfId="8316" xr:uid="{00000000-0005-0000-0000-0000DC0E0000}"/>
    <cellStyle name="Comma 3 5 4 2 2" xfId="17346" xr:uid="{00000000-0005-0000-0000-0000DD0E0000}"/>
    <cellStyle name="Comma 3 5 4 2 2 2" xfId="18386" xr:uid="{00000000-0005-0000-0000-0000DE0E0000}"/>
    <cellStyle name="Comma 3 5 4 2 2 2 2" xfId="38438" xr:uid="{00000000-0005-0000-0000-0000DF0E0000}"/>
    <cellStyle name="Comma 3 5 4 2 2 3" xfId="18782" xr:uid="{00000000-0005-0000-0000-0000E00E0000}"/>
    <cellStyle name="Comma 3 5 4 2 2 3 2" xfId="38834" xr:uid="{00000000-0005-0000-0000-0000E10E0000}"/>
    <cellStyle name="Comma 3 5 4 2 2 4" xfId="19178" xr:uid="{00000000-0005-0000-0000-0000E20E0000}"/>
    <cellStyle name="Comma 3 5 4 2 2 4 2" xfId="39230" xr:uid="{00000000-0005-0000-0000-0000E30E0000}"/>
    <cellStyle name="Comma 3 5 4 2 2 5" xfId="19574" xr:uid="{00000000-0005-0000-0000-0000E40E0000}"/>
    <cellStyle name="Comma 3 5 4 2 2 5 2" xfId="39626" xr:uid="{00000000-0005-0000-0000-0000E50E0000}"/>
    <cellStyle name="Comma 3 5 4 2 2 6" xfId="19970" xr:uid="{00000000-0005-0000-0000-0000E60E0000}"/>
    <cellStyle name="Comma 3 5 4 2 2 6 2" xfId="40022" xr:uid="{00000000-0005-0000-0000-0000E70E0000}"/>
    <cellStyle name="Comma 3 5 4 2 2 7" xfId="37398" xr:uid="{00000000-0005-0000-0000-0000E80E0000}"/>
    <cellStyle name="Comma 3 5 4 2 3" xfId="18188" xr:uid="{00000000-0005-0000-0000-0000E90E0000}"/>
    <cellStyle name="Comma 3 5 4 2 3 2" xfId="38240" xr:uid="{00000000-0005-0000-0000-0000EA0E0000}"/>
    <cellStyle name="Comma 3 5 4 2 4" xfId="18584" xr:uid="{00000000-0005-0000-0000-0000EB0E0000}"/>
    <cellStyle name="Comma 3 5 4 2 4 2" xfId="38636" xr:uid="{00000000-0005-0000-0000-0000EC0E0000}"/>
    <cellStyle name="Comma 3 5 4 2 5" xfId="18980" xr:uid="{00000000-0005-0000-0000-0000ED0E0000}"/>
    <cellStyle name="Comma 3 5 4 2 5 2" xfId="39032" xr:uid="{00000000-0005-0000-0000-0000EE0E0000}"/>
    <cellStyle name="Comma 3 5 4 2 6" xfId="19376" xr:uid="{00000000-0005-0000-0000-0000EF0E0000}"/>
    <cellStyle name="Comma 3 5 4 2 6 2" xfId="39428" xr:uid="{00000000-0005-0000-0000-0000F00E0000}"/>
    <cellStyle name="Comma 3 5 4 2 7" xfId="19772" xr:uid="{00000000-0005-0000-0000-0000F10E0000}"/>
    <cellStyle name="Comma 3 5 4 2 7 2" xfId="39824" xr:uid="{00000000-0005-0000-0000-0000F20E0000}"/>
    <cellStyle name="Comma 3 5 4 2 8" xfId="28368" xr:uid="{00000000-0005-0000-0000-0000F30E0000}"/>
    <cellStyle name="Comma 3 5 4 3" xfId="9026" xr:uid="{00000000-0005-0000-0000-0000F40E0000}"/>
    <cellStyle name="Comma 3 5 4 3 2" xfId="18056" xr:uid="{00000000-0005-0000-0000-0000F50E0000}"/>
    <cellStyle name="Comma 3 5 4 3 2 2" xfId="18452" xr:uid="{00000000-0005-0000-0000-0000F60E0000}"/>
    <cellStyle name="Comma 3 5 4 3 2 2 2" xfId="38504" xr:uid="{00000000-0005-0000-0000-0000F70E0000}"/>
    <cellStyle name="Comma 3 5 4 3 2 3" xfId="18848" xr:uid="{00000000-0005-0000-0000-0000F80E0000}"/>
    <cellStyle name="Comma 3 5 4 3 2 3 2" xfId="38900" xr:uid="{00000000-0005-0000-0000-0000F90E0000}"/>
    <cellStyle name="Comma 3 5 4 3 2 4" xfId="19244" xr:uid="{00000000-0005-0000-0000-0000FA0E0000}"/>
    <cellStyle name="Comma 3 5 4 3 2 4 2" xfId="39296" xr:uid="{00000000-0005-0000-0000-0000FB0E0000}"/>
    <cellStyle name="Comma 3 5 4 3 2 5" xfId="19640" xr:uid="{00000000-0005-0000-0000-0000FC0E0000}"/>
    <cellStyle name="Comma 3 5 4 3 2 5 2" xfId="39692" xr:uid="{00000000-0005-0000-0000-0000FD0E0000}"/>
    <cellStyle name="Comma 3 5 4 3 2 6" xfId="20036" xr:uid="{00000000-0005-0000-0000-0000FE0E0000}"/>
    <cellStyle name="Comma 3 5 4 3 2 6 2" xfId="40088" xr:uid="{00000000-0005-0000-0000-0000FF0E0000}"/>
    <cellStyle name="Comma 3 5 4 3 2 7" xfId="38108" xr:uid="{00000000-0005-0000-0000-0000000F0000}"/>
    <cellStyle name="Comma 3 5 4 3 3" xfId="18254" xr:uid="{00000000-0005-0000-0000-0000010F0000}"/>
    <cellStyle name="Comma 3 5 4 3 3 2" xfId="38306" xr:uid="{00000000-0005-0000-0000-0000020F0000}"/>
    <cellStyle name="Comma 3 5 4 3 4" xfId="18650" xr:uid="{00000000-0005-0000-0000-0000030F0000}"/>
    <cellStyle name="Comma 3 5 4 3 4 2" xfId="38702" xr:uid="{00000000-0005-0000-0000-0000040F0000}"/>
    <cellStyle name="Comma 3 5 4 3 5" xfId="19046" xr:uid="{00000000-0005-0000-0000-0000050F0000}"/>
    <cellStyle name="Comma 3 5 4 3 5 2" xfId="39098" xr:uid="{00000000-0005-0000-0000-0000060F0000}"/>
    <cellStyle name="Comma 3 5 4 3 6" xfId="19442" xr:uid="{00000000-0005-0000-0000-0000070F0000}"/>
    <cellStyle name="Comma 3 5 4 3 6 2" xfId="39494" xr:uid="{00000000-0005-0000-0000-0000080F0000}"/>
    <cellStyle name="Comma 3 5 4 3 7" xfId="19838" xr:uid="{00000000-0005-0000-0000-0000090F0000}"/>
    <cellStyle name="Comma 3 5 4 3 7 2" xfId="39890" xr:uid="{00000000-0005-0000-0000-00000A0F0000}"/>
    <cellStyle name="Comma 3 5 4 3 8" xfId="29078" xr:uid="{00000000-0005-0000-0000-00000B0F0000}"/>
    <cellStyle name="Comma 3 5 4 4" xfId="12864" xr:uid="{00000000-0005-0000-0000-00000C0F0000}"/>
    <cellStyle name="Comma 3 5 4 4 2" xfId="18320" xr:uid="{00000000-0005-0000-0000-00000D0F0000}"/>
    <cellStyle name="Comma 3 5 4 4 2 2" xfId="38372" xr:uid="{00000000-0005-0000-0000-00000E0F0000}"/>
    <cellStyle name="Comma 3 5 4 4 3" xfId="18716" xr:uid="{00000000-0005-0000-0000-00000F0F0000}"/>
    <cellStyle name="Comma 3 5 4 4 3 2" xfId="38768" xr:uid="{00000000-0005-0000-0000-0000100F0000}"/>
    <cellStyle name="Comma 3 5 4 4 4" xfId="19112" xr:uid="{00000000-0005-0000-0000-0000110F0000}"/>
    <cellStyle name="Comma 3 5 4 4 4 2" xfId="39164" xr:uid="{00000000-0005-0000-0000-0000120F0000}"/>
    <cellStyle name="Comma 3 5 4 4 5" xfId="19508" xr:uid="{00000000-0005-0000-0000-0000130F0000}"/>
    <cellStyle name="Comma 3 5 4 4 5 2" xfId="39560" xr:uid="{00000000-0005-0000-0000-0000140F0000}"/>
    <cellStyle name="Comma 3 5 4 4 6" xfId="19904" xr:uid="{00000000-0005-0000-0000-0000150F0000}"/>
    <cellStyle name="Comma 3 5 4 4 6 2" xfId="39956" xr:uid="{00000000-0005-0000-0000-0000160F0000}"/>
    <cellStyle name="Comma 3 5 4 4 7" xfId="32916" xr:uid="{00000000-0005-0000-0000-0000170F0000}"/>
    <cellStyle name="Comma 3 5 4 5" xfId="18122" xr:uid="{00000000-0005-0000-0000-0000180F0000}"/>
    <cellStyle name="Comma 3 5 4 5 2" xfId="38174" xr:uid="{00000000-0005-0000-0000-0000190F0000}"/>
    <cellStyle name="Comma 3 5 4 6" xfId="18518" xr:uid="{00000000-0005-0000-0000-00001A0F0000}"/>
    <cellStyle name="Comma 3 5 4 6 2" xfId="38570" xr:uid="{00000000-0005-0000-0000-00001B0F0000}"/>
    <cellStyle name="Comma 3 5 4 7" xfId="18914" xr:uid="{00000000-0005-0000-0000-00001C0F0000}"/>
    <cellStyle name="Comma 3 5 4 7 2" xfId="38966" xr:uid="{00000000-0005-0000-0000-00001D0F0000}"/>
    <cellStyle name="Comma 3 5 4 8" xfId="19310" xr:uid="{00000000-0005-0000-0000-00001E0F0000}"/>
    <cellStyle name="Comma 3 5 4 8 2" xfId="39362" xr:uid="{00000000-0005-0000-0000-00001F0F0000}"/>
    <cellStyle name="Comma 3 5 4 9" xfId="19706" xr:uid="{00000000-0005-0000-0000-0000200F0000}"/>
    <cellStyle name="Comma 3 5 4 9 2" xfId="39758" xr:uid="{00000000-0005-0000-0000-0000210F0000}"/>
    <cellStyle name="Comma 3 5 5" xfId="5328" xr:uid="{00000000-0005-0000-0000-0000220F0000}"/>
    <cellStyle name="Comma 3 5 5 2" xfId="14358" xr:uid="{00000000-0005-0000-0000-0000230F0000}"/>
    <cellStyle name="Comma 3 5 5 2 2" xfId="18342" xr:uid="{00000000-0005-0000-0000-0000240F0000}"/>
    <cellStyle name="Comma 3 5 5 2 2 2" xfId="38394" xr:uid="{00000000-0005-0000-0000-0000250F0000}"/>
    <cellStyle name="Comma 3 5 5 2 3" xfId="18738" xr:uid="{00000000-0005-0000-0000-0000260F0000}"/>
    <cellStyle name="Comma 3 5 5 2 3 2" xfId="38790" xr:uid="{00000000-0005-0000-0000-0000270F0000}"/>
    <cellStyle name="Comma 3 5 5 2 4" xfId="19134" xr:uid="{00000000-0005-0000-0000-0000280F0000}"/>
    <cellStyle name="Comma 3 5 5 2 4 2" xfId="39186" xr:uid="{00000000-0005-0000-0000-0000290F0000}"/>
    <cellStyle name="Comma 3 5 5 2 5" xfId="19530" xr:uid="{00000000-0005-0000-0000-00002A0F0000}"/>
    <cellStyle name="Comma 3 5 5 2 5 2" xfId="39582" xr:uid="{00000000-0005-0000-0000-00002B0F0000}"/>
    <cellStyle name="Comma 3 5 5 2 6" xfId="19926" xr:uid="{00000000-0005-0000-0000-00002C0F0000}"/>
    <cellStyle name="Comma 3 5 5 2 6 2" xfId="39978" xr:uid="{00000000-0005-0000-0000-00002D0F0000}"/>
    <cellStyle name="Comma 3 5 5 2 7" xfId="34410" xr:uid="{00000000-0005-0000-0000-00002E0F0000}"/>
    <cellStyle name="Comma 3 5 5 3" xfId="18144" xr:uid="{00000000-0005-0000-0000-00002F0F0000}"/>
    <cellStyle name="Comma 3 5 5 3 2" xfId="38196" xr:uid="{00000000-0005-0000-0000-0000300F0000}"/>
    <cellStyle name="Comma 3 5 5 4" xfId="18540" xr:uid="{00000000-0005-0000-0000-0000310F0000}"/>
    <cellStyle name="Comma 3 5 5 4 2" xfId="38592" xr:uid="{00000000-0005-0000-0000-0000320F0000}"/>
    <cellStyle name="Comma 3 5 5 5" xfId="18936" xr:uid="{00000000-0005-0000-0000-0000330F0000}"/>
    <cellStyle name="Comma 3 5 5 5 2" xfId="38988" xr:uid="{00000000-0005-0000-0000-0000340F0000}"/>
    <cellStyle name="Comma 3 5 5 6" xfId="19332" xr:uid="{00000000-0005-0000-0000-0000350F0000}"/>
    <cellStyle name="Comma 3 5 5 6 2" xfId="39384" xr:uid="{00000000-0005-0000-0000-0000360F0000}"/>
    <cellStyle name="Comma 3 5 5 7" xfId="19728" xr:uid="{00000000-0005-0000-0000-0000370F0000}"/>
    <cellStyle name="Comma 3 5 5 7 2" xfId="39780" xr:uid="{00000000-0005-0000-0000-0000380F0000}"/>
    <cellStyle name="Comma 3 5 5 8" xfId="25380" xr:uid="{00000000-0005-0000-0000-0000390F0000}"/>
    <cellStyle name="Comma 3 5 6" xfId="8982" xr:uid="{00000000-0005-0000-0000-00003A0F0000}"/>
    <cellStyle name="Comma 3 5 6 2" xfId="18012" xr:uid="{00000000-0005-0000-0000-00003B0F0000}"/>
    <cellStyle name="Comma 3 5 6 2 2" xfId="18408" xr:uid="{00000000-0005-0000-0000-00003C0F0000}"/>
    <cellStyle name="Comma 3 5 6 2 2 2" xfId="38460" xr:uid="{00000000-0005-0000-0000-00003D0F0000}"/>
    <cellStyle name="Comma 3 5 6 2 3" xfId="18804" xr:uid="{00000000-0005-0000-0000-00003E0F0000}"/>
    <cellStyle name="Comma 3 5 6 2 3 2" xfId="38856" xr:uid="{00000000-0005-0000-0000-00003F0F0000}"/>
    <cellStyle name="Comma 3 5 6 2 4" xfId="19200" xr:uid="{00000000-0005-0000-0000-0000400F0000}"/>
    <cellStyle name="Comma 3 5 6 2 4 2" xfId="39252" xr:uid="{00000000-0005-0000-0000-0000410F0000}"/>
    <cellStyle name="Comma 3 5 6 2 5" xfId="19596" xr:uid="{00000000-0005-0000-0000-0000420F0000}"/>
    <cellStyle name="Comma 3 5 6 2 5 2" xfId="39648" xr:uid="{00000000-0005-0000-0000-0000430F0000}"/>
    <cellStyle name="Comma 3 5 6 2 6" xfId="19992" xr:uid="{00000000-0005-0000-0000-0000440F0000}"/>
    <cellStyle name="Comma 3 5 6 2 6 2" xfId="40044" xr:uid="{00000000-0005-0000-0000-0000450F0000}"/>
    <cellStyle name="Comma 3 5 6 2 7" xfId="38064" xr:uid="{00000000-0005-0000-0000-0000460F0000}"/>
    <cellStyle name="Comma 3 5 6 3" xfId="18210" xr:uid="{00000000-0005-0000-0000-0000470F0000}"/>
    <cellStyle name="Comma 3 5 6 3 2" xfId="38262" xr:uid="{00000000-0005-0000-0000-0000480F0000}"/>
    <cellStyle name="Comma 3 5 6 4" xfId="18606" xr:uid="{00000000-0005-0000-0000-0000490F0000}"/>
    <cellStyle name="Comma 3 5 6 4 2" xfId="38658" xr:uid="{00000000-0005-0000-0000-00004A0F0000}"/>
    <cellStyle name="Comma 3 5 6 5" xfId="19002" xr:uid="{00000000-0005-0000-0000-00004B0F0000}"/>
    <cellStyle name="Comma 3 5 6 5 2" xfId="39054" xr:uid="{00000000-0005-0000-0000-00004C0F0000}"/>
    <cellStyle name="Comma 3 5 6 6" xfId="19398" xr:uid="{00000000-0005-0000-0000-00004D0F0000}"/>
    <cellStyle name="Comma 3 5 6 6 2" xfId="39450" xr:uid="{00000000-0005-0000-0000-00004E0F0000}"/>
    <cellStyle name="Comma 3 5 6 7" xfId="19794" xr:uid="{00000000-0005-0000-0000-00004F0F0000}"/>
    <cellStyle name="Comma 3 5 6 7 2" xfId="39846" xr:uid="{00000000-0005-0000-0000-0000500F0000}"/>
    <cellStyle name="Comma 3 5 6 8" xfId="29034" xr:uid="{00000000-0005-0000-0000-0000510F0000}"/>
    <cellStyle name="Comma 3 5 7" xfId="9876" xr:uid="{00000000-0005-0000-0000-0000520F0000}"/>
    <cellStyle name="Comma 3 5 7 2" xfId="18276" xr:uid="{00000000-0005-0000-0000-0000530F0000}"/>
    <cellStyle name="Comma 3 5 7 2 2" xfId="38328" xr:uid="{00000000-0005-0000-0000-0000540F0000}"/>
    <cellStyle name="Comma 3 5 7 3" xfId="18672" xr:uid="{00000000-0005-0000-0000-0000550F0000}"/>
    <cellStyle name="Comma 3 5 7 3 2" xfId="38724" xr:uid="{00000000-0005-0000-0000-0000560F0000}"/>
    <cellStyle name="Comma 3 5 7 4" xfId="19068" xr:uid="{00000000-0005-0000-0000-0000570F0000}"/>
    <cellStyle name="Comma 3 5 7 4 2" xfId="39120" xr:uid="{00000000-0005-0000-0000-0000580F0000}"/>
    <cellStyle name="Comma 3 5 7 5" xfId="19464" xr:uid="{00000000-0005-0000-0000-0000590F0000}"/>
    <cellStyle name="Comma 3 5 7 5 2" xfId="39516" xr:uid="{00000000-0005-0000-0000-00005A0F0000}"/>
    <cellStyle name="Comma 3 5 7 6" xfId="19860" xr:uid="{00000000-0005-0000-0000-00005B0F0000}"/>
    <cellStyle name="Comma 3 5 7 6 2" xfId="39912" xr:uid="{00000000-0005-0000-0000-00005C0F0000}"/>
    <cellStyle name="Comma 3 5 7 7" xfId="29928" xr:uid="{00000000-0005-0000-0000-00005D0F0000}"/>
    <cellStyle name="Comma 3 5 8" xfId="18078" xr:uid="{00000000-0005-0000-0000-00005E0F0000}"/>
    <cellStyle name="Comma 3 5 8 2" xfId="38130" xr:uid="{00000000-0005-0000-0000-00005F0F0000}"/>
    <cellStyle name="Comma 3 5 9" xfId="18474" xr:uid="{00000000-0005-0000-0000-0000600F0000}"/>
    <cellStyle name="Comma 3 5 9 2" xfId="38526" xr:uid="{00000000-0005-0000-0000-0000610F0000}"/>
    <cellStyle name="Comma 3 6" xfId="1124" xr:uid="{00000000-0005-0000-0000-0000620F0000}"/>
    <cellStyle name="Comma 3 6 10" xfId="19268" xr:uid="{00000000-0005-0000-0000-0000630F0000}"/>
    <cellStyle name="Comma 3 6 10 2" xfId="39320" xr:uid="{00000000-0005-0000-0000-0000640F0000}"/>
    <cellStyle name="Comma 3 6 11" xfId="19664" xr:uid="{00000000-0005-0000-0000-0000650F0000}"/>
    <cellStyle name="Comma 3 6 11 2" xfId="39716" xr:uid="{00000000-0005-0000-0000-0000660F0000}"/>
    <cellStyle name="Comma 3 6 12" xfId="21176" xr:uid="{00000000-0005-0000-0000-0000670F0000}"/>
    <cellStyle name="Comma 3 6 2" xfId="2618" xr:uid="{00000000-0005-0000-0000-0000680F0000}"/>
    <cellStyle name="Comma 3 6 2 10" xfId="22670" xr:uid="{00000000-0005-0000-0000-0000690F0000}"/>
    <cellStyle name="Comma 3 6 2 2" xfId="7100" xr:uid="{00000000-0005-0000-0000-00006A0F0000}"/>
    <cellStyle name="Comma 3 6 2 2 2" xfId="16130" xr:uid="{00000000-0005-0000-0000-00006B0F0000}"/>
    <cellStyle name="Comma 3 6 2 2 2 2" xfId="18366" xr:uid="{00000000-0005-0000-0000-00006C0F0000}"/>
    <cellStyle name="Comma 3 6 2 2 2 2 2" xfId="38418" xr:uid="{00000000-0005-0000-0000-00006D0F0000}"/>
    <cellStyle name="Comma 3 6 2 2 2 3" xfId="18762" xr:uid="{00000000-0005-0000-0000-00006E0F0000}"/>
    <cellStyle name="Comma 3 6 2 2 2 3 2" xfId="38814" xr:uid="{00000000-0005-0000-0000-00006F0F0000}"/>
    <cellStyle name="Comma 3 6 2 2 2 4" xfId="19158" xr:uid="{00000000-0005-0000-0000-0000700F0000}"/>
    <cellStyle name="Comma 3 6 2 2 2 4 2" xfId="39210" xr:uid="{00000000-0005-0000-0000-0000710F0000}"/>
    <cellStyle name="Comma 3 6 2 2 2 5" xfId="19554" xr:uid="{00000000-0005-0000-0000-0000720F0000}"/>
    <cellStyle name="Comma 3 6 2 2 2 5 2" xfId="39606" xr:uid="{00000000-0005-0000-0000-0000730F0000}"/>
    <cellStyle name="Comma 3 6 2 2 2 6" xfId="19950" xr:uid="{00000000-0005-0000-0000-0000740F0000}"/>
    <cellStyle name="Comma 3 6 2 2 2 6 2" xfId="40002" xr:uid="{00000000-0005-0000-0000-0000750F0000}"/>
    <cellStyle name="Comma 3 6 2 2 2 7" xfId="36182" xr:uid="{00000000-0005-0000-0000-0000760F0000}"/>
    <cellStyle name="Comma 3 6 2 2 3" xfId="18168" xr:uid="{00000000-0005-0000-0000-0000770F0000}"/>
    <cellStyle name="Comma 3 6 2 2 3 2" xfId="38220" xr:uid="{00000000-0005-0000-0000-0000780F0000}"/>
    <cellStyle name="Comma 3 6 2 2 4" xfId="18564" xr:uid="{00000000-0005-0000-0000-0000790F0000}"/>
    <cellStyle name="Comma 3 6 2 2 4 2" xfId="38616" xr:uid="{00000000-0005-0000-0000-00007A0F0000}"/>
    <cellStyle name="Comma 3 6 2 2 5" xfId="18960" xr:uid="{00000000-0005-0000-0000-00007B0F0000}"/>
    <cellStyle name="Comma 3 6 2 2 5 2" xfId="39012" xr:uid="{00000000-0005-0000-0000-00007C0F0000}"/>
    <cellStyle name="Comma 3 6 2 2 6" xfId="19356" xr:uid="{00000000-0005-0000-0000-00007D0F0000}"/>
    <cellStyle name="Comma 3 6 2 2 6 2" xfId="39408" xr:uid="{00000000-0005-0000-0000-00007E0F0000}"/>
    <cellStyle name="Comma 3 6 2 2 7" xfId="19752" xr:uid="{00000000-0005-0000-0000-00007F0F0000}"/>
    <cellStyle name="Comma 3 6 2 2 7 2" xfId="39804" xr:uid="{00000000-0005-0000-0000-0000800F0000}"/>
    <cellStyle name="Comma 3 6 2 2 8" xfId="27152" xr:uid="{00000000-0005-0000-0000-0000810F0000}"/>
    <cellStyle name="Comma 3 6 2 3" xfId="9006" xr:uid="{00000000-0005-0000-0000-0000820F0000}"/>
    <cellStyle name="Comma 3 6 2 3 2" xfId="18036" xr:uid="{00000000-0005-0000-0000-0000830F0000}"/>
    <cellStyle name="Comma 3 6 2 3 2 2" xfId="18432" xr:uid="{00000000-0005-0000-0000-0000840F0000}"/>
    <cellStyle name="Comma 3 6 2 3 2 2 2" xfId="38484" xr:uid="{00000000-0005-0000-0000-0000850F0000}"/>
    <cellStyle name="Comma 3 6 2 3 2 3" xfId="18828" xr:uid="{00000000-0005-0000-0000-0000860F0000}"/>
    <cellStyle name="Comma 3 6 2 3 2 3 2" xfId="38880" xr:uid="{00000000-0005-0000-0000-0000870F0000}"/>
    <cellStyle name="Comma 3 6 2 3 2 4" xfId="19224" xr:uid="{00000000-0005-0000-0000-0000880F0000}"/>
    <cellStyle name="Comma 3 6 2 3 2 4 2" xfId="39276" xr:uid="{00000000-0005-0000-0000-0000890F0000}"/>
    <cellStyle name="Comma 3 6 2 3 2 5" xfId="19620" xr:uid="{00000000-0005-0000-0000-00008A0F0000}"/>
    <cellStyle name="Comma 3 6 2 3 2 5 2" xfId="39672" xr:uid="{00000000-0005-0000-0000-00008B0F0000}"/>
    <cellStyle name="Comma 3 6 2 3 2 6" xfId="20016" xr:uid="{00000000-0005-0000-0000-00008C0F0000}"/>
    <cellStyle name="Comma 3 6 2 3 2 6 2" xfId="40068" xr:uid="{00000000-0005-0000-0000-00008D0F0000}"/>
    <cellStyle name="Comma 3 6 2 3 2 7" xfId="38088" xr:uid="{00000000-0005-0000-0000-00008E0F0000}"/>
    <cellStyle name="Comma 3 6 2 3 3" xfId="18234" xr:uid="{00000000-0005-0000-0000-00008F0F0000}"/>
    <cellStyle name="Comma 3 6 2 3 3 2" xfId="38286" xr:uid="{00000000-0005-0000-0000-0000900F0000}"/>
    <cellStyle name="Comma 3 6 2 3 4" xfId="18630" xr:uid="{00000000-0005-0000-0000-0000910F0000}"/>
    <cellStyle name="Comma 3 6 2 3 4 2" xfId="38682" xr:uid="{00000000-0005-0000-0000-0000920F0000}"/>
    <cellStyle name="Comma 3 6 2 3 5" xfId="19026" xr:uid="{00000000-0005-0000-0000-0000930F0000}"/>
    <cellStyle name="Comma 3 6 2 3 5 2" xfId="39078" xr:uid="{00000000-0005-0000-0000-0000940F0000}"/>
    <cellStyle name="Comma 3 6 2 3 6" xfId="19422" xr:uid="{00000000-0005-0000-0000-0000950F0000}"/>
    <cellStyle name="Comma 3 6 2 3 6 2" xfId="39474" xr:uid="{00000000-0005-0000-0000-0000960F0000}"/>
    <cellStyle name="Comma 3 6 2 3 7" xfId="19818" xr:uid="{00000000-0005-0000-0000-0000970F0000}"/>
    <cellStyle name="Comma 3 6 2 3 7 2" xfId="39870" xr:uid="{00000000-0005-0000-0000-0000980F0000}"/>
    <cellStyle name="Comma 3 6 2 3 8" xfId="29058" xr:uid="{00000000-0005-0000-0000-0000990F0000}"/>
    <cellStyle name="Comma 3 6 2 4" xfId="11648" xr:uid="{00000000-0005-0000-0000-00009A0F0000}"/>
    <cellStyle name="Comma 3 6 2 4 2" xfId="18300" xr:uid="{00000000-0005-0000-0000-00009B0F0000}"/>
    <cellStyle name="Comma 3 6 2 4 2 2" xfId="38352" xr:uid="{00000000-0005-0000-0000-00009C0F0000}"/>
    <cellStyle name="Comma 3 6 2 4 3" xfId="18696" xr:uid="{00000000-0005-0000-0000-00009D0F0000}"/>
    <cellStyle name="Comma 3 6 2 4 3 2" xfId="38748" xr:uid="{00000000-0005-0000-0000-00009E0F0000}"/>
    <cellStyle name="Comma 3 6 2 4 4" xfId="19092" xr:uid="{00000000-0005-0000-0000-00009F0F0000}"/>
    <cellStyle name="Comma 3 6 2 4 4 2" xfId="39144" xr:uid="{00000000-0005-0000-0000-0000A00F0000}"/>
    <cellStyle name="Comma 3 6 2 4 5" xfId="19488" xr:uid="{00000000-0005-0000-0000-0000A10F0000}"/>
    <cellStyle name="Comma 3 6 2 4 5 2" xfId="39540" xr:uid="{00000000-0005-0000-0000-0000A20F0000}"/>
    <cellStyle name="Comma 3 6 2 4 6" xfId="19884" xr:uid="{00000000-0005-0000-0000-0000A30F0000}"/>
    <cellStyle name="Comma 3 6 2 4 6 2" xfId="39936" xr:uid="{00000000-0005-0000-0000-0000A40F0000}"/>
    <cellStyle name="Comma 3 6 2 4 7" xfId="31700" xr:uid="{00000000-0005-0000-0000-0000A50F0000}"/>
    <cellStyle name="Comma 3 6 2 5" xfId="18102" xr:uid="{00000000-0005-0000-0000-0000A60F0000}"/>
    <cellStyle name="Comma 3 6 2 5 2" xfId="38154" xr:uid="{00000000-0005-0000-0000-0000A70F0000}"/>
    <cellStyle name="Comma 3 6 2 6" xfId="18498" xr:uid="{00000000-0005-0000-0000-0000A80F0000}"/>
    <cellStyle name="Comma 3 6 2 6 2" xfId="38550" xr:uid="{00000000-0005-0000-0000-0000A90F0000}"/>
    <cellStyle name="Comma 3 6 2 7" xfId="18894" xr:uid="{00000000-0005-0000-0000-0000AA0F0000}"/>
    <cellStyle name="Comma 3 6 2 7 2" xfId="38946" xr:uid="{00000000-0005-0000-0000-0000AB0F0000}"/>
    <cellStyle name="Comma 3 6 2 8" xfId="19290" xr:uid="{00000000-0005-0000-0000-0000AC0F0000}"/>
    <cellStyle name="Comma 3 6 2 8 2" xfId="39342" xr:uid="{00000000-0005-0000-0000-0000AD0F0000}"/>
    <cellStyle name="Comma 3 6 2 9" xfId="19686" xr:uid="{00000000-0005-0000-0000-0000AE0F0000}"/>
    <cellStyle name="Comma 3 6 2 9 2" xfId="39738" xr:uid="{00000000-0005-0000-0000-0000AF0F0000}"/>
    <cellStyle name="Comma 3 6 3" xfId="4112" xr:uid="{00000000-0005-0000-0000-0000B00F0000}"/>
    <cellStyle name="Comma 3 6 3 10" xfId="24164" xr:uid="{00000000-0005-0000-0000-0000B10F0000}"/>
    <cellStyle name="Comma 3 6 3 2" xfId="8594" xr:uid="{00000000-0005-0000-0000-0000B20F0000}"/>
    <cellStyle name="Comma 3 6 3 2 2" xfId="17624" xr:uid="{00000000-0005-0000-0000-0000B30F0000}"/>
    <cellStyle name="Comma 3 6 3 2 2 2" xfId="18388" xr:uid="{00000000-0005-0000-0000-0000B40F0000}"/>
    <cellStyle name="Comma 3 6 3 2 2 2 2" xfId="38440" xr:uid="{00000000-0005-0000-0000-0000B50F0000}"/>
    <cellStyle name="Comma 3 6 3 2 2 3" xfId="18784" xr:uid="{00000000-0005-0000-0000-0000B60F0000}"/>
    <cellStyle name="Comma 3 6 3 2 2 3 2" xfId="38836" xr:uid="{00000000-0005-0000-0000-0000B70F0000}"/>
    <cellStyle name="Comma 3 6 3 2 2 4" xfId="19180" xr:uid="{00000000-0005-0000-0000-0000B80F0000}"/>
    <cellStyle name="Comma 3 6 3 2 2 4 2" xfId="39232" xr:uid="{00000000-0005-0000-0000-0000B90F0000}"/>
    <cellStyle name="Comma 3 6 3 2 2 5" xfId="19576" xr:uid="{00000000-0005-0000-0000-0000BA0F0000}"/>
    <cellStyle name="Comma 3 6 3 2 2 5 2" xfId="39628" xr:uid="{00000000-0005-0000-0000-0000BB0F0000}"/>
    <cellStyle name="Comma 3 6 3 2 2 6" xfId="19972" xr:uid="{00000000-0005-0000-0000-0000BC0F0000}"/>
    <cellStyle name="Comma 3 6 3 2 2 6 2" xfId="40024" xr:uid="{00000000-0005-0000-0000-0000BD0F0000}"/>
    <cellStyle name="Comma 3 6 3 2 2 7" xfId="37676" xr:uid="{00000000-0005-0000-0000-0000BE0F0000}"/>
    <cellStyle name="Comma 3 6 3 2 3" xfId="18190" xr:uid="{00000000-0005-0000-0000-0000BF0F0000}"/>
    <cellStyle name="Comma 3 6 3 2 3 2" xfId="38242" xr:uid="{00000000-0005-0000-0000-0000C00F0000}"/>
    <cellStyle name="Comma 3 6 3 2 4" xfId="18586" xr:uid="{00000000-0005-0000-0000-0000C10F0000}"/>
    <cellStyle name="Comma 3 6 3 2 4 2" xfId="38638" xr:uid="{00000000-0005-0000-0000-0000C20F0000}"/>
    <cellStyle name="Comma 3 6 3 2 5" xfId="18982" xr:uid="{00000000-0005-0000-0000-0000C30F0000}"/>
    <cellStyle name="Comma 3 6 3 2 5 2" xfId="39034" xr:uid="{00000000-0005-0000-0000-0000C40F0000}"/>
    <cellStyle name="Comma 3 6 3 2 6" xfId="19378" xr:uid="{00000000-0005-0000-0000-0000C50F0000}"/>
    <cellStyle name="Comma 3 6 3 2 6 2" xfId="39430" xr:uid="{00000000-0005-0000-0000-0000C60F0000}"/>
    <cellStyle name="Comma 3 6 3 2 7" xfId="19774" xr:uid="{00000000-0005-0000-0000-0000C70F0000}"/>
    <cellStyle name="Comma 3 6 3 2 7 2" xfId="39826" xr:uid="{00000000-0005-0000-0000-0000C80F0000}"/>
    <cellStyle name="Comma 3 6 3 2 8" xfId="28646" xr:uid="{00000000-0005-0000-0000-0000C90F0000}"/>
    <cellStyle name="Comma 3 6 3 3" xfId="9028" xr:uid="{00000000-0005-0000-0000-0000CA0F0000}"/>
    <cellStyle name="Comma 3 6 3 3 2" xfId="18058" xr:uid="{00000000-0005-0000-0000-0000CB0F0000}"/>
    <cellStyle name="Comma 3 6 3 3 2 2" xfId="18454" xr:uid="{00000000-0005-0000-0000-0000CC0F0000}"/>
    <cellStyle name="Comma 3 6 3 3 2 2 2" xfId="38506" xr:uid="{00000000-0005-0000-0000-0000CD0F0000}"/>
    <cellStyle name="Comma 3 6 3 3 2 3" xfId="18850" xr:uid="{00000000-0005-0000-0000-0000CE0F0000}"/>
    <cellStyle name="Comma 3 6 3 3 2 3 2" xfId="38902" xr:uid="{00000000-0005-0000-0000-0000CF0F0000}"/>
    <cellStyle name="Comma 3 6 3 3 2 4" xfId="19246" xr:uid="{00000000-0005-0000-0000-0000D00F0000}"/>
    <cellStyle name="Comma 3 6 3 3 2 4 2" xfId="39298" xr:uid="{00000000-0005-0000-0000-0000D10F0000}"/>
    <cellStyle name="Comma 3 6 3 3 2 5" xfId="19642" xr:uid="{00000000-0005-0000-0000-0000D20F0000}"/>
    <cellStyle name="Comma 3 6 3 3 2 5 2" xfId="39694" xr:uid="{00000000-0005-0000-0000-0000D30F0000}"/>
    <cellStyle name="Comma 3 6 3 3 2 6" xfId="20038" xr:uid="{00000000-0005-0000-0000-0000D40F0000}"/>
    <cellStyle name="Comma 3 6 3 3 2 6 2" xfId="40090" xr:uid="{00000000-0005-0000-0000-0000D50F0000}"/>
    <cellStyle name="Comma 3 6 3 3 2 7" xfId="38110" xr:uid="{00000000-0005-0000-0000-0000D60F0000}"/>
    <cellStyle name="Comma 3 6 3 3 3" xfId="18256" xr:uid="{00000000-0005-0000-0000-0000D70F0000}"/>
    <cellStyle name="Comma 3 6 3 3 3 2" xfId="38308" xr:uid="{00000000-0005-0000-0000-0000D80F0000}"/>
    <cellStyle name="Comma 3 6 3 3 4" xfId="18652" xr:uid="{00000000-0005-0000-0000-0000D90F0000}"/>
    <cellStyle name="Comma 3 6 3 3 4 2" xfId="38704" xr:uid="{00000000-0005-0000-0000-0000DA0F0000}"/>
    <cellStyle name="Comma 3 6 3 3 5" xfId="19048" xr:uid="{00000000-0005-0000-0000-0000DB0F0000}"/>
    <cellStyle name="Comma 3 6 3 3 5 2" xfId="39100" xr:uid="{00000000-0005-0000-0000-0000DC0F0000}"/>
    <cellStyle name="Comma 3 6 3 3 6" xfId="19444" xr:uid="{00000000-0005-0000-0000-0000DD0F0000}"/>
    <cellStyle name="Comma 3 6 3 3 6 2" xfId="39496" xr:uid="{00000000-0005-0000-0000-0000DE0F0000}"/>
    <cellStyle name="Comma 3 6 3 3 7" xfId="19840" xr:uid="{00000000-0005-0000-0000-0000DF0F0000}"/>
    <cellStyle name="Comma 3 6 3 3 7 2" xfId="39892" xr:uid="{00000000-0005-0000-0000-0000E00F0000}"/>
    <cellStyle name="Comma 3 6 3 3 8" xfId="29080" xr:uid="{00000000-0005-0000-0000-0000E10F0000}"/>
    <cellStyle name="Comma 3 6 3 4" xfId="13142" xr:uid="{00000000-0005-0000-0000-0000E20F0000}"/>
    <cellStyle name="Comma 3 6 3 4 2" xfId="18322" xr:uid="{00000000-0005-0000-0000-0000E30F0000}"/>
    <cellStyle name="Comma 3 6 3 4 2 2" xfId="38374" xr:uid="{00000000-0005-0000-0000-0000E40F0000}"/>
    <cellStyle name="Comma 3 6 3 4 3" xfId="18718" xr:uid="{00000000-0005-0000-0000-0000E50F0000}"/>
    <cellStyle name="Comma 3 6 3 4 3 2" xfId="38770" xr:uid="{00000000-0005-0000-0000-0000E60F0000}"/>
    <cellStyle name="Comma 3 6 3 4 4" xfId="19114" xr:uid="{00000000-0005-0000-0000-0000E70F0000}"/>
    <cellStyle name="Comma 3 6 3 4 4 2" xfId="39166" xr:uid="{00000000-0005-0000-0000-0000E80F0000}"/>
    <cellStyle name="Comma 3 6 3 4 5" xfId="19510" xr:uid="{00000000-0005-0000-0000-0000E90F0000}"/>
    <cellStyle name="Comma 3 6 3 4 5 2" xfId="39562" xr:uid="{00000000-0005-0000-0000-0000EA0F0000}"/>
    <cellStyle name="Comma 3 6 3 4 6" xfId="19906" xr:uid="{00000000-0005-0000-0000-0000EB0F0000}"/>
    <cellStyle name="Comma 3 6 3 4 6 2" xfId="39958" xr:uid="{00000000-0005-0000-0000-0000EC0F0000}"/>
    <cellStyle name="Comma 3 6 3 4 7" xfId="33194" xr:uid="{00000000-0005-0000-0000-0000ED0F0000}"/>
    <cellStyle name="Comma 3 6 3 5" xfId="18124" xr:uid="{00000000-0005-0000-0000-0000EE0F0000}"/>
    <cellStyle name="Comma 3 6 3 5 2" xfId="38176" xr:uid="{00000000-0005-0000-0000-0000EF0F0000}"/>
    <cellStyle name="Comma 3 6 3 6" xfId="18520" xr:uid="{00000000-0005-0000-0000-0000F00F0000}"/>
    <cellStyle name="Comma 3 6 3 6 2" xfId="38572" xr:uid="{00000000-0005-0000-0000-0000F10F0000}"/>
    <cellStyle name="Comma 3 6 3 7" xfId="18916" xr:uid="{00000000-0005-0000-0000-0000F20F0000}"/>
    <cellStyle name="Comma 3 6 3 7 2" xfId="38968" xr:uid="{00000000-0005-0000-0000-0000F30F0000}"/>
    <cellStyle name="Comma 3 6 3 8" xfId="19312" xr:uid="{00000000-0005-0000-0000-0000F40F0000}"/>
    <cellStyle name="Comma 3 6 3 8 2" xfId="39364" xr:uid="{00000000-0005-0000-0000-0000F50F0000}"/>
    <cellStyle name="Comma 3 6 3 9" xfId="19708" xr:uid="{00000000-0005-0000-0000-0000F60F0000}"/>
    <cellStyle name="Comma 3 6 3 9 2" xfId="39760" xr:uid="{00000000-0005-0000-0000-0000F70F0000}"/>
    <cellStyle name="Comma 3 6 4" xfId="5606" xr:uid="{00000000-0005-0000-0000-0000F80F0000}"/>
    <cellStyle name="Comma 3 6 4 2" xfId="14636" xr:uid="{00000000-0005-0000-0000-0000F90F0000}"/>
    <cellStyle name="Comma 3 6 4 2 2" xfId="18344" xr:uid="{00000000-0005-0000-0000-0000FA0F0000}"/>
    <cellStyle name="Comma 3 6 4 2 2 2" xfId="38396" xr:uid="{00000000-0005-0000-0000-0000FB0F0000}"/>
    <cellStyle name="Comma 3 6 4 2 3" xfId="18740" xr:uid="{00000000-0005-0000-0000-0000FC0F0000}"/>
    <cellStyle name="Comma 3 6 4 2 3 2" xfId="38792" xr:uid="{00000000-0005-0000-0000-0000FD0F0000}"/>
    <cellStyle name="Comma 3 6 4 2 4" xfId="19136" xr:uid="{00000000-0005-0000-0000-0000FE0F0000}"/>
    <cellStyle name="Comma 3 6 4 2 4 2" xfId="39188" xr:uid="{00000000-0005-0000-0000-0000FF0F0000}"/>
    <cellStyle name="Comma 3 6 4 2 5" xfId="19532" xr:uid="{00000000-0005-0000-0000-000000100000}"/>
    <cellStyle name="Comma 3 6 4 2 5 2" xfId="39584" xr:uid="{00000000-0005-0000-0000-000001100000}"/>
    <cellStyle name="Comma 3 6 4 2 6" xfId="19928" xr:uid="{00000000-0005-0000-0000-000002100000}"/>
    <cellStyle name="Comma 3 6 4 2 6 2" xfId="39980" xr:uid="{00000000-0005-0000-0000-000003100000}"/>
    <cellStyle name="Comma 3 6 4 2 7" xfId="34688" xr:uid="{00000000-0005-0000-0000-000004100000}"/>
    <cellStyle name="Comma 3 6 4 3" xfId="18146" xr:uid="{00000000-0005-0000-0000-000005100000}"/>
    <cellStyle name="Comma 3 6 4 3 2" xfId="38198" xr:uid="{00000000-0005-0000-0000-000006100000}"/>
    <cellStyle name="Comma 3 6 4 4" xfId="18542" xr:uid="{00000000-0005-0000-0000-000007100000}"/>
    <cellStyle name="Comma 3 6 4 4 2" xfId="38594" xr:uid="{00000000-0005-0000-0000-000008100000}"/>
    <cellStyle name="Comma 3 6 4 5" xfId="18938" xr:uid="{00000000-0005-0000-0000-000009100000}"/>
    <cellStyle name="Comma 3 6 4 5 2" xfId="38990" xr:uid="{00000000-0005-0000-0000-00000A100000}"/>
    <cellStyle name="Comma 3 6 4 6" xfId="19334" xr:uid="{00000000-0005-0000-0000-00000B100000}"/>
    <cellStyle name="Comma 3 6 4 6 2" xfId="39386" xr:uid="{00000000-0005-0000-0000-00000C100000}"/>
    <cellStyle name="Comma 3 6 4 7" xfId="19730" xr:uid="{00000000-0005-0000-0000-00000D100000}"/>
    <cellStyle name="Comma 3 6 4 7 2" xfId="39782" xr:uid="{00000000-0005-0000-0000-00000E100000}"/>
    <cellStyle name="Comma 3 6 4 8" xfId="25658" xr:uid="{00000000-0005-0000-0000-00000F100000}"/>
    <cellStyle name="Comma 3 6 5" xfId="8984" xr:uid="{00000000-0005-0000-0000-000010100000}"/>
    <cellStyle name="Comma 3 6 5 2" xfId="18014" xr:uid="{00000000-0005-0000-0000-000011100000}"/>
    <cellStyle name="Comma 3 6 5 2 2" xfId="18410" xr:uid="{00000000-0005-0000-0000-000012100000}"/>
    <cellStyle name="Comma 3 6 5 2 2 2" xfId="38462" xr:uid="{00000000-0005-0000-0000-000013100000}"/>
    <cellStyle name="Comma 3 6 5 2 3" xfId="18806" xr:uid="{00000000-0005-0000-0000-000014100000}"/>
    <cellStyle name="Comma 3 6 5 2 3 2" xfId="38858" xr:uid="{00000000-0005-0000-0000-000015100000}"/>
    <cellStyle name="Comma 3 6 5 2 4" xfId="19202" xr:uid="{00000000-0005-0000-0000-000016100000}"/>
    <cellStyle name="Comma 3 6 5 2 4 2" xfId="39254" xr:uid="{00000000-0005-0000-0000-000017100000}"/>
    <cellStyle name="Comma 3 6 5 2 5" xfId="19598" xr:uid="{00000000-0005-0000-0000-000018100000}"/>
    <cellStyle name="Comma 3 6 5 2 5 2" xfId="39650" xr:uid="{00000000-0005-0000-0000-000019100000}"/>
    <cellStyle name="Comma 3 6 5 2 6" xfId="19994" xr:uid="{00000000-0005-0000-0000-00001A100000}"/>
    <cellStyle name="Comma 3 6 5 2 6 2" xfId="40046" xr:uid="{00000000-0005-0000-0000-00001B100000}"/>
    <cellStyle name="Comma 3 6 5 2 7" xfId="38066" xr:uid="{00000000-0005-0000-0000-00001C100000}"/>
    <cellStyle name="Comma 3 6 5 3" xfId="18212" xr:uid="{00000000-0005-0000-0000-00001D100000}"/>
    <cellStyle name="Comma 3 6 5 3 2" xfId="38264" xr:uid="{00000000-0005-0000-0000-00001E100000}"/>
    <cellStyle name="Comma 3 6 5 4" xfId="18608" xr:uid="{00000000-0005-0000-0000-00001F100000}"/>
    <cellStyle name="Comma 3 6 5 4 2" xfId="38660" xr:uid="{00000000-0005-0000-0000-000020100000}"/>
    <cellStyle name="Comma 3 6 5 5" xfId="19004" xr:uid="{00000000-0005-0000-0000-000021100000}"/>
    <cellStyle name="Comma 3 6 5 5 2" xfId="39056" xr:uid="{00000000-0005-0000-0000-000022100000}"/>
    <cellStyle name="Comma 3 6 5 6" xfId="19400" xr:uid="{00000000-0005-0000-0000-000023100000}"/>
    <cellStyle name="Comma 3 6 5 6 2" xfId="39452" xr:uid="{00000000-0005-0000-0000-000024100000}"/>
    <cellStyle name="Comma 3 6 5 7" xfId="19796" xr:uid="{00000000-0005-0000-0000-000025100000}"/>
    <cellStyle name="Comma 3 6 5 7 2" xfId="39848" xr:uid="{00000000-0005-0000-0000-000026100000}"/>
    <cellStyle name="Comma 3 6 5 8" xfId="29036" xr:uid="{00000000-0005-0000-0000-000027100000}"/>
    <cellStyle name="Comma 3 6 6" xfId="10154" xr:uid="{00000000-0005-0000-0000-000028100000}"/>
    <cellStyle name="Comma 3 6 6 2" xfId="18278" xr:uid="{00000000-0005-0000-0000-000029100000}"/>
    <cellStyle name="Comma 3 6 6 2 2" xfId="38330" xr:uid="{00000000-0005-0000-0000-00002A100000}"/>
    <cellStyle name="Comma 3 6 6 3" xfId="18674" xr:uid="{00000000-0005-0000-0000-00002B100000}"/>
    <cellStyle name="Comma 3 6 6 3 2" xfId="38726" xr:uid="{00000000-0005-0000-0000-00002C100000}"/>
    <cellStyle name="Comma 3 6 6 4" xfId="19070" xr:uid="{00000000-0005-0000-0000-00002D100000}"/>
    <cellStyle name="Comma 3 6 6 4 2" xfId="39122" xr:uid="{00000000-0005-0000-0000-00002E100000}"/>
    <cellStyle name="Comma 3 6 6 5" xfId="19466" xr:uid="{00000000-0005-0000-0000-00002F100000}"/>
    <cellStyle name="Comma 3 6 6 5 2" xfId="39518" xr:uid="{00000000-0005-0000-0000-000030100000}"/>
    <cellStyle name="Comma 3 6 6 6" xfId="19862" xr:uid="{00000000-0005-0000-0000-000031100000}"/>
    <cellStyle name="Comma 3 6 6 6 2" xfId="39914" xr:uid="{00000000-0005-0000-0000-000032100000}"/>
    <cellStyle name="Comma 3 6 6 7" xfId="30206" xr:uid="{00000000-0005-0000-0000-000033100000}"/>
    <cellStyle name="Comma 3 6 7" xfId="18080" xr:uid="{00000000-0005-0000-0000-000034100000}"/>
    <cellStyle name="Comma 3 6 7 2" xfId="38132" xr:uid="{00000000-0005-0000-0000-000035100000}"/>
    <cellStyle name="Comma 3 6 8" xfId="18476" xr:uid="{00000000-0005-0000-0000-000036100000}"/>
    <cellStyle name="Comma 3 6 8 2" xfId="38528" xr:uid="{00000000-0005-0000-0000-000037100000}"/>
    <cellStyle name="Comma 3 6 9" xfId="18872" xr:uid="{00000000-0005-0000-0000-000038100000}"/>
    <cellStyle name="Comma 3 6 9 2" xfId="38924" xr:uid="{00000000-0005-0000-0000-000039100000}"/>
    <cellStyle name="Comma 3 7" xfId="1595" xr:uid="{00000000-0005-0000-0000-00003A100000}"/>
    <cellStyle name="Comma 3 7 10" xfId="21647" xr:uid="{00000000-0005-0000-0000-00003B100000}"/>
    <cellStyle name="Comma 3 7 2" xfId="6077" xr:uid="{00000000-0005-0000-0000-00003C100000}"/>
    <cellStyle name="Comma 3 7 2 2" xfId="15107" xr:uid="{00000000-0005-0000-0000-00003D100000}"/>
    <cellStyle name="Comma 3 7 2 2 2" xfId="18355" xr:uid="{00000000-0005-0000-0000-00003E100000}"/>
    <cellStyle name="Comma 3 7 2 2 2 2" xfId="38407" xr:uid="{00000000-0005-0000-0000-00003F100000}"/>
    <cellStyle name="Comma 3 7 2 2 3" xfId="18751" xr:uid="{00000000-0005-0000-0000-000040100000}"/>
    <cellStyle name="Comma 3 7 2 2 3 2" xfId="38803" xr:uid="{00000000-0005-0000-0000-000041100000}"/>
    <cellStyle name="Comma 3 7 2 2 4" xfId="19147" xr:uid="{00000000-0005-0000-0000-000042100000}"/>
    <cellStyle name="Comma 3 7 2 2 4 2" xfId="39199" xr:uid="{00000000-0005-0000-0000-000043100000}"/>
    <cellStyle name="Comma 3 7 2 2 5" xfId="19543" xr:uid="{00000000-0005-0000-0000-000044100000}"/>
    <cellStyle name="Comma 3 7 2 2 5 2" xfId="39595" xr:uid="{00000000-0005-0000-0000-000045100000}"/>
    <cellStyle name="Comma 3 7 2 2 6" xfId="19939" xr:uid="{00000000-0005-0000-0000-000046100000}"/>
    <cellStyle name="Comma 3 7 2 2 6 2" xfId="39991" xr:uid="{00000000-0005-0000-0000-000047100000}"/>
    <cellStyle name="Comma 3 7 2 2 7" xfId="35159" xr:uid="{00000000-0005-0000-0000-000048100000}"/>
    <cellStyle name="Comma 3 7 2 3" xfId="18157" xr:uid="{00000000-0005-0000-0000-000049100000}"/>
    <cellStyle name="Comma 3 7 2 3 2" xfId="38209" xr:uid="{00000000-0005-0000-0000-00004A100000}"/>
    <cellStyle name="Comma 3 7 2 4" xfId="18553" xr:uid="{00000000-0005-0000-0000-00004B100000}"/>
    <cellStyle name="Comma 3 7 2 4 2" xfId="38605" xr:uid="{00000000-0005-0000-0000-00004C100000}"/>
    <cellStyle name="Comma 3 7 2 5" xfId="18949" xr:uid="{00000000-0005-0000-0000-00004D100000}"/>
    <cellStyle name="Comma 3 7 2 5 2" xfId="39001" xr:uid="{00000000-0005-0000-0000-00004E100000}"/>
    <cellStyle name="Comma 3 7 2 6" xfId="19345" xr:uid="{00000000-0005-0000-0000-00004F100000}"/>
    <cellStyle name="Comma 3 7 2 6 2" xfId="39397" xr:uid="{00000000-0005-0000-0000-000050100000}"/>
    <cellStyle name="Comma 3 7 2 7" xfId="19741" xr:uid="{00000000-0005-0000-0000-000051100000}"/>
    <cellStyle name="Comma 3 7 2 7 2" xfId="39793" xr:uid="{00000000-0005-0000-0000-000052100000}"/>
    <cellStyle name="Comma 3 7 2 8" xfId="26129" xr:uid="{00000000-0005-0000-0000-000053100000}"/>
    <cellStyle name="Comma 3 7 3" xfId="8995" xr:uid="{00000000-0005-0000-0000-000054100000}"/>
    <cellStyle name="Comma 3 7 3 2" xfId="18025" xr:uid="{00000000-0005-0000-0000-000055100000}"/>
    <cellStyle name="Comma 3 7 3 2 2" xfId="18421" xr:uid="{00000000-0005-0000-0000-000056100000}"/>
    <cellStyle name="Comma 3 7 3 2 2 2" xfId="38473" xr:uid="{00000000-0005-0000-0000-000057100000}"/>
    <cellStyle name="Comma 3 7 3 2 3" xfId="18817" xr:uid="{00000000-0005-0000-0000-000058100000}"/>
    <cellStyle name="Comma 3 7 3 2 3 2" xfId="38869" xr:uid="{00000000-0005-0000-0000-000059100000}"/>
    <cellStyle name="Comma 3 7 3 2 4" xfId="19213" xr:uid="{00000000-0005-0000-0000-00005A100000}"/>
    <cellStyle name="Comma 3 7 3 2 4 2" xfId="39265" xr:uid="{00000000-0005-0000-0000-00005B100000}"/>
    <cellStyle name="Comma 3 7 3 2 5" xfId="19609" xr:uid="{00000000-0005-0000-0000-00005C100000}"/>
    <cellStyle name="Comma 3 7 3 2 5 2" xfId="39661" xr:uid="{00000000-0005-0000-0000-00005D100000}"/>
    <cellStyle name="Comma 3 7 3 2 6" xfId="20005" xr:uid="{00000000-0005-0000-0000-00005E100000}"/>
    <cellStyle name="Comma 3 7 3 2 6 2" xfId="40057" xr:uid="{00000000-0005-0000-0000-00005F100000}"/>
    <cellStyle name="Comma 3 7 3 2 7" xfId="38077" xr:uid="{00000000-0005-0000-0000-000060100000}"/>
    <cellStyle name="Comma 3 7 3 3" xfId="18223" xr:uid="{00000000-0005-0000-0000-000061100000}"/>
    <cellStyle name="Comma 3 7 3 3 2" xfId="38275" xr:uid="{00000000-0005-0000-0000-000062100000}"/>
    <cellStyle name="Comma 3 7 3 4" xfId="18619" xr:uid="{00000000-0005-0000-0000-000063100000}"/>
    <cellStyle name="Comma 3 7 3 4 2" xfId="38671" xr:uid="{00000000-0005-0000-0000-000064100000}"/>
    <cellStyle name="Comma 3 7 3 5" xfId="19015" xr:uid="{00000000-0005-0000-0000-000065100000}"/>
    <cellStyle name="Comma 3 7 3 5 2" xfId="39067" xr:uid="{00000000-0005-0000-0000-000066100000}"/>
    <cellStyle name="Comma 3 7 3 6" xfId="19411" xr:uid="{00000000-0005-0000-0000-000067100000}"/>
    <cellStyle name="Comma 3 7 3 6 2" xfId="39463" xr:uid="{00000000-0005-0000-0000-000068100000}"/>
    <cellStyle name="Comma 3 7 3 7" xfId="19807" xr:uid="{00000000-0005-0000-0000-000069100000}"/>
    <cellStyle name="Comma 3 7 3 7 2" xfId="39859" xr:uid="{00000000-0005-0000-0000-00006A100000}"/>
    <cellStyle name="Comma 3 7 3 8" xfId="29047" xr:uid="{00000000-0005-0000-0000-00006B100000}"/>
    <cellStyle name="Comma 3 7 4" xfId="10625" xr:uid="{00000000-0005-0000-0000-00006C100000}"/>
    <cellStyle name="Comma 3 7 4 2" xfId="18289" xr:uid="{00000000-0005-0000-0000-00006D100000}"/>
    <cellStyle name="Comma 3 7 4 2 2" xfId="38341" xr:uid="{00000000-0005-0000-0000-00006E100000}"/>
    <cellStyle name="Comma 3 7 4 3" xfId="18685" xr:uid="{00000000-0005-0000-0000-00006F100000}"/>
    <cellStyle name="Comma 3 7 4 3 2" xfId="38737" xr:uid="{00000000-0005-0000-0000-000070100000}"/>
    <cellStyle name="Comma 3 7 4 4" xfId="19081" xr:uid="{00000000-0005-0000-0000-000071100000}"/>
    <cellStyle name="Comma 3 7 4 4 2" xfId="39133" xr:uid="{00000000-0005-0000-0000-000072100000}"/>
    <cellStyle name="Comma 3 7 4 5" xfId="19477" xr:uid="{00000000-0005-0000-0000-000073100000}"/>
    <cellStyle name="Comma 3 7 4 5 2" xfId="39529" xr:uid="{00000000-0005-0000-0000-000074100000}"/>
    <cellStyle name="Comma 3 7 4 6" xfId="19873" xr:uid="{00000000-0005-0000-0000-000075100000}"/>
    <cellStyle name="Comma 3 7 4 6 2" xfId="39925" xr:uid="{00000000-0005-0000-0000-000076100000}"/>
    <cellStyle name="Comma 3 7 4 7" xfId="30677" xr:uid="{00000000-0005-0000-0000-000077100000}"/>
    <cellStyle name="Comma 3 7 5" xfId="18091" xr:uid="{00000000-0005-0000-0000-000078100000}"/>
    <cellStyle name="Comma 3 7 5 2" xfId="38143" xr:uid="{00000000-0005-0000-0000-000079100000}"/>
    <cellStyle name="Comma 3 7 6" xfId="18487" xr:uid="{00000000-0005-0000-0000-00007A100000}"/>
    <cellStyle name="Comma 3 7 6 2" xfId="38539" xr:uid="{00000000-0005-0000-0000-00007B100000}"/>
    <cellStyle name="Comma 3 7 7" xfId="18883" xr:uid="{00000000-0005-0000-0000-00007C100000}"/>
    <cellStyle name="Comma 3 7 7 2" xfId="38935" xr:uid="{00000000-0005-0000-0000-00007D100000}"/>
    <cellStyle name="Comma 3 7 8" xfId="19279" xr:uid="{00000000-0005-0000-0000-00007E100000}"/>
    <cellStyle name="Comma 3 7 8 2" xfId="39331" xr:uid="{00000000-0005-0000-0000-00007F100000}"/>
    <cellStyle name="Comma 3 7 9" xfId="19675" xr:uid="{00000000-0005-0000-0000-000080100000}"/>
    <cellStyle name="Comma 3 7 9 2" xfId="39727" xr:uid="{00000000-0005-0000-0000-000081100000}"/>
    <cellStyle name="Comma 3 8" xfId="3089" xr:uid="{00000000-0005-0000-0000-000082100000}"/>
    <cellStyle name="Comma 3 8 10" xfId="23141" xr:uid="{00000000-0005-0000-0000-000083100000}"/>
    <cellStyle name="Comma 3 8 2" xfId="7571" xr:uid="{00000000-0005-0000-0000-000084100000}"/>
    <cellStyle name="Comma 3 8 2 2" xfId="16601" xr:uid="{00000000-0005-0000-0000-000085100000}"/>
    <cellStyle name="Comma 3 8 2 2 2" xfId="18377" xr:uid="{00000000-0005-0000-0000-000086100000}"/>
    <cellStyle name="Comma 3 8 2 2 2 2" xfId="38429" xr:uid="{00000000-0005-0000-0000-000087100000}"/>
    <cellStyle name="Comma 3 8 2 2 3" xfId="18773" xr:uid="{00000000-0005-0000-0000-000088100000}"/>
    <cellStyle name="Comma 3 8 2 2 3 2" xfId="38825" xr:uid="{00000000-0005-0000-0000-000089100000}"/>
    <cellStyle name="Comma 3 8 2 2 4" xfId="19169" xr:uid="{00000000-0005-0000-0000-00008A100000}"/>
    <cellStyle name="Comma 3 8 2 2 4 2" xfId="39221" xr:uid="{00000000-0005-0000-0000-00008B100000}"/>
    <cellStyle name="Comma 3 8 2 2 5" xfId="19565" xr:uid="{00000000-0005-0000-0000-00008C100000}"/>
    <cellStyle name="Comma 3 8 2 2 5 2" xfId="39617" xr:uid="{00000000-0005-0000-0000-00008D100000}"/>
    <cellStyle name="Comma 3 8 2 2 6" xfId="19961" xr:uid="{00000000-0005-0000-0000-00008E100000}"/>
    <cellStyle name="Comma 3 8 2 2 6 2" xfId="40013" xr:uid="{00000000-0005-0000-0000-00008F100000}"/>
    <cellStyle name="Comma 3 8 2 2 7" xfId="36653" xr:uid="{00000000-0005-0000-0000-000090100000}"/>
    <cellStyle name="Comma 3 8 2 3" xfId="18179" xr:uid="{00000000-0005-0000-0000-000091100000}"/>
    <cellStyle name="Comma 3 8 2 3 2" xfId="38231" xr:uid="{00000000-0005-0000-0000-000092100000}"/>
    <cellStyle name="Comma 3 8 2 4" xfId="18575" xr:uid="{00000000-0005-0000-0000-000093100000}"/>
    <cellStyle name="Comma 3 8 2 4 2" xfId="38627" xr:uid="{00000000-0005-0000-0000-000094100000}"/>
    <cellStyle name="Comma 3 8 2 5" xfId="18971" xr:uid="{00000000-0005-0000-0000-000095100000}"/>
    <cellStyle name="Comma 3 8 2 5 2" xfId="39023" xr:uid="{00000000-0005-0000-0000-000096100000}"/>
    <cellStyle name="Comma 3 8 2 6" xfId="19367" xr:uid="{00000000-0005-0000-0000-000097100000}"/>
    <cellStyle name="Comma 3 8 2 6 2" xfId="39419" xr:uid="{00000000-0005-0000-0000-000098100000}"/>
    <cellStyle name="Comma 3 8 2 7" xfId="19763" xr:uid="{00000000-0005-0000-0000-000099100000}"/>
    <cellStyle name="Comma 3 8 2 7 2" xfId="39815" xr:uid="{00000000-0005-0000-0000-00009A100000}"/>
    <cellStyle name="Comma 3 8 2 8" xfId="27623" xr:uid="{00000000-0005-0000-0000-00009B100000}"/>
    <cellStyle name="Comma 3 8 3" xfId="9017" xr:uid="{00000000-0005-0000-0000-00009C100000}"/>
    <cellStyle name="Comma 3 8 3 2" xfId="18047" xr:uid="{00000000-0005-0000-0000-00009D100000}"/>
    <cellStyle name="Comma 3 8 3 2 2" xfId="18443" xr:uid="{00000000-0005-0000-0000-00009E100000}"/>
    <cellStyle name="Comma 3 8 3 2 2 2" xfId="38495" xr:uid="{00000000-0005-0000-0000-00009F100000}"/>
    <cellStyle name="Comma 3 8 3 2 3" xfId="18839" xr:uid="{00000000-0005-0000-0000-0000A0100000}"/>
    <cellStyle name="Comma 3 8 3 2 3 2" xfId="38891" xr:uid="{00000000-0005-0000-0000-0000A1100000}"/>
    <cellStyle name="Comma 3 8 3 2 4" xfId="19235" xr:uid="{00000000-0005-0000-0000-0000A2100000}"/>
    <cellStyle name="Comma 3 8 3 2 4 2" xfId="39287" xr:uid="{00000000-0005-0000-0000-0000A3100000}"/>
    <cellStyle name="Comma 3 8 3 2 5" xfId="19631" xr:uid="{00000000-0005-0000-0000-0000A4100000}"/>
    <cellStyle name="Comma 3 8 3 2 5 2" xfId="39683" xr:uid="{00000000-0005-0000-0000-0000A5100000}"/>
    <cellStyle name="Comma 3 8 3 2 6" xfId="20027" xr:uid="{00000000-0005-0000-0000-0000A6100000}"/>
    <cellStyle name="Comma 3 8 3 2 6 2" xfId="40079" xr:uid="{00000000-0005-0000-0000-0000A7100000}"/>
    <cellStyle name="Comma 3 8 3 2 7" xfId="38099" xr:uid="{00000000-0005-0000-0000-0000A8100000}"/>
    <cellStyle name="Comma 3 8 3 3" xfId="18245" xr:uid="{00000000-0005-0000-0000-0000A9100000}"/>
    <cellStyle name="Comma 3 8 3 3 2" xfId="38297" xr:uid="{00000000-0005-0000-0000-0000AA100000}"/>
    <cellStyle name="Comma 3 8 3 4" xfId="18641" xr:uid="{00000000-0005-0000-0000-0000AB100000}"/>
    <cellStyle name="Comma 3 8 3 4 2" xfId="38693" xr:uid="{00000000-0005-0000-0000-0000AC100000}"/>
    <cellStyle name="Comma 3 8 3 5" xfId="19037" xr:uid="{00000000-0005-0000-0000-0000AD100000}"/>
    <cellStyle name="Comma 3 8 3 5 2" xfId="39089" xr:uid="{00000000-0005-0000-0000-0000AE100000}"/>
    <cellStyle name="Comma 3 8 3 6" xfId="19433" xr:uid="{00000000-0005-0000-0000-0000AF100000}"/>
    <cellStyle name="Comma 3 8 3 6 2" xfId="39485" xr:uid="{00000000-0005-0000-0000-0000B0100000}"/>
    <cellStyle name="Comma 3 8 3 7" xfId="19829" xr:uid="{00000000-0005-0000-0000-0000B1100000}"/>
    <cellStyle name="Comma 3 8 3 7 2" xfId="39881" xr:uid="{00000000-0005-0000-0000-0000B2100000}"/>
    <cellStyle name="Comma 3 8 3 8" xfId="29069" xr:uid="{00000000-0005-0000-0000-0000B3100000}"/>
    <cellStyle name="Comma 3 8 4" xfId="12119" xr:uid="{00000000-0005-0000-0000-0000B4100000}"/>
    <cellStyle name="Comma 3 8 4 2" xfId="18311" xr:uid="{00000000-0005-0000-0000-0000B5100000}"/>
    <cellStyle name="Comma 3 8 4 2 2" xfId="38363" xr:uid="{00000000-0005-0000-0000-0000B6100000}"/>
    <cellStyle name="Comma 3 8 4 3" xfId="18707" xr:uid="{00000000-0005-0000-0000-0000B7100000}"/>
    <cellStyle name="Comma 3 8 4 3 2" xfId="38759" xr:uid="{00000000-0005-0000-0000-0000B8100000}"/>
    <cellStyle name="Comma 3 8 4 4" xfId="19103" xr:uid="{00000000-0005-0000-0000-0000B9100000}"/>
    <cellStyle name="Comma 3 8 4 4 2" xfId="39155" xr:uid="{00000000-0005-0000-0000-0000BA100000}"/>
    <cellStyle name="Comma 3 8 4 5" xfId="19499" xr:uid="{00000000-0005-0000-0000-0000BB100000}"/>
    <cellStyle name="Comma 3 8 4 5 2" xfId="39551" xr:uid="{00000000-0005-0000-0000-0000BC100000}"/>
    <cellStyle name="Comma 3 8 4 6" xfId="19895" xr:uid="{00000000-0005-0000-0000-0000BD100000}"/>
    <cellStyle name="Comma 3 8 4 6 2" xfId="39947" xr:uid="{00000000-0005-0000-0000-0000BE100000}"/>
    <cellStyle name="Comma 3 8 4 7" xfId="32171" xr:uid="{00000000-0005-0000-0000-0000BF100000}"/>
    <cellStyle name="Comma 3 8 5" xfId="18113" xr:uid="{00000000-0005-0000-0000-0000C0100000}"/>
    <cellStyle name="Comma 3 8 5 2" xfId="38165" xr:uid="{00000000-0005-0000-0000-0000C1100000}"/>
    <cellStyle name="Comma 3 8 6" xfId="18509" xr:uid="{00000000-0005-0000-0000-0000C2100000}"/>
    <cellStyle name="Comma 3 8 6 2" xfId="38561" xr:uid="{00000000-0005-0000-0000-0000C3100000}"/>
    <cellStyle name="Comma 3 8 7" xfId="18905" xr:uid="{00000000-0005-0000-0000-0000C4100000}"/>
    <cellStyle name="Comma 3 8 7 2" xfId="38957" xr:uid="{00000000-0005-0000-0000-0000C5100000}"/>
    <cellStyle name="Comma 3 8 8" xfId="19301" xr:uid="{00000000-0005-0000-0000-0000C6100000}"/>
    <cellStyle name="Comma 3 8 8 2" xfId="39353" xr:uid="{00000000-0005-0000-0000-0000C7100000}"/>
    <cellStyle name="Comma 3 8 9" xfId="19697" xr:uid="{00000000-0005-0000-0000-0000C8100000}"/>
    <cellStyle name="Comma 3 8 9 2" xfId="39749" xr:uid="{00000000-0005-0000-0000-0000C9100000}"/>
    <cellStyle name="Comma 3 9" xfId="4583" xr:uid="{00000000-0005-0000-0000-0000CA100000}"/>
    <cellStyle name="Comma 3 9 2" xfId="13613" xr:uid="{00000000-0005-0000-0000-0000CB100000}"/>
    <cellStyle name="Comma 3 9 2 2" xfId="18333" xr:uid="{00000000-0005-0000-0000-0000CC100000}"/>
    <cellStyle name="Comma 3 9 2 2 2" xfId="38385" xr:uid="{00000000-0005-0000-0000-0000CD100000}"/>
    <cellStyle name="Comma 3 9 2 3" xfId="18729" xr:uid="{00000000-0005-0000-0000-0000CE100000}"/>
    <cellStyle name="Comma 3 9 2 3 2" xfId="38781" xr:uid="{00000000-0005-0000-0000-0000CF100000}"/>
    <cellStyle name="Comma 3 9 2 4" xfId="19125" xr:uid="{00000000-0005-0000-0000-0000D0100000}"/>
    <cellStyle name="Comma 3 9 2 4 2" xfId="39177" xr:uid="{00000000-0005-0000-0000-0000D1100000}"/>
    <cellStyle name="Comma 3 9 2 5" xfId="19521" xr:uid="{00000000-0005-0000-0000-0000D2100000}"/>
    <cellStyle name="Comma 3 9 2 5 2" xfId="39573" xr:uid="{00000000-0005-0000-0000-0000D3100000}"/>
    <cellStyle name="Comma 3 9 2 6" xfId="19917" xr:uid="{00000000-0005-0000-0000-0000D4100000}"/>
    <cellStyle name="Comma 3 9 2 6 2" xfId="39969" xr:uid="{00000000-0005-0000-0000-0000D5100000}"/>
    <cellStyle name="Comma 3 9 2 7" xfId="33665" xr:uid="{00000000-0005-0000-0000-0000D6100000}"/>
    <cellStyle name="Comma 3 9 3" xfId="18135" xr:uid="{00000000-0005-0000-0000-0000D7100000}"/>
    <cellStyle name="Comma 3 9 3 2" xfId="38187" xr:uid="{00000000-0005-0000-0000-0000D8100000}"/>
    <cellStyle name="Comma 3 9 4" xfId="18531" xr:uid="{00000000-0005-0000-0000-0000D9100000}"/>
    <cellStyle name="Comma 3 9 4 2" xfId="38583" xr:uid="{00000000-0005-0000-0000-0000DA100000}"/>
    <cellStyle name="Comma 3 9 5" xfId="18927" xr:uid="{00000000-0005-0000-0000-0000DB100000}"/>
    <cellStyle name="Comma 3 9 5 2" xfId="38979" xr:uid="{00000000-0005-0000-0000-0000DC100000}"/>
    <cellStyle name="Comma 3 9 6" xfId="19323" xr:uid="{00000000-0005-0000-0000-0000DD100000}"/>
    <cellStyle name="Comma 3 9 6 2" xfId="39375" xr:uid="{00000000-0005-0000-0000-0000DE100000}"/>
    <cellStyle name="Comma 3 9 7" xfId="19719" xr:uid="{00000000-0005-0000-0000-0000DF100000}"/>
    <cellStyle name="Comma 3 9 7 2" xfId="39771" xr:uid="{00000000-0005-0000-0000-0000E0100000}"/>
    <cellStyle name="Comma 3 9 8" xfId="24635" xr:uid="{00000000-0005-0000-0000-0000E1100000}"/>
    <cellStyle name="Comma 4" xfId="752" xr:uid="{00000000-0005-0000-0000-0000E2100000}"/>
    <cellStyle name="Comma 4 10" xfId="18868" xr:uid="{00000000-0005-0000-0000-0000E3100000}"/>
    <cellStyle name="Comma 4 10 2" xfId="38920" xr:uid="{00000000-0005-0000-0000-0000E4100000}"/>
    <cellStyle name="Comma 4 11" xfId="19264" xr:uid="{00000000-0005-0000-0000-0000E5100000}"/>
    <cellStyle name="Comma 4 11 2" xfId="39316" xr:uid="{00000000-0005-0000-0000-0000E6100000}"/>
    <cellStyle name="Comma 4 12" xfId="19660" xr:uid="{00000000-0005-0000-0000-0000E7100000}"/>
    <cellStyle name="Comma 4 12 2" xfId="39712" xr:uid="{00000000-0005-0000-0000-0000E8100000}"/>
    <cellStyle name="Comma 4 13" xfId="20804" xr:uid="{00000000-0005-0000-0000-0000E9100000}"/>
    <cellStyle name="Comma 4 2" xfId="1499" xr:uid="{00000000-0005-0000-0000-0000EA100000}"/>
    <cellStyle name="Comma 4 2 10" xfId="19275" xr:uid="{00000000-0005-0000-0000-0000EB100000}"/>
    <cellStyle name="Comma 4 2 10 2" xfId="39327" xr:uid="{00000000-0005-0000-0000-0000EC100000}"/>
    <cellStyle name="Comma 4 2 11" xfId="19671" xr:uid="{00000000-0005-0000-0000-0000ED100000}"/>
    <cellStyle name="Comma 4 2 11 2" xfId="39723" xr:uid="{00000000-0005-0000-0000-0000EE100000}"/>
    <cellStyle name="Comma 4 2 12" xfId="21551" xr:uid="{00000000-0005-0000-0000-0000EF100000}"/>
    <cellStyle name="Comma 4 2 2" xfId="2993" xr:uid="{00000000-0005-0000-0000-0000F0100000}"/>
    <cellStyle name="Comma 4 2 2 10" xfId="23045" xr:uid="{00000000-0005-0000-0000-0000F1100000}"/>
    <cellStyle name="Comma 4 2 2 2" xfId="7475" xr:uid="{00000000-0005-0000-0000-0000F2100000}"/>
    <cellStyle name="Comma 4 2 2 2 2" xfId="16505" xr:uid="{00000000-0005-0000-0000-0000F3100000}"/>
    <cellStyle name="Comma 4 2 2 2 2 2" xfId="18373" xr:uid="{00000000-0005-0000-0000-0000F4100000}"/>
    <cellStyle name="Comma 4 2 2 2 2 2 2" xfId="38425" xr:uid="{00000000-0005-0000-0000-0000F5100000}"/>
    <cellStyle name="Comma 4 2 2 2 2 3" xfId="18769" xr:uid="{00000000-0005-0000-0000-0000F6100000}"/>
    <cellStyle name="Comma 4 2 2 2 2 3 2" xfId="38821" xr:uid="{00000000-0005-0000-0000-0000F7100000}"/>
    <cellStyle name="Comma 4 2 2 2 2 4" xfId="19165" xr:uid="{00000000-0005-0000-0000-0000F8100000}"/>
    <cellStyle name="Comma 4 2 2 2 2 4 2" xfId="39217" xr:uid="{00000000-0005-0000-0000-0000F9100000}"/>
    <cellStyle name="Comma 4 2 2 2 2 5" xfId="19561" xr:uid="{00000000-0005-0000-0000-0000FA100000}"/>
    <cellStyle name="Comma 4 2 2 2 2 5 2" xfId="39613" xr:uid="{00000000-0005-0000-0000-0000FB100000}"/>
    <cellStyle name="Comma 4 2 2 2 2 6" xfId="19957" xr:uid="{00000000-0005-0000-0000-0000FC100000}"/>
    <cellStyle name="Comma 4 2 2 2 2 6 2" xfId="40009" xr:uid="{00000000-0005-0000-0000-0000FD100000}"/>
    <cellStyle name="Comma 4 2 2 2 2 7" xfId="36557" xr:uid="{00000000-0005-0000-0000-0000FE100000}"/>
    <cellStyle name="Comma 4 2 2 2 3" xfId="18175" xr:uid="{00000000-0005-0000-0000-0000FF100000}"/>
    <cellStyle name="Comma 4 2 2 2 3 2" xfId="38227" xr:uid="{00000000-0005-0000-0000-000000110000}"/>
    <cellStyle name="Comma 4 2 2 2 4" xfId="18571" xr:uid="{00000000-0005-0000-0000-000001110000}"/>
    <cellStyle name="Comma 4 2 2 2 4 2" xfId="38623" xr:uid="{00000000-0005-0000-0000-000002110000}"/>
    <cellStyle name="Comma 4 2 2 2 5" xfId="18967" xr:uid="{00000000-0005-0000-0000-000003110000}"/>
    <cellStyle name="Comma 4 2 2 2 5 2" xfId="39019" xr:uid="{00000000-0005-0000-0000-000004110000}"/>
    <cellStyle name="Comma 4 2 2 2 6" xfId="19363" xr:uid="{00000000-0005-0000-0000-000005110000}"/>
    <cellStyle name="Comma 4 2 2 2 6 2" xfId="39415" xr:uid="{00000000-0005-0000-0000-000006110000}"/>
    <cellStyle name="Comma 4 2 2 2 7" xfId="19759" xr:uid="{00000000-0005-0000-0000-000007110000}"/>
    <cellStyle name="Comma 4 2 2 2 7 2" xfId="39811" xr:uid="{00000000-0005-0000-0000-000008110000}"/>
    <cellStyle name="Comma 4 2 2 2 8" xfId="27527" xr:uid="{00000000-0005-0000-0000-000009110000}"/>
    <cellStyle name="Comma 4 2 2 3" xfId="9013" xr:uid="{00000000-0005-0000-0000-00000A110000}"/>
    <cellStyle name="Comma 4 2 2 3 2" xfId="18043" xr:uid="{00000000-0005-0000-0000-00000B110000}"/>
    <cellStyle name="Comma 4 2 2 3 2 2" xfId="18439" xr:uid="{00000000-0005-0000-0000-00000C110000}"/>
    <cellStyle name="Comma 4 2 2 3 2 2 2" xfId="38491" xr:uid="{00000000-0005-0000-0000-00000D110000}"/>
    <cellStyle name="Comma 4 2 2 3 2 3" xfId="18835" xr:uid="{00000000-0005-0000-0000-00000E110000}"/>
    <cellStyle name="Comma 4 2 2 3 2 3 2" xfId="38887" xr:uid="{00000000-0005-0000-0000-00000F110000}"/>
    <cellStyle name="Comma 4 2 2 3 2 4" xfId="19231" xr:uid="{00000000-0005-0000-0000-000010110000}"/>
    <cellStyle name="Comma 4 2 2 3 2 4 2" xfId="39283" xr:uid="{00000000-0005-0000-0000-000011110000}"/>
    <cellStyle name="Comma 4 2 2 3 2 5" xfId="19627" xr:uid="{00000000-0005-0000-0000-000012110000}"/>
    <cellStyle name="Comma 4 2 2 3 2 5 2" xfId="39679" xr:uid="{00000000-0005-0000-0000-000013110000}"/>
    <cellStyle name="Comma 4 2 2 3 2 6" xfId="20023" xr:uid="{00000000-0005-0000-0000-000014110000}"/>
    <cellStyle name="Comma 4 2 2 3 2 6 2" xfId="40075" xr:uid="{00000000-0005-0000-0000-000015110000}"/>
    <cellStyle name="Comma 4 2 2 3 2 7" xfId="38095" xr:uid="{00000000-0005-0000-0000-000016110000}"/>
    <cellStyle name="Comma 4 2 2 3 3" xfId="18241" xr:uid="{00000000-0005-0000-0000-000017110000}"/>
    <cellStyle name="Comma 4 2 2 3 3 2" xfId="38293" xr:uid="{00000000-0005-0000-0000-000018110000}"/>
    <cellStyle name="Comma 4 2 2 3 4" xfId="18637" xr:uid="{00000000-0005-0000-0000-000019110000}"/>
    <cellStyle name="Comma 4 2 2 3 4 2" xfId="38689" xr:uid="{00000000-0005-0000-0000-00001A110000}"/>
    <cellStyle name="Comma 4 2 2 3 5" xfId="19033" xr:uid="{00000000-0005-0000-0000-00001B110000}"/>
    <cellStyle name="Comma 4 2 2 3 5 2" xfId="39085" xr:uid="{00000000-0005-0000-0000-00001C110000}"/>
    <cellStyle name="Comma 4 2 2 3 6" xfId="19429" xr:uid="{00000000-0005-0000-0000-00001D110000}"/>
    <cellStyle name="Comma 4 2 2 3 6 2" xfId="39481" xr:uid="{00000000-0005-0000-0000-00001E110000}"/>
    <cellStyle name="Comma 4 2 2 3 7" xfId="19825" xr:uid="{00000000-0005-0000-0000-00001F110000}"/>
    <cellStyle name="Comma 4 2 2 3 7 2" xfId="39877" xr:uid="{00000000-0005-0000-0000-000020110000}"/>
    <cellStyle name="Comma 4 2 2 3 8" xfId="29065" xr:uid="{00000000-0005-0000-0000-000021110000}"/>
    <cellStyle name="Comma 4 2 2 4" xfId="12023" xr:uid="{00000000-0005-0000-0000-000022110000}"/>
    <cellStyle name="Comma 4 2 2 4 2" xfId="18307" xr:uid="{00000000-0005-0000-0000-000023110000}"/>
    <cellStyle name="Comma 4 2 2 4 2 2" xfId="38359" xr:uid="{00000000-0005-0000-0000-000024110000}"/>
    <cellStyle name="Comma 4 2 2 4 3" xfId="18703" xr:uid="{00000000-0005-0000-0000-000025110000}"/>
    <cellStyle name="Comma 4 2 2 4 3 2" xfId="38755" xr:uid="{00000000-0005-0000-0000-000026110000}"/>
    <cellStyle name="Comma 4 2 2 4 4" xfId="19099" xr:uid="{00000000-0005-0000-0000-000027110000}"/>
    <cellStyle name="Comma 4 2 2 4 4 2" xfId="39151" xr:uid="{00000000-0005-0000-0000-000028110000}"/>
    <cellStyle name="Comma 4 2 2 4 5" xfId="19495" xr:uid="{00000000-0005-0000-0000-000029110000}"/>
    <cellStyle name="Comma 4 2 2 4 5 2" xfId="39547" xr:uid="{00000000-0005-0000-0000-00002A110000}"/>
    <cellStyle name="Comma 4 2 2 4 6" xfId="19891" xr:uid="{00000000-0005-0000-0000-00002B110000}"/>
    <cellStyle name="Comma 4 2 2 4 6 2" xfId="39943" xr:uid="{00000000-0005-0000-0000-00002C110000}"/>
    <cellStyle name="Comma 4 2 2 4 7" xfId="32075" xr:uid="{00000000-0005-0000-0000-00002D110000}"/>
    <cellStyle name="Comma 4 2 2 5" xfId="18109" xr:uid="{00000000-0005-0000-0000-00002E110000}"/>
    <cellStyle name="Comma 4 2 2 5 2" xfId="38161" xr:uid="{00000000-0005-0000-0000-00002F110000}"/>
    <cellStyle name="Comma 4 2 2 6" xfId="18505" xr:uid="{00000000-0005-0000-0000-000030110000}"/>
    <cellStyle name="Comma 4 2 2 6 2" xfId="38557" xr:uid="{00000000-0005-0000-0000-000031110000}"/>
    <cellStyle name="Comma 4 2 2 7" xfId="18901" xr:uid="{00000000-0005-0000-0000-000032110000}"/>
    <cellStyle name="Comma 4 2 2 7 2" xfId="38953" xr:uid="{00000000-0005-0000-0000-000033110000}"/>
    <cellStyle name="Comma 4 2 2 8" xfId="19297" xr:uid="{00000000-0005-0000-0000-000034110000}"/>
    <cellStyle name="Comma 4 2 2 8 2" xfId="39349" xr:uid="{00000000-0005-0000-0000-000035110000}"/>
    <cellStyle name="Comma 4 2 2 9" xfId="19693" xr:uid="{00000000-0005-0000-0000-000036110000}"/>
    <cellStyle name="Comma 4 2 2 9 2" xfId="39745" xr:uid="{00000000-0005-0000-0000-000037110000}"/>
    <cellStyle name="Comma 4 2 3" xfId="4487" xr:uid="{00000000-0005-0000-0000-000038110000}"/>
    <cellStyle name="Comma 4 2 3 10" xfId="24539" xr:uid="{00000000-0005-0000-0000-000039110000}"/>
    <cellStyle name="Comma 4 2 3 2" xfId="8969" xr:uid="{00000000-0005-0000-0000-00003A110000}"/>
    <cellStyle name="Comma 4 2 3 2 2" xfId="17999" xr:uid="{00000000-0005-0000-0000-00003B110000}"/>
    <cellStyle name="Comma 4 2 3 2 2 2" xfId="18395" xr:uid="{00000000-0005-0000-0000-00003C110000}"/>
    <cellStyle name="Comma 4 2 3 2 2 2 2" xfId="38447" xr:uid="{00000000-0005-0000-0000-00003D110000}"/>
    <cellStyle name="Comma 4 2 3 2 2 3" xfId="18791" xr:uid="{00000000-0005-0000-0000-00003E110000}"/>
    <cellStyle name="Comma 4 2 3 2 2 3 2" xfId="38843" xr:uid="{00000000-0005-0000-0000-00003F110000}"/>
    <cellStyle name="Comma 4 2 3 2 2 4" xfId="19187" xr:uid="{00000000-0005-0000-0000-000040110000}"/>
    <cellStyle name="Comma 4 2 3 2 2 4 2" xfId="39239" xr:uid="{00000000-0005-0000-0000-000041110000}"/>
    <cellStyle name="Comma 4 2 3 2 2 5" xfId="19583" xr:uid="{00000000-0005-0000-0000-000042110000}"/>
    <cellStyle name="Comma 4 2 3 2 2 5 2" xfId="39635" xr:uid="{00000000-0005-0000-0000-000043110000}"/>
    <cellStyle name="Comma 4 2 3 2 2 6" xfId="19979" xr:uid="{00000000-0005-0000-0000-000044110000}"/>
    <cellStyle name="Comma 4 2 3 2 2 6 2" xfId="40031" xr:uid="{00000000-0005-0000-0000-000045110000}"/>
    <cellStyle name="Comma 4 2 3 2 2 7" xfId="38051" xr:uid="{00000000-0005-0000-0000-000046110000}"/>
    <cellStyle name="Comma 4 2 3 2 3" xfId="18197" xr:uid="{00000000-0005-0000-0000-000047110000}"/>
    <cellStyle name="Comma 4 2 3 2 3 2" xfId="38249" xr:uid="{00000000-0005-0000-0000-000048110000}"/>
    <cellStyle name="Comma 4 2 3 2 4" xfId="18593" xr:uid="{00000000-0005-0000-0000-000049110000}"/>
    <cellStyle name="Comma 4 2 3 2 4 2" xfId="38645" xr:uid="{00000000-0005-0000-0000-00004A110000}"/>
    <cellStyle name="Comma 4 2 3 2 5" xfId="18989" xr:uid="{00000000-0005-0000-0000-00004B110000}"/>
    <cellStyle name="Comma 4 2 3 2 5 2" xfId="39041" xr:uid="{00000000-0005-0000-0000-00004C110000}"/>
    <cellStyle name="Comma 4 2 3 2 6" xfId="19385" xr:uid="{00000000-0005-0000-0000-00004D110000}"/>
    <cellStyle name="Comma 4 2 3 2 6 2" xfId="39437" xr:uid="{00000000-0005-0000-0000-00004E110000}"/>
    <cellStyle name="Comma 4 2 3 2 7" xfId="19781" xr:uid="{00000000-0005-0000-0000-00004F110000}"/>
    <cellStyle name="Comma 4 2 3 2 7 2" xfId="39833" xr:uid="{00000000-0005-0000-0000-000050110000}"/>
    <cellStyle name="Comma 4 2 3 2 8" xfId="29021" xr:uid="{00000000-0005-0000-0000-000051110000}"/>
    <cellStyle name="Comma 4 2 3 3" xfId="9035" xr:uid="{00000000-0005-0000-0000-000052110000}"/>
    <cellStyle name="Comma 4 2 3 3 2" xfId="18065" xr:uid="{00000000-0005-0000-0000-000053110000}"/>
    <cellStyle name="Comma 4 2 3 3 2 2" xfId="18461" xr:uid="{00000000-0005-0000-0000-000054110000}"/>
    <cellStyle name="Comma 4 2 3 3 2 2 2" xfId="38513" xr:uid="{00000000-0005-0000-0000-000055110000}"/>
    <cellStyle name="Comma 4 2 3 3 2 3" xfId="18857" xr:uid="{00000000-0005-0000-0000-000056110000}"/>
    <cellStyle name="Comma 4 2 3 3 2 3 2" xfId="38909" xr:uid="{00000000-0005-0000-0000-000057110000}"/>
    <cellStyle name="Comma 4 2 3 3 2 4" xfId="19253" xr:uid="{00000000-0005-0000-0000-000058110000}"/>
    <cellStyle name="Comma 4 2 3 3 2 4 2" xfId="39305" xr:uid="{00000000-0005-0000-0000-000059110000}"/>
    <cellStyle name="Comma 4 2 3 3 2 5" xfId="19649" xr:uid="{00000000-0005-0000-0000-00005A110000}"/>
    <cellStyle name="Comma 4 2 3 3 2 5 2" xfId="39701" xr:uid="{00000000-0005-0000-0000-00005B110000}"/>
    <cellStyle name="Comma 4 2 3 3 2 6" xfId="20045" xr:uid="{00000000-0005-0000-0000-00005C110000}"/>
    <cellStyle name="Comma 4 2 3 3 2 6 2" xfId="40097" xr:uid="{00000000-0005-0000-0000-00005D110000}"/>
    <cellStyle name="Comma 4 2 3 3 2 7" xfId="38117" xr:uid="{00000000-0005-0000-0000-00005E110000}"/>
    <cellStyle name="Comma 4 2 3 3 3" xfId="18263" xr:uid="{00000000-0005-0000-0000-00005F110000}"/>
    <cellStyle name="Comma 4 2 3 3 3 2" xfId="38315" xr:uid="{00000000-0005-0000-0000-000060110000}"/>
    <cellStyle name="Comma 4 2 3 3 4" xfId="18659" xr:uid="{00000000-0005-0000-0000-000061110000}"/>
    <cellStyle name="Comma 4 2 3 3 4 2" xfId="38711" xr:uid="{00000000-0005-0000-0000-000062110000}"/>
    <cellStyle name="Comma 4 2 3 3 5" xfId="19055" xr:uid="{00000000-0005-0000-0000-000063110000}"/>
    <cellStyle name="Comma 4 2 3 3 5 2" xfId="39107" xr:uid="{00000000-0005-0000-0000-000064110000}"/>
    <cellStyle name="Comma 4 2 3 3 6" xfId="19451" xr:uid="{00000000-0005-0000-0000-000065110000}"/>
    <cellStyle name="Comma 4 2 3 3 6 2" xfId="39503" xr:uid="{00000000-0005-0000-0000-000066110000}"/>
    <cellStyle name="Comma 4 2 3 3 7" xfId="19847" xr:uid="{00000000-0005-0000-0000-000067110000}"/>
    <cellStyle name="Comma 4 2 3 3 7 2" xfId="39899" xr:uid="{00000000-0005-0000-0000-000068110000}"/>
    <cellStyle name="Comma 4 2 3 3 8" xfId="29087" xr:uid="{00000000-0005-0000-0000-000069110000}"/>
    <cellStyle name="Comma 4 2 3 4" xfId="13517" xr:uid="{00000000-0005-0000-0000-00006A110000}"/>
    <cellStyle name="Comma 4 2 3 4 2" xfId="18329" xr:uid="{00000000-0005-0000-0000-00006B110000}"/>
    <cellStyle name="Comma 4 2 3 4 2 2" xfId="38381" xr:uid="{00000000-0005-0000-0000-00006C110000}"/>
    <cellStyle name="Comma 4 2 3 4 3" xfId="18725" xr:uid="{00000000-0005-0000-0000-00006D110000}"/>
    <cellStyle name="Comma 4 2 3 4 3 2" xfId="38777" xr:uid="{00000000-0005-0000-0000-00006E110000}"/>
    <cellStyle name="Comma 4 2 3 4 4" xfId="19121" xr:uid="{00000000-0005-0000-0000-00006F110000}"/>
    <cellStyle name="Comma 4 2 3 4 4 2" xfId="39173" xr:uid="{00000000-0005-0000-0000-000070110000}"/>
    <cellStyle name="Comma 4 2 3 4 5" xfId="19517" xr:uid="{00000000-0005-0000-0000-000071110000}"/>
    <cellStyle name="Comma 4 2 3 4 5 2" xfId="39569" xr:uid="{00000000-0005-0000-0000-000072110000}"/>
    <cellStyle name="Comma 4 2 3 4 6" xfId="19913" xr:uid="{00000000-0005-0000-0000-000073110000}"/>
    <cellStyle name="Comma 4 2 3 4 6 2" xfId="39965" xr:uid="{00000000-0005-0000-0000-000074110000}"/>
    <cellStyle name="Comma 4 2 3 4 7" xfId="33569" xr:uid="{00000000-0005-0000-0000-000075110000}"/>
    <cellStyle name="Comma 4 2 3 5" xfId="18131" xr:uid="{00000000-0005-0000-0000-000076110000}"/>
    <cellStyle name="Comma 4 2 3 5 2" xfId="38183" xr:uid="{00000000-0005-0000-0000-000077110000}"/>
    <cellStyle name="Comma 4 2 3 6" xfId="18527" xr:uid="{00000000-0005-0000-0000-000078110000}"/>
    <cellStyle name="Comma 4 2 3 6 2" xfId="38579" xr:uid="{00000000-0005-0000-0000-000079110000}"/>
    <cellStyle name="Comma 4 2 3 7" xfId="18923" xr:uid="{00000000-0005-0000-0000-00007A110000}"/>
    <cellStyle name="Comma 4 2 3 7 2" xfId="38975" xr:uid="{00000000-0005-0000-0000-00007B110000}"/>
    <cellStyle name="Comma 4 2 3 8" xfId="19319" xr:uid="{00000000-0005-0000-0000-00007C110000}"/>
    <cellStyle name="Comma 4 2 3 8 2" xfId="39371" xr:uid="{00000000-0005-0000-0000-00007D110000}"/>
    <cellStyle name="Comma 4 2 3 9" xfId="19715" xr:uid="{00000000-0005-0000-0000-00007E110000}"/>
    <cellStyle name="Comma 4 2 3 9 2" xfId="39767" xr:uid="{00000000-0005-0000-0000-00007F110000}"/>
    <cellStyle name="Comma 4 2 4" xfId="5981" xr:uid="{00000000-0005-0000-0000-000080110000}"/>
    <cellStyle name="Comma 4 2 4 2" xfId="15011" xr:uid="{00000000-0005-0000-0000-000081110000}"/>
    <cellStyle name="Comma 4 2 4 2 2" xfId="18351" xr:uid="{00000000-0005-0000-0000-000082110000}"/>
    <cellStyle name="Comma 4 2 4 2 2 2" xfId="38403" xr:uid="{00000000-0005-0000-0000-000083110000}"/>
    <cellStyle name="Comma 4 2 4 2 3" xfId="18747" xr:uid="{00000000-0005-0000-0000-000084110000}"/>
    <cellStyle name="Comma 4 2 4 2 3 2" xfId="38799" xr:uid="{00000000-0005-0000-0000-000085110000}"/>
    <cellStyle name="Comma 4 2 4 2 4" xfId="19143" xr:uid="{00000000-0005-0000-0000-000086110000}"/>
    <cellStyle name="Comma 4 2 4 2 4 2" xfId="39195" xr:uid="{00000000-0005-0000-0000-000087110000}"/>
    <cellStyle name="Comma 4 2 4 2 5" xfId="19539" xr:uid="{00000000-0005-0000-0000-000088110000}"/>
    <cellStyle name="Comma 4 2 4 2 5 2" xfId="39591" xr:uid="{00000000-0005-0000-0000-000089110000}"/>
    <cellStyle name="Comma 4 2 4 2 6" xfId="19935" xr:uid="{00000000-0005-0000-0000-00008A110000}"/>
    <cellStyle name="Comma 4 2 4 2 6 2" xfId="39987" xr:uid="{00000000-0005-0000-0000-00008B110000}"/>
    <cellStyle name="Comma 4 2 4 2 7" xfId="35063" xr:uid="{00000000-0005-0000-0000-00008C110000}"/>
    <cellStyle name="Comma 4 2 4 3" xfId="18153" xr:uid="{00000000-0005-0000-0000-00008D110000}"/>
    <cellStyle name="Comma 4 2 4 3 2" xfId="38205" xr:uid="{00000000-0005-0000-0000-00008E110000}"/>
    <cellStyle name="Comma 4 2 4 4" xfId="18549" xr:uid="{00000000-0005-0000-0000-00008F110000}"/>
    <cellStyle name="Comma 4 2 4 4 2" xfId="38601" xr:uid="{00000000-0005-0000-0000-000090110000}"/>
    <cellStyle name="Comma 4 2 4 5" xfId="18945" xr:uid="{00000000-0005-0000-0000-000091110000}"/>
    <cellStyle name="Comma 4 2 4 5 2" xfId="38997" xr:uid="{00000000-0005-0000-0000-000092110000}"/>
    <cellStyle name="Comma 4 2 4 6" xfId="19341" xr:uid="{00000000-0005-0000-0000-000093110000}"/>
    <cellStyle name="Comma 4 2 4 6 2" xfId="39393" xr:uid="{00000000-0005-0000-0000-000094110000}"/>
    <cellStyle name="Comma 4 2 4 7" xfId="19737" xr:uid="{00000000-0005-0000-0000-000095110000}"/>
    <cellStyle name="Comma 4 2 4 7 2" xfId="39789" xr:uid="{00000000-0005-0000-0000-000096110000}"/>
    <cellStyle name="Comma 4 2 4 8" xfId="26033" xr:uid="{00000000-0005-0000-0000-000097110000}"/>
    <cellStyle name="Comma 4 2 5" xfId="8991" xr:uid="{00000000-0005-0000-0000-000098110000}"/>
    <cellStyle name="Comma 4 2 5 2" xfId="18021" xr:uid="{00000000-0005-0000-0000-000099110000}"/>
    <cellStyle name="Comma 4 2 5 2 2" xfId="18417" xr:uid="{00000000-0005-0000-0000-00009A110000}"/>
    <cellStyle name="Comma 4 2 5 2 2 2" xfId="38469" xr:uid="{00000000-0005-0000-0000-00009B110000}"/>
    <cellStyle name="Comma 4 2 5 2 3" xfId="18813" xr:uid="{00000000-0005-0000-0000-00009C110000}"/>
    <cellStyle name="Comma 4 2 5 2 3 2" xfId="38865" xr:uid="{00000000-0005-0000-0000-00009D110000}"/>
    <cellStyle name="Comma 4 2 5 2 4" xfId="19209" xr:uid="{00000000-0005-0000-0000-00009E110000}"/>
    <cellStyle name="Comma 4 2 5 2 4 2" xfId="39261" xr:uid="{00000000-0005-0000-0000-00009F110000}"/>
    <cellStyle name="Comma 4 2 5 2 5" xfId="19605" xr:uid="{00000000-0005-0000-0000-0000A0110000}"/>
    <cellStyle name="Comma 4 2 5 2 5 2" xfId="39657" xr:uid="{00000000-0005-0000-0000-0000A1110000}"/>
    <cellStyle name="Comma 4 2 5 2 6" xfId="20001" xr:uid="{00000000-0005-0000-0000-0000A2110000}"/>
    <cellStyle name="Comma 4 2 5 2 6 2" xfId="40053" xr:uid="{00000000-0005-0000-0000-0000A3110000}"/>
    <cellStyle name="Comma 4 2 5 2 7" xfId="38073" xr:uid="{00000000-0005-0000-0000-0000A4110000}"/>
    <cellStyle name="Comma 4 2 5 3" xfId="18219" xr:uid="{00000000-0005-0000-0000-0000A5110000}"/>
    <cellStyle name="Comma 4 2 5 3 2" xfId="38271" xr:uid="{00000000-0005-0000-0000-0000A6110000}"/>
    <cellStyle name="Comma 4 2 5 4" xfId="18615" xr:uid="{00000000-0005-0000-0000-0000A7110000}"/>
    <cellStyle name="Comma 4 2 5 4 2" xfId="38667" xr:uid="{00000000-0005-0000-0000-0000A8110000}"/>
    <cellStyle name="Comma 4 2 5 5" xfId="19011" xr:uid="{00000000-0005-0000-0000-0000A9110000}"/>
    <cellStyle name="Comma 4 2 5 5 2" xfId="39063" xr:uid="{00000000-0005-0000-0000-0000AA110000}"/>
    <cellStyle name="Comma 4 2 5 6" xfId="19407" xr:uid="{00000000-0005-0000-0000-0000AB110000}"/>
    <cellStyle name="Comma 4 2 5 6 2" xfId="39459" xr:uid="{00000000-0005-0000-0000-0000AC110000}"/>
    <cellStyle name="Comma 4 2 5 7" xfId="19803" xr:uid="{00000000-0005-0000-0000-0000AD110000}"/>
    <cellStyle name="Comma 4 2 5 7 2" xfId="39855" xr:uid="{00000000-0005-0000-0000-0000AE110000}"/>
    <cellStyle name="Comma 4 2 5 8" xfId="29043" xr:uid="{00000000-0005-0000-0000-0000AF110000}"/>
    <cellStyle name="Comma 4 2 6" xfId="10529" xr:uid="{00000000-0005-0000-0000-0000B0110000}"/>
    <cellStyle name="Comma 4 2 6 2" xfId="18285" xr:uid="{00000000-0005-0000-0000-0000B1110000}"/>
    <cellStyle name="Comma 4 2 6 2 2" xfId="38337" xr:uid="{00000000-0005-0000-0000-0000B2110000}"/>
    <cellStyle name="Comma 4 2 6 3" xfId="18681" xr:uid="{00000000-0005-0000-0000-0000B3110000}"/>
    <cellStyle name="Comma 4 2 6 3 2" xfId="38733" xr:uid="{00000000-0005-0000-0000-0000B4110000}"/>
    <cellStyle name="Comma 4 2 6 4" xfId="19077" xr:uid="{00000000-0005-0000-0000-0000B5110000}"/>
    <cellStyle name="Comma 4 2 6 4 2" xfId="39129" xr:uid="{00000000-0005-0000-0000-0000B6110000}"/>
    <cellStyle name="Comma 4 2 6 5" xfId="19473" xr:uid="{00000000-0005-0000-0000-0000B7110000}"/>
    <cellStyle name="Comma 4 2 6 5 2" xfId="39525" xr:uid="{00000000-0005-0000-0000-0000B8110000}"/>
    <cellStyle name="Comma 4 2 6 6" xfId="19869" xr:uid="{00000000-0005-0000-0000-0000B9110000}"/>
    <cellStyle name="Comma 4 2 6 6 2" xfId="39921" xr:uid="{00000000-0005-0000-0000-0000BA110000}"/>
    <cellStyle name="Comma 4 2 6 7" xfId="30581" xr:uid="{00000000-0005-0000-0000-0000BB110000}"/>
    <cellStyle name="Comma 4 2 7" xfId="18087" xr:uid="{00000000-0005-0000-0000-0000BC110000}"/>
    <cellStyle name="Comma 4 2 7 2" xfId="38139" xr:uid="{00000000-0005-0000-0000-0000BD110000}"/>
    <cellStyle name="Comma 4 2 8" xfId="18483" xr:uid="{00000000-0005-0000-0000-0000BE110000}"/>
    <cellStyle name="Comma 4 2 8 2" xfId="38535" xr:uid="{00000000-0005-0000-0000-0000BF110000}"/>
    <cellStyle name="Comma 4 2 9" xfId="18879" xr:uid="{00000000-0005-0000-0000-0000C0110000}"/>
    <cellStyle name="Comma 4 2 9 2" xfId="38931" xr:uid="{00000000-0005-0000-0000-0000C1110000}"/>
    <cellStyle name="Comma 4 3" xfId="2246" xr:uid="{00000000-0005-0000-0000-0000C2110000}"/>
    <cellStyle name="Comma 4 3 10" xfId="22298" xr:uid="{00000000-0005-0000-0000-0000C3110000}"/>
    <cellStyle name="Comma 4 3 2" xfId="6728" xr:uid="{00000000-0005-0000-0000-0000C4110000}"/>
    <cellStyle name="Comma 4 3 2 2" xfId="15758" xr:uid="{00000000-0005-0000-0000-0000C5110000}"/>
    <cellStyle name="Comma 4 3 2 2 2" xfId="18362" xr:uid="{00000000-0005-0000-0000-0000C6110000}"/>
    <cellStyle name="Comma 4 3 2 2 2 2" xfId="38414" xr:uid="{00000000-0005-0000-0000-0000C7110000}"/>
    <cellStyle name="Comma 4 3 2 2 3" xfId="18758" xr:uid="{00000000-0005-0000-0000-0000C8110000}"/>
    <cellStyle name="Comma 4 3 2 2 3 2" xfId="38810" xr:uid="{00000000-0005-0000-0000-0000C9110000}"/>
    <cellStyle name="Comma 4 3 2 2 4" xfId="19154" xr:uid="{00000000-0005-0000-0000-0000CA110000}"/>
    <cellStyle name="Comma 4 3 2 2 4 2" xfId="39206" xr:uid="{00000000-0005-0000-0000-0000CB110000}"/>
    <cellStyle name="Comma 4 3 2 2 5" xfId="19550" xr:uid="{00000000-0005-0000-0000-0000CC110000}"/>
    <cellStyle name="Comma 4 3 2 2 5 2" xfId="39602" xr:uid="{00000000-0005-0000-0000-0000CD110000}"/>
    <cellStyle name="Comma 4 3 2 2 6" xfId="19946" xr:uid="{00000000-0005-0000-0000-0000CE110000}"/>
    <cellStyle name="Comma 4 3 2 2 6 2" xfId="39998" xr:uid="{00000000-0005-0000-0000-0000CF110000}"/>
    <cellStyle name="Comma 4 3 2 2 7" xfId="35810" xr:uid="{00000000-0005-0000-0000-0000D0110000}"/>
    <cellStyle name="Comma 4 3 2 3" xfId="18164" xr:uid="{00000000-0005-0000-0000-0000D1110000}"/>
    <cellStyle name="Comma 4 3 2 3 2" xfId="38216" xr:uid="{00000000-0005-0000-0000-0000D2110000}"/>
    <cellStyle name="Comma 4 3 2 4" xfId="18560" xr:uid="{00000000-0005-0000-0000-0000D3110000}"/>
    <cellStyle name="Comma 4 3 2 4 2" xfId="38612" xr:uid="{00000000-0005-0000-0000-0000D4110000}"/>
    <cellStyle name="Comma 4 3 2 5" xfId="18956" xr:uid="{00000000-0005-0000-0000-0000D5110000}"/>
    <cellStyle name="Comma 4 3 2 5 2" xfId="39008" xr:uid="{00000000-0005-0000-0000-0000D6110000}"/>
    <cellStyle name="Comma 4 3 2 6" xfId="19352" xr:uid="{00000000-0005-0000-0000-0000D7110000}"/>
    <cellStyle name="Comma 4 3 2 6 2" xfId="39404" xr:uid="{00000000-0005-0000-0000-0000D8110000}"/>
    <cellStyle name="Comma 4 3 2 7" xfId="19748" xr:uid="{00000000-0005-0000-0000-0000D9110000}"/>
    <cellStyle name="Comma 4 3 2 7 2" xfId="39800" xr:uid="{00000000-0005-0000-0000-0000DA110000}"/>
    <cellStyle name="Comma 4 3 2 8" xfId="26780" xr:uid="{00000000-0005-0000-0000-0000DB110000}"/>
    <cellStyle name="Comma 4 3 3" xfId="9002" xr:uid="{00000000-0005-0000-0000-0000DC110000}"/>
    <cellStyle name="Comma 4 3 3 2" xfId="18032" xr:uid="{00000000-0005-0000-0000-0000DD110000}"/>
    <cellStyle name="Comma 4 3 3 2 2" xfId="18428" xr:uid="{00000000-0005-0000-0000-0000DE110000}"/>
    <cellStyle name="Comma 4 3 3 2 2 2" xfId="38480" xr:uid="{00000000-0005-0000-0000-0000DF110000}"/>
    <cellStyle name="Comma 4 3 3 2 3" xfId="18824" xr:uid="{00000000-0005-0000-0000-0000E0110000}"/>
    <cellStyle name="Comma 4 3 3 2 3 2" xfId="38876" xr:uid="{00000000-0005-0000-0000-0000E1110000}"/>
    <cellStyle name="Comma 4 3 3 2 4" xfId="19220" xr:uid="{00000000-0005-0000-0000-0000E2110000}"/>
    <cellStyle name="Comma 4 3 3 2 4 2" xfId="39272" xr:uid="{00000000-0005-0000-0000-0000E3110000}"/>
    <cellStyle name="Comma 4 3 3 2 5" xfId="19616" xr:uid="{00000000-0005-0000-0000-0000E4110000}"/>
    <cellStyle name="Comma 4 3 3 2 5 2" xfId="39668" xr:uid="{00000000-0005-0000-0000-0000E5110000}"/>
    <cellStyle name="Comma 4 3 3 2 6" xfId="20012" xr:uid="{00000000-0005-0000-0000-0000E6110000}"/>
    <cellStyle name="Comma 4 3 3 2 6 2" xfId="40064" xr:uid="{00000000-0005-0000-0000-0000E7110000}"/>
    <cellStyle name="Comma 4 3 3 2 7" xfId="38084" xr:uid="{00000000-0005-0000-0000-0000E8110000}"/>
    <cellStyle name="Comma 4 3 3 3" xfId="18230" xr:uid="{00000000-0005-0000-0000-0000E9110000}"/>
    <cellStyle name="Comma 4 3 3 3 2" xfId="38282" xr:uid="{00000000-0005-0000-0000-0000EA110000}"/>
    <cellStyle name="Comma 4 3 3 4" xfId="18626" xr:uid="{00000000-0005-0000-0000-0000EB110000}"/>
    <cellStyle name="Comma 4 3 3 4 2" xfId="38678" xr:uid="{00000000-0005-0000-0000-0000EC110000}"/>
    <cellStyle name="Comma 4 3 3 5" xfId="19022" xr:uid="{00000000-0005-0000-0000-0000ED110000}"/>
    <cellStyle name="Comma 4 3 3 5 2" xfId="39074" xr:uid="{00000000-0005-0000-0000-0000EE110000}"/>
    <cellStyle name="Comma 4 3 3 6" xfId="19418" xr:uid="{00000000-0005-0000-0000-0000EF110000}"/>
    <cellStyle name="Comma 4 3 3 6 2" xfId="39470" xr:uid="{00000000-0005-0000-0000-0000F0110000}"/>
    <cellStyle name="Comma 4 3 3 7" xfId="19814" xr:uid="{00000000-0005-0000-0000-0000F1110000}"/>
    <cellStyle name="Comma 4 3 3 7 2" xfId="39866" xr:uid="{00000000-0005-0000-0000-0000F2110000}"/>
    <cellStyle name="Comma 4 3 3 8" xfId="29054" xr:uid="{00000000-0005-0000-0000-0000F3110000}"/>
    <cellStyle name="Comma 4 3 4" xfId="11276" xr:uid="{00000000-0005-0000-0000-0000F4110000}"/>
    <cellStyle name="Comma 4 3 4 2" xfId="18296" xr:uid="{00000000-0005-0000-0000-0000F5110000}"/>
    <cellStyle name="Comma 4 3 4 2 2" xfId="38348" xr:uid="{00000000-0005-0000-0000-0000F6110000}"/>
    <cellStyle name="Comma 4 3 4 3" xfId="18692" xr:uid="{00000000-0005-0000-0000-0000F7110000}"/>
    <cellStyle name="Comma 4 3 4 3 2" xfId="38744" xr:uid="{00000000-0005-0000-0000-0000F8110000}"/>
    <cellStyle name="Comma 4 3 4 4" xfId="19088" xr:uid="{00000000-0005-0000-0000-0000F9110000}"/>
    <cellStyle name="Comma 4 3 4 4 2" xfId="39140" xr:uid="{00000000-0005-0000-0000-0000FA110000}"/>
    <cellStyle name="Comma 4 3 4 5" xfId="19484" xr:uid="{00000000-0005-0000-0000-0000FB110000}"/>
    <cellStyle name="Comma 4 3 4 5 2" xfId="39536" xr:uid="{00000000-0005-0000-0000-0000FC110000}"/>
    <cellStyle name="Comma 4 3 4 6" xfId="19880" xr:uid="{00000000-0005-0000-0000-0000FD110000}"/>
    <cellStyle name="Comma 4 3 4 6 2" xfId="39932" xr:uid="{00000000-0005-0000-0000-0000FE110000}"/>
    <cellStyle name="Comma 4 3 4 7" xfId="31328" xr:uid="{00000000-0005-0000-0000-0000FF110000}"/>
    <cellStyle name="Comma 4 3 5" xfId="18098" xr:uid="{00000000-0005-0000-0000-000000120000}"/>
    <cellStyle name="Comma 4 3 5 2" xfId="38150" xr:uid="{00000000-0005-0000-0000-000001120000}"/>
    <cellStyle name="Comma 4 3 6" xfId="18494" xr:uid="{00000000-0005-0000-0000-000002120000}"/>
    <cellStyle name="Comma 4 3 6 2" xfId="38546" xr:uid="{00000000-0005-0000-0000-000003120000}"/>
    <cellStyle name="Comma 4 3 7" xfId="18890" xr:uid="{00000000-0005-0000-0000-000004120000}"/>
    <cellStyle name="Comma 4 3 7 2" xfId="38942" xr:uid="{00000000-0005-0000-0000-000005120000}"/>
    <cellStyle name="Comma 4 3 8" xfId="19286" xr:uid="{00000000-0005-0000-0000-000006120000}"/>
    <cellStyle name="Comma 4 3 8 2" xfId="39338" xr:uid="{00000000-0005-0000-0000-000007120000}"/>
    <cellStyle name="Comma 4 3 9" xfId="19682" xr:uid="{00000000-0005-0000-0000-000008120000}"/>
    <cellStyle name="Comma 4 3 9 2" xfId="39734" xr:uid="{00000000-0005-0000-0000-000009120000}"/>
    <cellStyle name="Comma 4 4" xfId="3740" xr:uid="{00000000-0005-0000-0000-00000A120000}"/>
    <cellStyle name="Comma 4 4 10" xfId="23792" xr:uid="{00000000-0005-0000-0000-00000B120000}"/>
    <cellStyle name="Comma 4 4 2" xfId="8222" xr:uid="{00000000-0005-0000-0000-00000C120000}"/>
    <cellStyle name="Comma 4 4 2 2" xfId="17252" xr:uid="{00000000-0005-0000-0000-00000D120000}"/>
    <cellStyle name="Comma 4 4 2 2 2" xfId="18384" xr:uid="{00000000-0005-0000-0000-00000E120000}"/>
    <cellStyle name="Comma 4 4 2 2 2 2" xfId="38436" xr:uid="{00000000-0005-0000-0000-00000F120000}"/>
    <cellStyle name="Comma 4 4 2 2 3" xfId="18780" xr:uid="{00000000-0005-0000-0000-000010120000}"/>
    <cellStyle name="Comma 4 4 2 2 3 2" xfId="38832" xr:uid="{00000000-0005-0000-0000-000011120000}"/>
    <cellStyle name="Comma 4 4 2 2 4" xfId="19176" xr:uid="{00000000-0005-0000-0000-000012120000}"/>
    <cellStyle name="Comma 4 4 2 2 4 2" xfId="39228" xr:uid="{00000000-0005-0000-0000-000013120000}"/>
    <cellStyle name="Comma 4 4 2 2 5" xfId="19572" xr:uid="{00000000-0005-0000-0000-000014120000}"/>
    <cellStyle name="Comma 4 4 2 2 5 2" xfId="39624" xr:uid="{00000000-0005-0000-0000-000015120000}"/>
    <cellStyle name="Comma 4 4 2 2 6" xfId="19968" xr:uid="{00000000-0005-0000-0000-000016120000}"/>
    <cellStyle name="Comma 4 4 2 2 6 2" xfId="40020" xr:uid="{00000000-0005-0000-0000-000017120000}"/>
    <cellStyle name="Comma 4 4 2 2 7" xfId="37304" xr:uid="{00000000-0005-0000-0000-000018120000}"/>
    <cellStyle name="Comma 4 4 2 3" xfId="18186" xr:uid="{00000000-0005-0000-0000-000019120000}"/>
    <cellStyle name="Comma 4 4 2 3 2" xfId="38238" xr:uid="{00000000-0005-0000-0000-00001A120000}"/>
    <cellStyle name="Comma 4 4 2 4" xfId="18582" xr:uid="{00000000-0005-0000-0000-00001B120000}"/>
    <cellStyle name="Comma 4 4 2 4 2" xfId="38634" xr:uid="{00000000-0005-0000-0000-00001C120000}"/>
    <cellStyle name="Comma 4 4 2 5" xfId="18978" xr:uid="{00000000-0005-0000-0000-00001D120000}"/>
    <cellStyle name="Comma 4 4 2 5 2" xfId="39030" xr:uid="{00000000-0005-0000-0000-00001E120000}"/>
    <cellStyle name="Comma 4 4 2 6" xfId="19374" xr:uid="{00000000-0005-0000-0000-00001F120000}"/>
    <cellStyle name="Comma 4 4 2 6 2" xfId="39426" xr:uid="{00000000-0005-0000-0000-000020120000}"/>
    <cellStyle name="Comma 4 4 2 7" xfId="19770" xr:uid="{00000000-0005-0000-0000-000021120000}"/>
    <cellStyle name="Comma 4 4 2 7 2" xfId="39822" xr:uid="{00000000-0005-0000-0000-000022120000}"/>
    <cellStyle name="Comma 4 4 2 8" xfId="28274" xr:uid="{00000000-0005-0000-0000-000023120000}"/>
    <cellStyle name="Comma 4 4 3" xfId="9024" xr:uid="{00000000-0005-0000-0000-000024120000}"/>
    <cellStyle name="Comma 4 4 3 2" xfId="18054" xr:uid="{00000000-0005-0000-0000-000025120000}"/>
    <cellStyle name="Comma 4 4 3 2 2" xfId="18450" xr:uid="{00000000-0005-0000-0000-000026120000}"/>
    <cellStyle name="Comma 4 4 3 2 2 2" xfId="38502" xr:uid="{00000000-0005-0000-0000-000027120000}"/>
    <cellStyle name="Comma 4 4 3 2 3" xfId="18846" xr:uid="{00000000-0005-0000-0000-000028120000}"/>
    <cellStyle name="Comma 4 4 3 2 3 2" xfId="38898" xr:uid="{00000000-0005-0000-0000-000029120000}"/>
    <cellStyle name="Comma 4 4 3 2 4" xfId="19242" xr:uid="{00000000-0005-0000-0000-00002A120000}"/>
    <cellStyle name="Comma 4 4 3 2 4 2" xfId="39294" xr:uid="{00000000-0005-0000-0000-00002B120000}"/>
    <cellStyle name="Comma 4 4 3 2 5" xfId="19638" xr:uid="{00000000-0005-0000-0000-00002C120000}"/>
    <cellStyle name="Comma 4 4 3 2 5 2" xfId="39690" xr:uid="{00000000-0005-0000-0000-00002D120000}"/>
    <cellStyle name="Comma 4 4 3 2 6" xfId="20034" xr:uid="{00000000-0005-0000-0000-00002E120000}"/>
    <cellStyle name="Comma 4 4 3 2 6 2" xfId="40086" xr:uid="{00000000-0005-0000-0000-00002F120000}"/>
    <cellStyle name="Comma 4 4 3 2 7" xfId="38106" xr:uid="{00000000-0005-0000-0000-000030120000}"/>
    <cellStyle name="Comma 4 4 3 3" xfId="18252" xr:uid="{00000000-0005-0000-0000-000031120000}"/>
    <cellStyle name="Comma 4 4 3 3 2" xfId="38304" xr:uid="{00000000-0005-0000-0000-000032120000}"/>
    <cellStyle name="Comma 4 4 3 4" xfId="18648" xr:uid="{00000000-0005-0000-0000-000033120000}"/>
    <cellStyle name="Comma 4 4 3 4 2" xfId="38700" xr:uid="{00000000-0005-0000-0000-000034120000}"/>
    <cellStyle name="Comma 4 4 3 5" xfId="19044" xr:uid="{00000000-0005-0000-0000-000035120000}"/>
    <cellStyle name="Comma 4 4 3 5 2" xfId="39096" xr:uid="{00000000-0005-0000-0000-000036120000}"/>
    <cellStyle name="Comma 4 4 3 6" xfId="19440" xr:uid="{00000000-0005-0000-0000-000037120000}"/>
    <cellStyle name="Comma 4 4 3 6 2" xfId="39492" xr:uid="{00000000-0005-0000-0000-000038120000}"/>
    <cellStyle name="Comma 4 4 3 7" xfId="19836" xr:uid="{00000000-0005-0000-0000-000039120000}"/>
    <cellStyle name="Comma 4 4 3 7 2" xfId="39888" xr:uid="{00000000-0005-0000-0000-00003A120000}"/>
    <cellStyle name="Comma 4 4 3 8" xfId="29076" xr:uid="{00000000-0005-0000-0000-00003B120000}"/>
    <cellStyle name="Comma 4 4 4" xfId="12770" xr:uid="{00000000-0005-0000-0000-00003C120000}"/>
    <cellStyle name="Comma 4 4 4 2" xfId="18318" xr:uid="{00000000-0005-0000-0000-00003D120000}"/>
    <cellStyle name="Comma 4 4 4 2 2" xfId="38370" xr:uid="{00000000-0005-0000-0000-00003E120000}"/>
    <cellStyle name="Comma 4 4 4 3" xfId="18714" xr:uid="{00000000-0005-0000-0000-00003F120000}"/>
    <cellStyle name="Comma 4 4 4 3 2" xfId="38766" xr:uid="{00000000-0005-0000-0000-000040120000}"/>
    <cellStyle name="Comma 4 4 4 4" xfId="19110" xr:uid="{00000000-0005-0000-0000-000041120000}"/>
    <cellStyle name="Comma 4 4 4 4 2" xfId="39162" xr:uid="{00000000-0005-0000-0000-000042120000}"/>
    <cellStyle name="Comma 4 4 4 5" xfId="19506" xr:uid="{00000000-0005-0000-0000-000043120000}"/>
    <cellStyle name="Comma 4 4 4 5 2" xfId="39558" xr:uid="{00000000-0005-0000-0000-000044120000}"/>
    <cellStyle name="Comma 4 4 4 6" xfId="19902" xr:uid="{00000000-0005-0000-0000-000045120000}"/>
    <cellStyle name="Comma 4 4 4 6 2" xfId="39954" xr:uid="{00000000-0005-0000-0000-000046120000}"/>
    <cellStyle name="Comma 4 4 4 7" xfId="32822" xr:uid="{00000000-0005-0000-0000-000047120000}"/>
    <cellStyle name="Comma 4 4 5" xfId="18120" xr:uid="{00000000-0005-0000-0000-000048120000}"/>
    <cellStyle name="Comma 4 4 5 2" xfId="38172" xr:uid="{00000000-0005-0000-0000-000049120000}"/>
    <cellStyle name="Comma 4 4 6" xfId="18516" xr:uid="{00000000-0005-0000-0000-00004A120000}"/>
    <cellStyle name="Comma 4 4 6 2" xfId="38568" xr:uid="{00000000-0005-0000-0000-00004B120000}"/>
    <cellStyle name="Comma 4 4 7" xfId="18912" xr:uid="{00000000-0005-0000-0000-00004C120000}"/>
    <cellStyle name="Comma 4 4 7 2" xfId="38964" xr:uid="{00000000-0005-0000-0000-00004D120000}"/>
    <cellStyle name="Comma 4 4 8" xfId="19308" xr:uid="{00000000-0005-0000-0000-00004E120000}"/>
    <cellStyle name="Comma 4 4 8 2" xfId="39360" xr:uid="{00000000-0005-0000-0000-00004F120000}"/>
    <cellStyle name="Comma 4 4 9" xfId="19704" xr:uid="{00000000-0005-0000-0000-000050120000}"/>
    <cellStyle name="Comma 4 4 9 2" xfId="39756" xr:uid="{00000000-0005-0000-0000-000051120000}"/>
    <cellStyle name="Comma 4 5" xfId="5234" xr:uid="{00000000-0005-0000-0000-000052120000}"/>
    <cellStyle name="Comma 4 5 2" xfId="14264" xr:uid="{00000000-0005-0000-0000-000053120000}"/>
    <cellStyle name="Comma 4 5 2 2" xfId="18340" xr:uid="{00000000-0005-0000-0000-000054120000}"/>
    <cellStyle name="Comma 4 5 2 2 2" xfId="38392" xr:uid="{00000000-0005-0000-0000-000055120000}"/>
    <cellStyle name="Comma 4 5 2 3" xfId="18736" xr:uid="{00000000-0005-0000-0000-000056120000}"/>
    <cellStyle name="Comma 4 5 2 3 2" xfId="38788" xr:uid="{00000000-0005-0000-0000-000057120000}"/>
    <cellStyle name="Comma 4 5 2 4" xfId="19132" xr:uid="{00000000-0005-0000-0000-000058120000}"/>
    <cellStyle name="Comma 4 5 2 4 2" xfId="39184" xr:uid="{00000000-0005-0000-0000-000059120000}"/>
    <cellStyle name="Comma 4 5 2 5" xfId="19528" xr:uid="{00000000-0005-0000-0000-00005A120000}"/>
    <cellStyle name="Comma 4 5 2 5 2" xfId="39580" xr:uid="{00000000-0005-0000-0000-00005B120000}"/>
    <cellStyle name="Comma 4 5 2 6" xfId="19924" xr:uid="{00000000-0005-0000-0000-00005C120000}"/>
    <cellStyle name="Comma 4 5 2 6 2" xfId="39976" xr:uid="{00000000-0005-0000-0000-00005D120000}"/>
    <cellStyle name="Comma 4 5 2 7" xfId="34316" xr:uid="{00000000-0005-0000-0000-00005E120000}"/>
    <cellStyle name="Comma 4 5 3" xfId="18142" xr:uid="{00000000-0005-0000-0000-00005F120000}"/>
    <cellStyle name="Comma 4 5 3 2" xfId="38194" xr:uid="{00000000-0005-0000-0000-000060120000}"/>
    <cellStyle name="Comma 4 5 4" xfId="18538" xr:uid="{00000000-0005-0000-0000-000061120000}"/>
    <cellStyle name="Comma 4 5 4 2" xfId="38590" xr:uid="{00000000-0005-0000-0000-000062120000}"/>
    <cellStyle name="Comma 4 5 5" xfId="18934" xr:uid="{00000000-0005-0000-0000-000063120000}"/>
    <cellStyle name="Comma 4 5 5 2" xfId="38986" xr:uid="{00000000-0005-0000-0000-000064120000}"/>
    <cellStyle name="Comma 4 5 6" xfId="19330" xr:uid="{00000000-0005-0000-0000-000065120000}"/>
    <cellStyle name="Comma 4 5 6 2" xfId="39382" xr:uid="{00000000-0005-0000-0000-000066120000}"/>
    <cellStyle name="Comma 4 5 7" xfId="19726" xr:uid="{00000000-0005-0000-0000-000067120000}"/>
    <cellStyle name="Comma 4 5 7 2" xfId="39778" xr:uid="{00000000-0005-0000-0000-000068120000}"/>
    <cellStyle name="Comma 4 5 8" xfId="25286" xr:uid="{00000000-0005-0000-0000-000069120000}"/>
    <cellStyle name="Comma 4 6" xfId="8980" xr:uid="{00000000-0005-0000-0000-00006A120000}"/>
    <cellStyle name="Comma 4 6 2" xfId="18010" xr:uid="{00000000-0005-0000-0000-00006B120000}"/>
    <cellStyle name="Comma 4 6 2 2" xfId="18406" xr:uid="{00000000-0005-0000-0000-00006C120000}"/>
    <cellStyle name="Comma 4 6 2 2 2" xfId="38458" xr:uid="{00000000-0005-0000-0000-00006D120000}"/>
    <cellStyle name="Comma 4 6 2 3" xfId="18802" xr:uid="{00000000-0005-0000-0000-00006E120000}"/>
    <cellStyle name="Comma 4 6 2 3 2" xfId="38854" xr:uid="{00000000-0005-0000-0000-00006F120000}"/>
    <cellStyle name="Comma 4 6 2 4" xfId="19198" xr:uid="{00000000-0005-0000-0000-000070120000}"/>
    <cellStyle name="Comma 4 6 2 4 2" xfId="39250" xr:uid="{00000000-0005-0000-0000-000071120000}"/>
    <cellStyle name="Comma 4 6 2 5" xfId="19594" xr:uid="{00000000-0005-0000-0000-000072120000}"/>
    <cellStyle name="Comma 4 6 2 5 2" xfId="39646" xr:uid="{00000000-0005-0000-0000-000073120000}"/>
    <cellStyle name="Comma 4 6 2 6" xfId="19990" xr:uid="{00000000-0005-0000-0000-000074120000}"/>
    <cellStyle name="Comma 4 6 2 6 2" xfId="40042" xr:uid="{00000000-0005-0000-0000-000075120000}"/>
    <cellStyle name="Comma 4 6 2 7" xfId="38062" xr:uid="{00000000-0005-0000-0000-000076120000}"/>
    <cellStyle name="Comma 4 6 3" xfId="18208" xr:uid="{00000000-0005-0000-0000-000077120000}"/>
    <cellStyle name="Comma 4 6 3 2" xfId="38260" xr:uid="{00000000-0005-0000-0000-000078120000}"/>
    <cellStyle name="Comma 4 6 4" xfId="18604" xr:uid="{00000000-0005-0000-0000-000079120000}"/>
    <cellStyle name="Comma 4 6 4 2" xfId="38656" xr:uid="{00000000-0005-0000-0000-00007A120000}"/>
    <cellStyle name="Comma 4 6 5" xfId="19000" xr:uid="{00000000-0005-0000-0000-00007B120000}"/>
    <cellStyle name="Comma 4 6 5 2" xfId="39052" xr:uid="{00000000-0005-0000-0000-00007C120000}"/>
    <cellStyle name="Comma 4 6 6" xfId="19396" xr:uid="{00000000-0005-0000-0000-00007D120000}"/>
    <cellStyle name="Comma 4 6 6 2" xfId="39448" xr:uid="{00000000-0005-0000-0000-00007E120000}"/>
    <cellStyle name="Comma 4 6 7" xfId="19792" xr:uid="{00000000-0005-0000-0000-00007F120000}"/>
    <cellStyle name="Comma 4 6 7 2" xfId="39844" xr:uid="{00000000-0005-0000-0000-000080120000}"/>
    <cellStyle name="Comma 4 6 8" xfId="29032" xr:uid="{00000000-0005-0000-0000-000081120000}"/>
    <cellStyle name="Comma 4 7" xfId="9782" xr:uid="{00000000-0005-0000-0000-000082120000}"/>
    <cellStyle name="Comma 4 7 2" xfId="18274" xr:uid="{00000000-0005-0000-0000-000083120000}"/>
    <cellStyle name="Comma 4 7 2 2" xfId="38326" xr:uid="{00000000-0005-0000-0000-000084120000}"/>
    <cellStyle name="Comma 4 7 3" xfId="18670" xr:uid="{00000000-0005-0000-0000-000085120000}"/>
    <cellStyle name="Comma 4 7 3 2" xfId="38722" xr:uid="{00000000-0005-0000-0000-000086120000}"/>
    <cellStyle name="Comma 4 7 4" xfId="19066" xr:uid="{00000000-0005-0000-0000-000087120000}"/>
    <cellStyle name="Comma 4 7 4 2" xfId="39118" xr:uid="{00000000-0005-0000-0000-000088120000}"/>
    <cellStyle name="Comma 4 7 5" xfId="19462" xr:uid="{00000000-0005-0000-0000-000089120000}"/>
    <cellStyle name="Comma 4 7 5 2" xfId="39514" xr:uid="{00000000-0005-0000-0000-00008A120000}"/>
    <cellStyle name="Comma 4 7 6" xfId="19858" xr:uid="{00000000-0005-0000-0000-00008B120000}"/>
    <cellStyle name="Comma 4 7 6 2" xfId="39910" xr:uid="{00000000-0005-0000-0000-00008C120000}"/>
    <cellStyle name="Comma 4 7 7" xfId="29834" xr:uid="{00000000-0005-0000-0000-00008D120000}"/>
    <cellStyle name="Comma 4 8" xfId="18076" xr:uid="{00000000-0005-0000-0000-00008E120000}"/>
    <cellStyle name="Comma 4 8 2" xfId="38128" xr:uid="{00000000-0005-0000-0000-00008F120000}"/>
    <cellStyle name="Comma 4 9" xfId="18472" xr:uid="{00000000-0005-0000-0000-000090120000}"/>
    <cellStyle name="Comma 4 9 2" xfId="38524" xr:uid="{00000000-0005-0000-0000-000091120000}"/>
    <cellStyle name="Comma 5" xfId="20056" xr:uid="{00000000-0005-0000-0000-000092120000}"/>
    <cellStyle name="Comma 5 2" xfId="40103" xr:uid="{00000000-0005-0000-0000-000093120000}"/>
    <cellStyle name="Hyperlink" xfId="3" builtinId="8"/>
    <cellStyle name="Normal" xfId="0" builtinId="0"/>
    <cellStyle name="Normal 10" xfId="20057" xr:uid="{00000000-0005-0000-0000-000096120000}"/>
    <cellStyle name="Normal 10 2" xfId="40104" xr:uid="{00000000-0005-0000-0000-000097120000}"/>
    <cellStyle name="Normal 11" xfId="40106" xr:uid="{DBD3673C-DC0F-4F32-BE44-3ED94E24C5CD}"/>
    <cellStyle name="Normal 2" xfId="1" xr:uid="{00000000-0005-0000-0000-000098120000}"/>
    <cellStyle name="Normal 2 10" xfId="127" xr:uid="{00000000-0005-0000-0000-000099120000}"/>
    <cellStyle name="Normal 2 10 10" xfId="20179" xr:uid="{00000000-0005-0000-0000-00009A120000}"/>
    <cellStyle name="Normal 2 10 2" xfId="313" xr:uid="{00000000-0005-0000-0000-00009B120000}"/>
    <cellStyle name="Normal 2 10 2 2" xfId="1056" xr:uid="{00000000-0005-0000-0000-00009C120000}"/>
    <cellStyle name="Normal 2 10 2 2 2" xfId="2550" xr:uid="{00000000-0005-0000-0000-00009D120000}"/>
    <cellStyle name="Normal 2 10 2 2 2 2" xfId="7032" xr:uid="{00000000-0005-0000-0000-00009E120000}"/>
    <cellStyle name="Normal 2 10 2 2 2 2 2" xfId="16062" xr:uid="{00000000-0005-0000-0000-00009F120000}"/>
    <cellStyle name="Normal 2 10 2 2 2 2 2 2" xfId="36114" xr:uid="{00000000-0005-0000-0000-0000A0120000}"/>
    <cellStyle name="Normal 2 10 2 2 2 2 3" xfId="27084" xr:uid="{00000000-0005-0000-0000-0000A1120000}"/>
    <cellStyle name="Normal 2 10 2 2 2 3" xfId="11580" xr:uid="{00000000-0005-0000-0000-0000A2120000}"/>
    <cellStyle name="Normal 2 10 2 2 2 3 2" xfId="31632" xr:uid="{00000000-0005-0000-0000-0000A3120000}"/>
    <cellStyle name="Normal 2 10 2 2 2 4" xfId="22602" xr:uid="{00000000-0005-0000-0000-0000A4120000}"/>
    <cellStyle name="Normal 2 10 2 2 3" xfId="4044" xr:uid="{00000000-0005-0000-0000-0000A5120000}"/>
    <cellStyle name="Normal 2 10 2 2 3 2" xfId="8526" xr:uid="{00000000-0005-0000-0000-0000A6120000}"/>
    <cellStyle name="Normal 2 10 2 2 3 2 2" xfId="17556" xr:uid="{00000000-0005-0000-0000-0000A7120000}"/>
    <cellStyle name="Normal 2 10 2 2 3 2 2 2" xfId="37608" xr:uid="{00000000-0005-0000-0000-0000A8120000}"/>
    <cellStyle name="Normal 2 10 2 2 3 2 3" xfId="28578" xr:uid="{00000000-0005-0000-0000-0000A9120000}"/>
    <cellStyle name="Normal 2 10 2 2 3 3" xfId="13074" xr:uid="{00000000-0005-0000-0000-0000AA120000}"/>
    <cellStyle name="Normal 2 10 2 2 3 3 2" xfId="33126" xr:uid="{00000000-0005-0000-0000-0000AB120000}"/>
    <cellStyle name="Normal 2 10 2 2 3 4" xfId="24096" xr:uid="{00000000-0005-0000-0000-0000AC120000}"/>
    <cellStyle name="Normal 2 10 2 2 4" xfId="5538" xr:uid="{00000000-0005-0000-0000-0000AD120000}"/>
    <cellStyle name="Normal 2 10 2 2 4 2" xfId="14568" xr:uid="{00000000-0005-0000-0000-0000AE120000}"/>
    <cellStyle name="Normal 2 10 2 2 4 2 2" xfId="34620" xr:uid="{00000000-0005-0000-0000-0000AF120000}"/>
    <cellStyle name="Normal 2 10 2 2 4 3" xfId="25590" xr:uid="{00000000-0005-0000-0000-0000B0120000}"/>
    <cellStyle name="Normal 2 10 2 2 5" xfId="10086" xr:uid="{00000000-0005-0000-0000-0000B1120000}"/>
    <cellStyle name="Normal 2 10 2 2 5 2" xfId="30138" xr:uid="{00000000-0005-0000-0000-0000B2120000}"/>
    <cellStyle name="Normal 2 10 2 2 6" xfId="21108" xr:uid="{00000000-0005-0000-0000-0000B3120000}"/>
    <cellStyle name="Normal 2 10 2 3" xfId="1807" xr:uid="{00000000-0005-0000-0000-0000B4120000}"/>
    <cellStyle name="Normal 2 10 2 3 2" xfId="6289" xr:uid="{00000000-0005-0000-0000-0000B5120000}"/>
    <cellStyle name="Normal 2 10 2 3 2 2" xfId="15319" xr:uid="{00000000-0005-0000-0000-0000B6120000}"/>
    <cellStyle name="Normal 2 10 2 3 2 2 2" xfId="35371" xr:uid="{00000000-0005-0000-0000-0000B7120000}"/>
    <cellStyle name="Normal 2 10 2 3 2 3" xfId="26341" xr:uid="{00000000-0005-0000-0000-0000B8120000}"/>
    <cellStyle name="Normal 2 10 2 3 3" xfId="10837" xr:uid="{00000000-0005-0000-0000-0000B9120000}"/>
    <cellStyle name="Normal 2 10 2 3 3 2" xfId="30889" xr:uid="{00000000-0005-0000-0000-0000BA120000}"/>
    <cellStyle name="Normal 2 10 2 3 4" xfId="21859" xr:uid="{00000000-0005-0000-0000-0000BB120000}"/>
    <cellStyle name="Normal 2 10 2 4" xfId="3301" xr:uid="{00000000-0005-0000-0000-0000BC120000}"/>
    <cellStyle name="Normal 2 10 2 4 2" xfId="7783" xr:uid="{00000000-0005-0000-0000-0000BD120000}"/>
    <cellStyle name="Normal 2 10 2 4 2 2" xfId="16813" xr:uid="{00000000-0005-0000-0000-0000BE120000}"/>
    <cellStyle name="Normal 2 10 2 4 2 2 2" xfId="36865" xr:uid="{00000000-0005-0000-0000-0000BF120000}"/>
    <cellStyle name="Normal 2 10 2 4 2 3" xfId="27835" xr:uid="{00000000-0005-0000-0000-0000C0120000}"/>
    <cellStyle name="Normal 2 10 2 4 3" xfId="12331" xr:uid="{00000000-0005-0000-0000-0000C1120000}"/>
    <cellStyle name="Normal 2 10 2 4 3 2" xfId="32383" xr:uid="{00000000-0005-0000-0000-0000C2120000}"/>
    <cellStyle name="Normal 2 10 2 4 4" xfId="23353" xr:uid="{00000000-0005-0000-0000-0000C3120000}"/>
    <cellStyle name="Normal 2 10 2 5" xfId="4795" xr:uid="{00000000-0005-0000-0000-0000C4120000}"/>
    <cellStyle name="Normal 2 10 2 5 2" xfId="13825" xr:uid="{00000000-0005-0000-0000-0000C5120000}"/>
    <cellStyle name="Normal 2 10 2 5 2 2" xfId="33877" xr:uid="{00000000-0005-0000-0000-0000C6120000}"/>
    <cellStyle name="Normal 2 10 2 5 3" xfId="24847" xr:uid="{00000000-0005-0000-0000-0000C7120000}"/>
    <cellStyle name="Normal 2 10 2 6" xfId="9343" xr:uid="{00000000-0005-0000-0000-0000C8120000}"/>
    <cellStyle name="Normal 2 10 2 6 2" xfId="29395" xr:uid="{00000000-0005-0000-0000-0000C9120000}"/>
    <cellStyle name="Normal 2 10 2 7" xfId="20365" xr:uid="{00000000-0005-0000-0000-0000CA120000}"/>
    <cellStyle name="Normal 2 10 3" xfId="499" xr:uid="{00000000-0005-0000-0000-0000CB120000}"/>
    <cellStyle name="Normal 2 10 3 2" xfId="1246" xr:uid="{00000000-0005-0000-0000-0000CC120000}"/>
    <cellStyle name="Normal 2 10 3 2 2" xfId="2740" xr:uid="{00000000-0005-0000-0000-0000CD120000}"/>
    <cellStyle name="Normal 2 10 3 2 2 2" xfId="7222" xr:uid="{00000000-0005-0000-0000-0000CE120000}"/>
    <cellStyle name="Normal 2 10 3 2 2 2 2" xfId="16252" xr:uid="{00000000-0005-0000-0000-0000CF120000}"/>
    <cellStyle name="Normal 2 10 3 2 2 2 2 2" xfId="36304" xr:uid="{00000000-0005-0000-0000-0000D0120000}"/>
    <cellStyle name="Normal 2 10 3 2 2 2 3" xfId="27274" xr:uid="{00000000-0005-0000-0000-0000D1120000}"/>
    <cellStyle name="Normal 2 10 3 2 2 3" xfId="11770" xr:uid="{00000000-0005-0000-0000-0000D2120000}"/>
    <cellStyle name="Normal 2 10 3 2 2 3 2" xfId="31822" xr:uid="{00000000-0005-0000-0000-0000D3120000}"/>
    <cellStyle name="Normal 2 10 3 2 2 4" xfId="22792" xr:uid="{00000000-0005-0000-0000-0000D4120000}"/>
    <cellStyle name="Normal 2 10 3 2 3" xfId="4234" xr:uid="{00000000-0005-0000-0000-0000D5120000}"/>
    <cellStyle name="Normal 2 10 3 2 3 2" xfId="8716" xr:uid="{00000000-0005-0000-0000-0000D6120000}"/>
    <cellStyle name="Normal 2 10 3 2 3 2 2" xfId="17746" xr:uid="{00000000-0005-0000-0000-0000D7120000}"/>
    <cellStyle name="Normal 2 10 3 2 3 2 2 2" xfId="37798" xr:uid="{00000000-0005-0000-0000-0000D8120000}"/>
    <cellStyle name="Normal 2 10 3 2 3 2 3" xfId="28768" xr:uid="{00000000-0005-0000-0000-0000D9120000}"/>
    <cellStyle name="Normal 2 10 3 2 3 3" xfId="13264" xr:uid="{00000000-0005-0000-0000-0000DA120000}"/>
    <cellStyle name="Normal 2 10 3 2 3 3 2" xfId="33316" xr:uid="{00000000-0005-0000-0000-0000DB120000}"/>
    <cellStyle name="Normal 2 10 3 2 3 4" xfId="24286" xr:uid="{00000000-0005-0000-0000-0000DC120000}"/>
    <cellStyle name="Normal 2 10 3 2 4" xfId="5728" xr:uid="{00000000-0005-0000-0000-0000DD120000}"/>
    <cellStyle name="Normal 2 10 3 2 4 2" xfId="14758" xr:uid="{00000000-0005-0000-0000-0000DE120000}"/>
    <cellStyle name="Normal 2 10 3 2 4 2 2" xfId="34810" xr:uid="{00000000-0005-0000-0000-0000DF120000}"/>
    <cellStyle name="Normal 2 10 3 2 4 3" xfId="25780" xr:uid="{00000000-0005-0000-0000-0000E0120000}"/>
    <cellStyle name="Normal 2 10 3 2 5" xfId="10276" xr:uid="{00000000-0005-0000-0000-0000E1120000}"/>
    <cellStyle name="Normal 2 10 3 2 5 2" xfId="30328" xr:uid="{00000000-0005-0000-0000-0000E2120000}"/>
    <cellStyle name="Normal 2 10 3 2 6" xfId="21298" xr:uid="{00000000-0005-0000-0000-0000E3120000}"/>
    <cellStyle name="Normal 2 10 3 3" xfId="1993" xr:uid="{00000000-0005-0000-0000-0000E4120000}"/>
    <cellStyle name="Normal 2 10 3 3 2" xfId="6475" xr:uid="{00000000-0005-0000-0000-0000E5120000}"/>
    <cellStyle name="Normal 2 10 3 3 2 2" xfId="15505" xr:uid="{00000000-0005-0000-0000-0000E6120000}"/>
    <cellStyle name="Normal 2 10 3 3 2 2 2" xfId="35557" xr:uid="{00000000-0005-0000-0000-0000E7120000}"/>
    <cellStyle name="Normal 2 10 3 3 2 3" xfId="26527" xr:uid="{00000000-0005-0000-0000-0000E8120000}"/>
    <cellStyle name="Normal 2 10 3 3 3" xfId="11023" xr:uid="{00000000-0005-0000-0000-0000E9120000}"/>
    <cellStyle name="Normal 2 10 3 3 3 2" xfId="31075" xr:uid="{00000000-0005-0000-0000-0000EA120000}"/>
    <cellStyle name="Normal 2 10 3 3 4" xfId="22045" xr:uid="{00000000-0005-0000-0000-0000EB120000}"/>
    <cellStyle name="Normal 2 10 3 4" xfId="3487" xr:uid="{00000000-0005-0000-0000-0000EC120000}"/>
    <cellStyle name="Normal 2 10 3 4 2" xfId="7969" xr:uid="{00000000-0005-0000-0000-0000ED120000}"/>
    <cellStyle name="Normal 2 10 3 4 2 2" xfId="16999" xr:uid="{00000000-0005-0000-0000-0000EE120000}"/>
    <cellStyle name="Normal 2 10 3 4 2 2 2" xfId="37051" xr:uid="{00000000-0005-0000-0000-0000EF120000}"/>
    <cellStyle name="Normal 2 10 3 4 2 3" xfId="28021" xr:uid="{00000000-0005-0000-0000-0000F0120000}"/>
    <cellStyle name="Normal 2 10 3 4 3" xfId="12517" xr:uid="{00000000-0005-0000-0000-0000F1120000}"/>
    <cellStyle name="Normal 2 10 3 4 3 2" xfId="32569" xr:uid="{00000000-0005-0000-0000-0000F2120000}"/>
    <cellStyle name="Normal 2 10 3 4 4" xfId="23539" xr:uid="{00000000-0005-0000-0000-0000F3120000}"/>
    <cellStyle name="Normal 2 10 3 5" xfId="4981" xr:uid="{00000000-0005-0000-0000-0000F4120000}"/>
    <cellStyle name="Normal 2 10 3 5 2" xfId="14011" xr:uid="{00000000-0005-0000-0000-0000F5120000}"/>
    <cellStyle name="Normal 2 10 3 5 2 2" xfId="34063" xr:uid="{00000000-0005-0000-0000-0000F6120000}"/>
    <cellStyle name="Normal 2 10 3 5 3" xfId="25033" xr:uid="{00000000-0005-0000-0000-0000F7120000}"/>
    <cellStyle name="Normal 2 10 3 6" xfId="9529" xr:uid="{00000000-0005-0000-0000-0000F8120000}"/>
    <cellStyle name="Normal 2 10 3 6 2" xfId="29581" xr:uid="{00000000-0005-0000-0000-0000F9120000}"/>
    <cellStyle name="Normal 2 10 3 7" xfId="20551" xr:uid="{00000000-0005-0000-0000-0000FA120000}"/>
    <cellStyle name="Normal 2 10 4" xfId="685" xr:uid="{00000000-0005-0000-0000-0000FB120000}"/>
    <cellStyle name="Normal 2 10 4 2" xfId="1432" xr:uid="{00000000-0005-0000-0000-0000FC120000}"/>
    <cellStyle name="Normal 2 10 4 2 2" xfId="2926" xr:uid="{00000000-0005-0000-0000-0000FD120000}"/>
    <cellStyle name="Normal 2 10 4 2 2 2" xfId="7408" xr:uid="{00000000-0005-0000-0000-0000FE120000}"/>
    <cellStyle name="Normal 2 10 4 2 2 2 2" xfId="16438" xr:uid="{00000000-0005-0000-0000-0000FF120000}"/>
    <cellStyle name="Normal 2 10 4 2 2 2 2 2" xfId="36490" xr:uid="{00000000-0005-0000-0000-000000130000}"/>
    <cellStyle name="Normal 2 10 4 2 2 2 3" xfId="27460" xr:uid="{00000000-0005-0000-0000-000001130000}"/>
    <cellStyle name="Normal 2 10 4 2 2 3" xfId="11956" xr:uid="{00000000-0005-0000-0000-000002130000}"/>
    <cellStyle name="Normal 2 10 4 2 2 3 2" xfId="32008" xr:uid="{00000000-0005-0000-0000-000003130000}"/>
    <cellStyle name="Normal 2 10 4 2 2 4" xfId="22978" xr:uid="{00000000-0005-0000-0000-000004130000}"/>
    <cellStyle name="Normal 2 10 4 2 3" xfId="4420" xr:uid="{00000000-0005-0000-0000-000005130000}"/>
    <cellStyle name="Normal 2 10 4 2 3 2" xfId="8902" xr:uid="{00000000-0005-0000-0000-000006130000}"/>
    <cellStyle name="Normal 2 10 4 2 3 2 2" xfId="17932" xr:uid="{00000000-0005-0000-0000-000007130000}"/>
    <cellStyle name="Normal 2 10 4 2 3 2 2 2" xfId="37984" xr:uid="{00000000-0005-0000-0000-000008130000}"/>
    <cellStyle name="Normal 2 10 4 2 3 2 3" xfId="28954" xr:uid="{00000000-0005-0000-0000-000009130000}"/>
    <cellStyle name="Normal 2 10 4 2 3 3" xfId="13450" xr:uid="{00000000-0005-0000-0000-00000A130000}"/>
    <cellStyle name="Normal 2 10 4 2 3 3 2" xfId="33502" xr:uid="{00000000-0005-0000-0000-00000B130000}"/>
    <cellStyle name="Normal 2 10 4 2 3 4" xfId="24472" xr:uid="{00000000-0005-0000-0000-00000C130000}"/>
    <cellStyle name="Normal 2 10 4 2 4" xfId="5914" xr:uid="{00000000-0005-0000-0000-00000D130000}"/>
    <cellStyle name="Normal 2 10 4 2 4 2" xfId="14944" xr:uid="{00000000-0005-0000-0000-00000E130000}"/>
    <cellStyle name="Normal 2 10 4 2 4 2 2" xfId="34996" xr:uid="{00000000-0005-0000-0000-00000F130000}"/>
    <cellStyle name="Normal 2 10 4 2 4 3" xfId="25966" xr:uid="{00000000-0005-0000-0000-000010130000}"/>
    <cellStyle name="Normal 2 10 4 2 5" xfId="10462" xr:uid="{00000000-0005-0000-0000-000011130000}"/>
    <cellStyle name="Normal 2 10 4 2 5 2" xfId="30514" xr:uid="{00000000-0005-0000-0000-000012130000}"/>
    <cellStyle name="Normal 2 10 4 2 6" xfId="21484" xr:uid="{00000000-0005-0000-0000-000013130000}"/>
    <cellStyle name="Normal 2 10 4 3" xfId="2179" xr:uid="{00000000-0005-0000-0000-000014130000}"/>
    <cellStyle name="Normal 2 10 4 3 2" xfId="6661" xr:uid="{00000000-0005-0000-0000-000015130000}"/>
    <cellStyle name="Normal 2 10 4 3 2 2" xfId="15691" xr:uid="{00000000-0005-0000-0000-000016130000}"/>
    <cellStyle name="Normal 2 10 4 3 2 2 2" xfId="35743" xr:uid="{00000000-0005-0000-0000-000017130000}"/>
    <cellStyle name="Normal 2 10 4 3 2 3" xfId="26713" xr:uid="{00000000-0005-0000-0000-000018130000}"/>
    <cellStyle name="Normal 2 10 4 3 3" xfId="11209" xr:uid="{00000000-0005-0000-0000-000019130000}"/>
    <cellStyle name="Normal 2 10 4 3 3 2" xfId="31261" xr:uid="{00000000-0005-0000-0000-00001A130000}"/>
    <cellStyle name="Normal 2 10 4 3 4" xfId="22231" xr:uid="{00000000-0005-0000-0000-00001B130000}"/>
    <cellStyle name="Normal 2 10 4 4" xfId="3673" xr:uid="{00000000-0005-0000-0000-00001C130000}"/>
    <cellStyle name="Normal 2 10 4 4 2" xfId="8155" xr:uid="{00000000-0005-0000-0000-00001D130000}"/>
    <cellStyle name="Normal 2 10 4 4 2 2" xfId="17185" xr:uid="{00000000-0005-0000-0000-00001E130000}"/>
    <cellStyle name="Normal 2 10 4 4 2 2 2" xfId="37237" xr:uid="{00000000-0005-0000-0000-00001F130000}"/>
    <cellStyle name="Normal 2 10 4 4 2 3" xfId="28207" xr:uid="{00000000-0005-0000-0000-000020130000}"/>
    <cellStyle name="Normal 2 10 4 4 3" xfId="12703" xr:uid="{00000000-0005-0000-0000-000021130000}"/>
    <cellStyle name="Normal 2 10 4 4 3 2" xfId="32755" xr:uid="{00000000-0005-0000-0000-000022130000}"/>
    <cellStyle name="Normal 2 10 4 4 4" xfId="23725" xr:uid="{00000000-0005-0000-0000-000023130000}"/>
    <cellStyle name="Normal 2 10 4 5" xfId="5167" xr:uid="{00000000-0005-0000-0000-000024130000}"/>
    <cellStyle name="Normal 2 10 4 5 2" xfId="14197" xr:uid="{00000000-0005-0000-0000-000025130000}"/>
    <cellStyle name="Normal 2 10 4 5 2 2" xfId="34249" xr:uid="{00000000-0005-0000-0000-000026130000}"/>
    <cellStyle name="Normal 2 10 4 5 3" xfId="25219" xr:uid="{00000000-0005-0000-0000-000027130000}"/>
    <cellStyle name="Normal 2 10 4 6" xfId="9715" xr:uid="{00000000-0005-0000-0000-000028130000}"/>
    <cellStyle name="Normal 2 10 4 6 2" xfId="29767" xr:uid="{00000000-0005-0000-0000-000029130000}"/>
    <cellStyle name="Normal 2 10 4 7" xfId="20737" xr:uid="{00000000-0005-0000-0000-00002A130000}"/>
    <cellStyle name="Normal 2 10 5" xfId="872" xr:uid="{00000000-0005-0000-0000-00002B130000}"/>
    <cellStyle name="Normal 2 10 5 2" xfId="2366" xr:uid="{00000000-0005-0000-0000-00002C130000}"/>
    <cellStyle name="Normal 2 10 5 2 2" xfId="6848" xr:uid="{00000000-0005-0000-0000-00002D130000}"/>
    <cellStyle name="Normal 2 10 5 2 2 2" xfId="15878" xr:uid="{00000000-0005-0000-0000-00002E130000}"/>
    <cellStyle name="Normal 2 10 5 2 2 2 2" xfId="35930" xr:uid="{00000000-0005-0000-0000-00002F130000}"/>
    <cellStyle name="Normal 2 10 5 2 2 3" xfId="26900" xr:uid="{00000000-0005-0000-0000-000030130000}"/>
    <cellStyle name="Normal 2 10 5 2 3" xfId="11396" xr:uid="{00000000-0005-0000-0000-000031130000}"/>
    <cellStyle name="Normal 2 10 5 2 3 2" xfId="31448" xr:uid="{00000000-0005-0000-0000-000032130000}"/>
    <cellStyle name="Normal 2 10 5 2 4" xfId="22418" xr:uid="{00000000-0005-0000-0000-000033130000}"/>
    <cellStyle name="Normal 2 10 5 3" xfId="3860" xr:uid="{00000000-0005-0000-0000-000034130000}"/>
    <cellStyle name="Normal 2 10 5 3 2" xfId="8342" xr:uid="{00000000-0005-0000-0000-000035130000}"/>
    <cellStyle name="Normal 2 10 5 3 2 2" xfId="17372" xr:uid="{00000000-0005-0000-0000-000036130000}"/>
    <cellStyle name="Normal 2 10 5 3 2 2 2" xfId="37424" xr:uid="{00000000-0005-0000-0000-000037130000}"/>
    <cellStyle name="Normal 2 10 5 3 2 3" xfId="28394" xr:uid="{00000000-0005-0000-0000-000038130000}"/>
    <cellStyle name="Normal 2 10 5 3 3" xfId="12890" xr:uid="{00000000-0005-0000-0000-000039130000}"/>
    <cellStyle name="Normal 2 10 5 3 3 2" xfId="32942" xr:uid="{00000000-0005-0000-0000-00003A130000}"/>
    <cellStyle name="Normal 2 10 5 3 4" xfId="23912" xr:uid="{00000000-0005-0000-0000-00003B130000}"/>
    <cellStyle name="Normal 2 10 5 4" xfId="5354" xr:uid="{00000000-0005-0000-0000-00003C130000}"/>
    <cellStyle name="Normal 2 10 5 4 2" xfId="14384" xr:uid="{00000000-0005-0000-0000-00003D130000}"/>
    <cellStyle name="Normal 2 10 5 4 2 2" xfId="34436" xr:uid="{00000000-0005-0000-0000-00003E130000}"/>
    <cellStyle name="Normal 2 10 5 4 3" xfId="25406" xr:uid="{00000000-0005-0000-0000-00003F130000}"/>
    <cellStyle name="Normal 2 10 5 5" xfId="9902" xr:uid="{00000000-0005-0000-0000-000040130000}"/>
    <cellStyle name="Normal 2 10 5 5 2" xfId="29954" xr:uid="{00000000-0005-0000-0000-000041130000}"/>
    <cellStyle name="Normal 2 10 5 6" xfId="20924" xr:uid="{00000000-0005-0000-0000-000042130000}"/>
    <cellStyle name="Normal 2 10 6" xfId="1621" xr:uid="{00000000-0005-0000-0000-000043130000}"/>
    <cellStyle name="Normal 2 10 6 2" xfId="6103" xr:uid="{00000000-0005-0000-0000-000044130000}"/>
    <cellStyle name="Normal 2 10 6 2 2" xfId="15133" xr:uid="{00000000-0005-0000-0000-000045130000}"/>
    <cellStyle name="Normal 2 10 6 2 2 2" xfId="35185" xr:uid="{00000000-0005-0000-0000-000046130000}"/>
    <cellStyle name="Normal 2 10 6 2 3" xfId="26155" xr:uid="{00000000-0005-0000-0000-000047130000}"/>
    <cellStyle name="Normal 2 10 6 3" xfId="10651" xr:uid="{00000000-0005-0000-0000-000048130000}"/>
    <cellStyle name="Normal 2 10 6 3 2" xfId="30703" xr:uid="{00000000-0005-0000-0000-000049130000}"/>
    <cellStyle name="Normal 2 10 6 4" xfId="21673" xr:uid="{00000000-0005-0000-0000-00004A130000}"/>
    <cellStyle name="Normal 2 10 7" xfId="3115" xr:uid="{00000000-0005-0000-0000-00004B130000}"/>
    <cellStyle name="Normal 2 10 7 2" xfId="7597" xr:uid="{00000000-0005-0000-0000-00004C130000}"/>
    <cellStyle name="Normal 2 10 7 2 2" xfId="16627" xr:uid="{00000000-0005-0000-0000-00004D130000}"/>
    <cellStyle name="Normal 2 10 7 2 2 2" xfId="36679" xr:uid="{00000000-0005-0000-0000-00004E130000}"/>
    <cellStyle name="Normal 2 10 7 2 3" xfId="27649" xr:uid="{00000000-0005-0000-0000-00004F130000}"/>
    <cellStyle name="Normal 2 10 7 3" xfId="12145" xr:uid="{00000000-0005-0000-0000-000050130000}"/>
    <cellStyle name="Normal 2 10 7 3 2" xfId="32197" xr:uid="{00000000-0005-0000-0000-000051130000}"/>
    <cellStyle name="Normal 2 10 7 4" xfId="23167" xr:uid="{00000000-0005-0000-0000-000052130000}"/>
    <cellStyle name="Normal 2 10 8" xfId="4609" xr:uid="{00000000-0005-0000-0000-000053130000}"/>
    <cellStyle name="Normal 2 10 8 2" xfId="13639" xr:uid="{00000000-0005-0000-0000-000054130000}"/>
    <cellStyle name="Normal 2 10 8 2 2" xfId="33691" xr:uid="{00000000-0005-0000-0000-000055130000}"/>
    <cellStyle name="Normal 2 10 8 3" xfId="24661" xr:uid="{00000000-0005-0000-0000-000056130000}"/>
    <cellStyle name="Normal 2 10 9" xfId="9157" xr:uid="{00000000-0005-0000-0000-000057130000}"/>
    <cellStyle name="Normal 2 10 9 2" xfId="29209" xr:uid="{00000000-0005-0000-0000-000058130000}"/>
    <cellStyle name="Normal 2 11" xfId="150" xr:uid="{00000000-0005-0000-0000-000059130000}"/>
    <cellStyle name="Normal 2 11 10" xfId="20202" xr:uid="{00000000-0005-0000-0000-00005A130000}"/>
    <cellStyle name="Normal 2 11 2" xfId="336" xr:uid="{00000000-0005-0000-0000-00005B130000}"/>
    <cellStyle name="Normal 2 11 2 2" xfId="1079" xr:uid="{00000000-0005-0000-0000-00005C130000}"/>
    <cellStyle name="Normal 2 11 2 2 2" xfId="2573" xr:uid="{00000000-0005-0000-0000-00005D130000}"/>
    <cellStyle name="Normal 2 11 2 2 2 2" xfId="7055" xr:uid="{00000000-0005-0000-0000-00005E130000}"/>
    <cellStyle name="Normal 2 11 2 2 2 2 2" xfId="16085" xr:uid="{00000000-0005-0000-0000-00005F130000}"/>
    <cellStyle name="Normal 2 11 2 2 2 2 2 2" xfId="36137" xr:uid="{00000000-0005-0000-0000-000060130000}"/>
    <cellStyle name="Normal 2 11 2 2 2 2 3" xfId="27107" xr:uid="{00000000-0005-0000-0000-000061130000}"/>
    <cellStyle name="Normal 2 11 2 2 2 3" xfId="11603" xr:uid="{00000000-0005-0000-0000-000062130000}"/>
    <cellStyle name="Normal 2 11 2 2 2 3 2" xfId="31655" xr:uid="{00000000-0005-0000-0000-000063130000}"/>
    <cellStyle name="Normal 2 11 2 2 2 4" xfId="22625" xr:uid="{00000000-0005-0000-0000-000064130000}"/>
    <cellStyle name="Normal 2 11 2 2 3" xfId="4067" xr:uid="{00000000-0005-0000-0000-000065130000}"/>
    <cellStyle name="Normal 2 11 2 2 3 2" xfId="8549" xr:uid="{00000000-0005-0000-0000-000066130000}"/>
    <cellStyle name="Normal 2 11 2 2 3 2 2" xfId="17579" xr:uid="{00000000-0005-0000-0000-000067130000}"/>
    <cellStyle name="Normal 2 11 2 2 3 2 2 2" xfId="37631" xr:uid="{00000000-0005-0000-0000-000068130000}"/>
    <cellStyle name="Normal 2 11 2 2 3 2 3" xfId="28601" xr:uid="{00000000-0005-0000-0000-000069130000}"/>
    <cellStyle name="Normal 2 11 2 2 3 3" xfId="13097" xr:uid="{00000000-0005-0000-0000-00006A130000}"/>
    <cellStyle name="Normal 2 11 2 2 3 3 2" xfId="33149" xr:uid="{00000000-0005-0000-0000-00006B130000}"/>
    <cellStyle name="Normal 2 11 2 2 3 4" xfId="24119" xr:uid="{00000000-0005-0000-0000-00006C130000}"/>
    <cellStyle name="Normal 2 11 2 2 4" xfId="5561" xr:uid="{00000000-0005-0000-0000-00006D130000}"/>
    <cellStyle name="Normal 2 11 2 2 4 2" xfId="14591" xr:uid="{00000000-0005-0000-0000-00006E130000}"/>
    <cellStyle name="Normal 2 11 2 2 4 2 2" xfId="34643" xr:uid="{00000000-0005-0000-0000-00006F130000}"/>
    <cellStyle name="Normal 2 11 2 2 4 3" xfId="25613" xr:uid="{00000000-0005-0000-0000-000070130000}"/>
    <cellStyle name="Normal 2 11 2 2 5" xfId="10109" xr:uid="{00000000-0005-0000-0000-000071130000}"/>
    <cellStyle name="Normal 2 11 2 2 5 2" xfId="30161" xr:uid="{00000000-0005-0000-0000-000072130000}"/>
    <cellStyle name="Normal 2 11 2 2 6" xfId="21131" xr:uid="{00000000-0005-0000-0000-000073130000}"/>
    <cellStyle name="Normal 2 11 2 3" xfId="1830" xr:uid="{00000000-0005-0000-0000-000074130000}"/>
    <cellStyle name="Normal 2 11 2 3 2" xfId="6312" xr:uid="{00000000-0005-0000-0000-000075130000}"/>
    <cellStyle name="Normal 2 11 2 3 2 2" xfId="15342" xr:uid="{00000000-0005-0000-0000-000076130000}"/>
    <cellStyle name="Normal 2 11 2 3 2 2 2" xfId="35394" xr:uid="{00000000-0005-0000-0000-000077130000}"/>
    <cellStyle name="Normal 2 11 2 3 2 3" xfId="26364" xr:uid="{00000000-0005-0000-0000-000078130000}"/>
    <cellStyle name="Normal 2 11 2 3 3" xfId="10860" xr:uid="{00000000-0005-0000-0000-000079130000}"/>
    <cellStyle name="Normal 2 11 2 3 3 2" xfId="30912" xr:uid="{00000000-0005-0000-0000-00007A130000}"/>
    <cellStyle name="Normal 2 11 2 3 4" xfId="21882" xr:uid="{00000000-0005-0000-0000-00007B130000}"/>
    <cellStyle name="Normal 2 11 2 4" xfId="3324" xr:uid="{00000000-0005-0000-0000-00007C130000}"/>
    <cellStyle name="Normal 2 11 2 4 2" xfId="7806" xr:uid="{00000000-0005-0000-0000-00007D130000}"/>
    <cellStyle name="Normal 2 11 2 4 2 2" xfId="16836" xr:uid="{00000000-0005-0000-0000-00007E130000}"/>
    <cellStyle name="Normal 2 11 2 4 2 2 2" xfId="36888" xr:uid="{00000000-0005-0000-0000-00007F130000}"/>
    <cellStyle name="Normal 2 11 2 4 2 3" xfId="27858" xr:uid="{00000000-0005-0000-0000-000080130000}"/>
    <cellStyle name="Normal 2 11 2 4 3" xfId="12354" xr:uid="{00000000-0005-0000-0000-000081130000}"/>
    <cellStyle name="Normal 2 11 2 4 3 2" xfId="32406" xr:uid="{00000000-0005-0000-0000-000082130000}"/>
    <cellStyle name="Normal 2 11 2 4 4" xfId="23376" xr:uid="{00000000-0005-0000-0000-000083130000}"/>
    <cellStyle name="Normal 2 11 2 5" xfId="4818" xr:uid="{00000000-0005-0000-0000-000084130000}"/>
    <cellStyle name="Normal 2 11 2 5 2" xfId="13848" xr:uid="{00000000-0005-0000-0000-000085130000}"/>
    <cellStyle name="Normal 2 11 2 5 2 2" xfId="33900" xr:uid="{00000000-0005-0000-0000-000086130000}"/>
    <cellStyle name="Normal 2 11 2 5 3" xfId="24870" xr:uid="{00000000-0005-0000-0000-000087130000}"/>
    <cellStyle name="Normal 2 11 2 6" xfId="9366" xr:uid="{00000000-0005-0000-0000-000088130000}"/>
    <cellStyle name="Normal 2 11 2 6 2" xfId="29418" xr:uid="{00000000-0005-0000-0000-000089130000}"/>
    <cellStyle name="Normal 2 11 2 7" xfId="20388" xr:uid="{00000000-0005-0000-0000-00008A130000}"/>
    <cellStyle name="Normal 2 11 3" xfId="522" xr:uid="{00000000-0005-0000-0000-00008B130000}"/>
    <cellStyle name="Normal 2 11 3 2" xfId="1269" xr:uid="{00000000-0005-0000-0000-00008C130000}"/>
    <cellStyle name="Normal 2 11 3 2 2" xfId="2763" xr:uid="{00000000-0005-0000-0000-00008D130000}"/>
    <cellStyle name="Normal 2 11 3 2 2 2" xfId="7245" xr:uid="{00000000-0005-0000-0000-00008E130000}"/>
    <cellStyle name="Normal 2 11 3 2 2 2 2" xfId="16275" xr:uid="{00000000-0005-0000-0000-00008F130000}"/>
    <cellStyle name="Normal 2 11 3 2 2 2 2 2" xfId="36327" xr:uid="{00000000-0005-0000-0000-000090130000}"/>
    <cellStyle name="Normal 2 11 3 2 2 2 3" xfId="27297" xr:uid="{00000000-0005-0000-0000-000091130000}"/>
    <cellStyle name="Normal 2 11 3 2 2 3" xfId="11793" xr:uid="{00000000-0005-0000-0000-000092130000}"/>
    <cellStyle name="Normal 2 11 3 2 2 3 2" xfId="31845" xr:uid="{00000000-0005-0000-0000-000093130000}"/>
    <cellStyle name="Normal 2 11 3 2 2 4" xfId="22815" xr:uid="{00000000-0005-0000-0000-000094130000}"/>
    <cellStyle name="Normal 2 11 3 2 3" xfId="4257" xr:uid="{00000000-0005-0000-0000-000095130000}"/>
    <cellStyle name="Normal 2 11 3 2 3 2" xfId="8739" xr:uid="{00000000-0005-0000-0000-000096130000}"/>
    <cellStyle name="Normal 2 11 3 2 3 2 2" xfId="17769" xr:uid="{00000000-0005-0000-0000-000097130000}"/>
    <cellStyle name="Normal 2 11 3 2 3 2 2 2" xfId="37821" xr:uid="{00000000-0005-0000-0000-000098130000}"/>
    <cellStyle name="Normal 2 11 3 2 3 2 3" xfId="28791" xr:uid="{00000000-0005-0000-0000-000099130000}"/>
    <cellStyle name="Normal 2 11 3 2 3 3" xfId="13287" xr:uid="{00000000-0005-0000-0000-00009A130000}"/>
    <cellStyle name="Normal 2 11 3 2 3 3 2" xfId="33339" xr:uid="{00000000-0005-0000-0000-00009B130000}"/>
    <cellStyle name="Normal 2 11 3 2 3 4" xfId="24309" xr:uid="{00000000-0005-0000-0000-00009C130000}"/>
    <cellStyle name="Normal 2 11 3 2 4" xfId="5751" xr:uid="{00000000-0005-0000-0000-00009D130000}"/>
    <cellStyle name="Normal 2 11 3 2 4 2" xfId="14781" xr:uid="{00000000-0005-0000-0000-00009E130000}"/>
    <cellStyle name="Normal 2 11 3 2 4 2 2" xfId="34833" xr:uid="{00000000-0005-0000-0000-00009F130000}"/>
    <cellStyle name="Normal 2 11 3 2 4 3" xfId="25803" xr:uid="{00000000-0005-0000-0000-0000A0130000}"/>
    <cellStyle name="Normal 2 11 3 2 5" xfId="10299" xr:uid="{00000000-0005-0000-0000-0000A1130000}"/>
    <cellStyle name="Normal 2 11 3 2 5 2" xfId="30351" xr:uid="{00000000-0005-0000-0000-0000A2130000}"/>
    <cellStyle name="Normal 2 11 3 2 6" xfId="21321" xr:uid="{00000000-0005-0000-0000-0000A3130000}"/>
    <cellStyle name="Normal 2 11 3 3" xfId="2016" xr:uid="{00000000-0005-0000-0000-0000A4130000}"/>
    <cellStyle name="Normal 2 11 3 3 2" xfId="6498" xr:uid="{00000000-0005-0000-0000-0000A5130000}"/>
    <cellStyle name="Normal 2 11 3 3 2 2" xfId="15528" xr:uid="{00000000-0005-0000-0000-0000A6130000}"/>
    <cellStyle name="Normal 2 11 3 3 2 2 2" xfId="35580" xr:uid="{00000000-0005-0000-0000-0000A7130000}"/>
    <cellStyle name="Normal 2 11 3 3 2 3" xfId="26550" xr:uid="{00000000-0005-0000-0000-0000A8130000}"/>
    <cellStyle name="Normal 2 11 3 3 3" xfId="11046" xr:uid="{00000000-0005-0000-0000-0000A9130000}"/>
    <cellStyle name="Normal 2 11 3 3 3 2" xfId="31098" xr:uid="{00000000-0005-0000-0000-0000AA130000}"/>
    <cellStyle name="Normal 2 11 3 3 4" xfId="22068" xr:uid="{00000000-0005-0000-0000-0000AB130000}"/>
    <cellStyle name="Normal 2 11 3 4" xfId="3510" xr:uid="{00000000-0005-0000-0000-0000AC130000}"/>
    <cellStyle name="Normal 2 11 3 4 2" xfId="7992" xr:uid="{00000000-0005-0000-0000-0000AD130000}"/>
    <cellStyle name="Normal 2 11 3 4 2 2" xfId="17022" xr:uid="{00000000-0005-0000-0000-0000AE130000}"/>
    <cellStyle name="Normal 2 11 3 4 2 2 2" xfId="37074" xr:uid="{00000000-0005-0000-0000-0000AF130000}"/>
    <cellStyle name="Normal 2 11 3 4 2 3" xfId="28044" xr:uid="{00000000-0005-0000-0000-0000B0130000}"/>
    <cellStyle name="Normal 2 11 3 4 3" xfId="12540" xr:uid="{00000000-0005-0000-0000-0000B1130000}"/>
    <cellStyle name="Normal 2 11 3 4 3 2" xfId="32592" xr:uid="{00000000-0005-0000-0000-0000B2130000}"/>
    <cellStyle name="Normal 2 11 3 4 4" xfId="23562" xr:uid="{00000000-0005-0000-0000-0000B3130000}"/>
    <cellStyle name="Normal 2 11 3 5" xfId="5004" xr:uid="{00000000-0005-0000-0000-0000B4130000}"/>
    <cellStyle name="Normal 2 11 3 5 2" xfId="14034" xr:uid="{00000000-0005-0000-0000-0000B5130000}"/>
    <cellStyle name="Normal 2 11 3 5 2 2" xfId="34086" xr:uid="{00000000-0005-0000-0000-0000B6130000}"/>
    <cellStyle name="Normal 2 11 3 5 3" xfId="25056" xr:uid="{00000000-0005-0000-0000-0000B7130000}"/>
    <cellStyle name="Normal 2 11 3 6" xfId="9552" xr:uid="{00000000-0005-0000-0000-0000B8130000}"/>
    <cellStyle name="Normal 2 11 3 6 2" xfId="29604" xr:uid="{00000000-0005-0000-0000-0000B9130000}"/>
    <cellStyle name="Normal 2 11 3 7" xfId="20574" xr:uid="{00000000-0005-0000-0000-0000BA130000}"/>
    <cellStyle name="Normal 2 11 4" xfId="708" xr:uid="{00000000-0005-0000-0000-0000BB130000}"/>
    <cellStyle name="Normal 2 11 4 2" xfId="1455" xr:uid="{00000000-0005-0000-0000-0000BC130000}"/>
    <cellStyle name="Normal 2 11 4 2 2" xfId="2949" xr:uid="{00000000-0005-0000-0000-0000BD130000}"/>
    <cellStyle name="Normal 2 11 4 2 2 2" xfId="7431" xr:uid="{00000000-0005-0000-0000-0000BE130000}"/>
    <cellStyle name="Normal 2 11 4 2 2 2 2" xfId="16461" xr:uid="{00000000-0005-0000-0000-0000BF130000}"/>
    <cellStyle name="Normal 2 11 4 2 2 2 2 2" xfId="36513" xr:uid="{00000000-0005-0000-0000-0000C0130000}"/>
    <cellStyle name="Normal 2 11 4 2 2 2 3" xfId="27483" xr:uid="{00000000-0005-0000-0000-0000C1130000}"/>
    <cellStyle name="Normal 2 11 4 2 2 3" xfId="11979" xr:uid="{00000000-0005-0000-0000-0000C2130000}"/>
    <cellStyle name="Normal 2 11 4 2 2 3 2" xfId="32031" xr:uid="{00000000-0005-0000-0000-0000C3130000}"/>
    <cellStyle name="Normal 2 11 4 2 2 4" xfId="23001" xr:uid="{00000000-0005-0000-0000-0000C4130000}"/>
    <cellStyle name="Normal 2 11 4 2 3" xfId="4443" xr:uid="{00000000-0005-0000-0000-0000C5130000}"/>
    <cellStyle name="Normal 2 11 4 2 3 2" xfId="8925" xr:uid="{00000000-0005-0000-0000-0000C6130000}"/>
    <cellStyle name="Normal 2 11 4 2 3 2 2" xfId="17955" xr:uid="{00000000-0005-0000-0000-0000C7130000}"/>
    <cellStyle name="Normal 2 11 4 2 3 2 2 2" xfId="38007" xr:uid="{00000000-0005-0000-0000-0000C8130000}"/>
    <cellStyle name="Normal 2 11 4 2 3 2 3" xfId="28977" xr:uid="{00000000-0005-0000-0000-0000C9130000}"/>
    <cellStyle name="Normal 2 11 4 2 3 3" xfId="13473" xr:uid="{00000000-0005-0000-0000-0000CA130000}"/>
    <cellStyle name="Normal 2 11 4 2 3 3 2" xfId="33525" xr:uid="{00000000-0005-0000-0000-0000CB130000}"/>
    <cellStyle name="Normal 2 11 4 2 3 4" xfId="24495" xr:uid="{00000000-0005-0000-0000-0000CC130000}"/>
    <cellStyle name="Normal 2 11 4 2 4" xfId="5937" xr:uid="{00000000-0005-0000-0000-0000CD130000}"/>
    <cellStyle name="Normal 2 11 4 2 4 2" xfId="14967" xr:uid="{00000000-0005-0000-0000-0000CE130000}"/>
    <cellStyle name="Normal 2 11 4 2 4 2 2" xfId="35019" xr:uid="{00000000-0005-0000-0000-0000CF130000}"/>
    <cellStyle name="Normal 2 11 4 2 4 3" xfId="25989" xr:uid="{00000000-0005-0000-0000-0000D0130000}"/>
    <cellStyle name="Normal 2 11 4 2 5" xfId="10485" xr:uid="{00000000-0005-0000-0000-0000D1130000}"/>
    <cellStyle name="Normal 2 11 4 2 5 2" xfId="30537" xr:uid="{00000000-0005-0000-0000-0000D2130000}"/>
    <cellStyle name="Normal 2 11 4 2 6" xfId="21507" xr:uid="{00000000-0005-0000-0000-0000D3130000}"/>
    <cellStyle name="Normal 2 11 4 3" xfId="2202" xr:uid="{00000000-0005-0000-0000-0000D4130000}"/>
    <cellStyle name="Normal 2 11 4 3 2" xfId="6684" xr:uid="{00000000-0005-0000-0000-0000D5130000}"/>
    <cellStyle name="Normal 2 11 4 3 2 2" xfId="15714" xr:uid="{00000000-0005-0000-0000-0000D6130000}"/>
    <cellStyle name="Normal 2 11 4 3 2 2 2" xfId="35766" xr:uid="{00000000-0005-0000-0000-0000D7130000}"/>
    <cellStyle name="Normal 2 11 4 3 2 3" xfId="26736" xr:uid="{00000000-0005-0000-0000-0000D8130000}"/>
    <cellStyle name="Normal 2 11 4 3 3" xfId="11232" xr:uid="{00000000-0005-0000-0000-0000D9130000}"/>
    <cellStyle name="Normal 2 11 4 3 3 2" xfId="31284" xr:uid="{00000000-0005-0000-0000-0000DA130000}"/>
    <cellStyle name="Normal 2 11 4 3 4" xfId="22254" xr:uid="{00000000-0005-0000-0000-0000DB130000}"/>
    <cellStyle name="Normal 2 11 4 4" xfId="3696" xr:uid="{00000000-0005-0000-0000-0000DC130000}"/>
    <cellStyle name="Normal 2 11 4 4 2" xfId="8178" xr:uid="{00000000-0005-0000-0000-0000DD130000}"/>
    <cellStyle name="Normal 2 11 4 4 2 2" xfId="17208" xr:uid="{00000000-0005-0000-0000-0000DE130000}"/>
    <cellStyle name="Normal 2 11 4 4 2 2 2" xfId="37260" xr:uid="{00000000-0005-0000-0000-0000DF130000}"/>
    <cellStyle name="Normal 2 11 4 4 2 3" xfId="28230" xr:uid="{00000000-0005-0000-0000-0000E0130000}"/>
    <cellStyle name="Normal 2 11 4 4 3" xfId="12726" xr:uid="{00000000-0005-0000-0000-0000E1130000}"/>
    <cellStyle name="Normal 2 11 4 4 3 2" xfId="32778" xr:uid="{00000000-0005-0000-0000-0000E2130000}"/>
    <cellStyle name="Normal 2 11 4 4 4" xfId="23748" xr:uid="{00000000-0005-0000-0000-0000E3130000}"/>
    <cellStyle name="Normal 2 11 4 5" xfId="5190" xr:uid="{00000000-0005-0000-0000-0000E4130000}"/>
    <cellStyle name="Normal 2 11 4 5 2" xfId="14220" xr:uid="{00000000-0005-0000-0000-0000E5130000}"/>
    <cellStyle name="Normal 2 11 4 5 2 2" xfId="34272" xr:uid="{00000000-0005-0000-0000-0000E6130000}"/>
    <cellStyle name="Normal 2 11 4 5 3" xfId="25242" xr:uid="{00000000-0005-0000-0000-0000E7130000}"/>
    <cellStyle name="Normal 2 11 4 6" xfId="9738" xr:uid="{00000000-0005-0000-0000-0000E8130000}"/>
    <cellStyle name="Normal 2 11 4 6 2" xfId="29790" xr:uid="{00000000-0005-0000-0000-0000E9130000}"/>
    <cellStyle name="Normal 2 11 4 7" xfId="20760" xr:uid="{00000000-0005-0000-0000-0000EA130000}"/>
    <cellStyle name="Normal 2 11 5" xfId="895" xr:uid="{00000000-0005-0000-0000-0000EB130000}"/>
    <cellStyle name="Normal 2 11 5 2" xfId="2389" xr:uid="{00000000-0005-0000-0000-0000EC130000}"/>
    <cellStyle name="Normal 2 11 5 2 2" xfId="6871" xr:uid="{00000000-0005-0000-0000-0000ED130000}"/>
    <cellStyle name="Normal 2 11 5 2 2 2" xfId="15901" xr:uid="{00000000-0005-0000-0000-0000EE130000}"/>
    <cellStyle name="Normal 2 11 5 2 2 2 2" xfId="35953" xr:uid="{00000000-0005-0000-0000-0000EF130000}"/>
    <cellStyle name="Normal 2 11 5 2 2 3" xfId="26923" xr:uid="{00000000-0005-0000-0000-0000F0130000}"/>
    <cellStyle name="Normal 2 11 5 2 3" xfId="11419" xr:uid="{00000000-0005-0000-0000-0000F1130000}"/>
    <cellStyle name="Normal 2 11 5 2 3 2" xfId="31471" xr:uid="{00000000-0005-0000-0000-0000F2130000}"/>
    <cellStyle name="Normal 2 11 5 2 4" xfId="22441" xr:uid="{00000000-0005-0000-0000-0000F3130000}"/>
    <cellStyle name="Normal 2 11 5 3" xfId="3883" xr:uid="{00000000-0005-0000-0000-0000F4130000}"/>
    <cellStyle name="Normal 2 11 5 3 2" xfId="8365" xr:uid="{00000000-0005-0000-0000-0000F5130000}"/>
    <cellStyle name="Normal 2 11 5 3 2 2" xfId="17395" xr:uid="{00000000-0005-0000-0000-0000F6130000}"/>
    <cellStyle name="Normal 2 11 5 3 2 2 2" xfId="37447" xr:uid="{00000000-0005-0000-0000-0000F7130000}"/>
    <cellStyle name="Normal 2 11 5 3 2 3" xfId="28417" xr:uid="{00000000-0005-0000-0000-0000F8130000}"/>
    <cellStyle name="Normal 2 11 5 3 3" xfId="12913" xr:uid="{00000000-0005-0000-0000-0000F9130000}"/>
    <cellStyle name="Normal 2 11 5 3 3 2" xfId="32965" xr:uid="{00000000-0005-0000-0000-0000FA130000}"/>
    <cellStyle name="Normal 2 11 5 3 4" xfId="23935" xr:uid="{00000000-0005-0000-0000-0000FB130000}"/>
    <cellStyle name="Normal 2 11 5 4" xfId="5377" xr:uid="{00000000-0005-0000-0000-0000FC130000}"/>
    <cellStyle name="Normal 2 11 5 4 2" xfId="14407" xr:uid="{00000000-0005-0000-0000-0000FD130000}"/>
    <cellStyle name="Normal 2 11 5 4 2 2" xfId="34459" xr:uid="{00000000-0005-0000-0000-0000FE130000}"/>
    <cellStyle name="Normal 2 11 5 4 3" xfId="25429" xr:uid="{00000000-0005-0000-0000-0000FF130000}"/>
    <cellStyle name="Normal 2 11 5 5" xfId="9925" xr:uid="{00000000-0005-0000-0000-000000140000}"/>
    <cellStyle name="Normal 2 11 5 5 2" xfId="29977" xr:uid="{00000000-0005-0000-0000-000001140000}"/>
    <cellStyle name="Normal 2 11 5 6" xfId="20947" xr:uid="{00000000-0005-0000-0000-000002140000}"/>
    <cellStyle name="Normal 2 11 6" xfId="1644" xr:uid="{00000000-0005-0000-0000-000003140000}"/>
    <cellStyle name="Normal 2 11 6 2" xfId="6126" xr:uid="{00000000-0005-0000-0000-000004140000}"/>
    <cellStyle name="Normal 2 11 6 2 2" xfId="15156" xr:uid="{00000000-0005-0000-0000-000005140000}"/>
    <cellStyle name="Normal 2 11 6 2 2 2" xfId="35208" xr:uid="{00000000-0005-0000-0000-000006140000}"/>
    <cellStyle name="Normal 2 11 6 2 3" xfId="26178" xr:uid="{00000000-0005-0000-0000-000007140000}"/>
    <cellStyle name="Normal 2 11 6 3" xfId="10674" xr:uid="{00000000-0005-0000-0000-000008140000}"/>
    <cellStyle name="Normal 2 11 6 3 2" xfId="30726" xr:uid="{00000000-0005-0000-0000-000009140000}"/>
    <cellStyle name="Normal 2 11 6 4" xfId="21696" xr:uid="{00000000-0005-0000-0000-00000A140000}"/>
    <cellStyle name="Normal 2 11 7" xfId="3138" xr:uid="{00000000-0005-0000-0000-00000B140000}"/>
    <cellStyle name="Normal 2 11 7 2" xfId="7620" xr:uid="{00000000-0005-0000-0000-00000C140000}"/>
    <cellStyle name="Normal 2 11 7 2 2" xfId="16650" xr:uid="{00000000-0005-0000-0000-00000D140000}"/>
    <cellStyle name="Normal 2 11 7 2 2 2" xfId="36702" xr:uid="{00000000-0005-0000-0000-00000E140000}"/>
    <cellStyle name="Normal 2 11 7 2 3" xfId="27672" xr:uid="{00000000-0005-0000-0000-00000F140000}"/>
    <cellStyle name="Normal 2 11 7 3" xfId="12168" xr:uid="{00000000-0005-0000-0000-000010140000}"/>
    <cellStyle name="Normal 2 11 7 3 2" xfId="32220" xr:uid="{00000000-0005-0000-0000-000011140000}"/>
    <cellStyle name="Normal 2 11 7 4" xfId="23190" xr:uid="{00000000-0005-0000-0000-000012140000}"/>
    <cellStyle name="Normal 2 11 8" xfId="4632" xr:uid="{00000000-0005-0000-0000-000013140000}"/>
    <cellStyle name="Normal 2 11 8 2" xfId="13662" xr:uid="{00000000-0005-0000-0000-000014140000}"/>
    <cellStyle name="Normal 2 11 8 2 2" xfId="33714" xr:uid="{00000000-0005-0000-0000-000015140000}"/>
    <cellStyle name="Normal 2 11 8 3" xfId="24684" xr:uid="{00000000-0005-0000-0000-000016140000}"/>
    <cellStyle name="Normal 2 11 9" xfId="9180" xr:uid="{00000000-0005-0000-0000-000017140000}"/>
    <cellStyle name="Normal 2 11 9 2" xfId="29232" xr:uid="{00000000-0005-0000-0000-000018140000}"/>
    <cellStyle name="Normal 2 12" xfId="173" xr:uid="{00000000-0005-0000-0000-000019140000}"/>
    <cellStyle name="Normal 2 12 10" xfId="20225" xr:uid="{00000000-0005-0000-0000-00001A140000}"/>
    <cellStyle name="Normal 2 12 2" xfId="359" xr:uid="{00000000-0005-0000-0000-00001B140000}"/>
    <cellStyle name="Normal 2 12 2 2" xfId="1102" xr:uid="{00000000-0005-0000-0000-00001C140000}"/>
    <cellStyle name="Normal 2 12 2 2 2" xfId="2596" xr:uid="{00000000-0005-0000-0000-00001D140000}"/>
    <cellStyle name="Normal 2 12 2 2 2 2" xfId="7078" xr:uid="{00000000-0005-0000-0000-00001E140000}"/>
    <cellStyle name="Normal 2 12 2 2 2 2 2" xfId="16108" xr:uid="{00000000-0005-0000-0000-00001F140000}"/>
    <cellStyle name="Normal 2 12 2 2 2 2 2 2" xfId="36160" xr:uid="{00000000-0005-0000-0000-000020140000}"/>
    <cellStyle name="Normal 2 12 2 2 2 2 3" xfId="27130" xr:uid="{00000000-0005-0000-0000-000021140000}"/>
    <cellStyle name="Normal 2 12 2 2 2 3" xfId="11626" xr:uid="{00000000-0005-0000-0000-000022140000}"/>
    <cellStyle name="Normal 2 12 2 2 2 3 2" xfId="31678" xr:uid="{00000000-0005-0000-0000-000023140000}"/>
    <cellStyle name="Normal 2 12 2 2 2 4" xfId="22648" xr:uid="{00000000-0005-0000-0000-000024140000}"/>
    <cellStyle name="Normal 2 12 2 2 3" xfId="4090" xr:uid="{00000000-0005-0000-0000-000025140000}"/>
    <cellStyle name="Normal 2 12 2 2 3 2" xfId="8572" xr:uid="{00000000-0005-0000-0000-000026140000}"/>
    <cellStyle name="Normal 2 12 2 2 3 2 2" xfId="17602" xr:uid="{00000000-0005-0000-0000-000027140000}"/>
    <cellStyle name="Normal 2 12 2 2 3 2 2 2" xfId="37654" xr:uid="{00000000-0005-0000-0000-000028140000}"/>
    <cellStyle name="Normal 2 12 2 2 3 2 3" xfId="28624" xr:uid="{00000000-0005-0000-0000-000029140000}"/>
    <cellStyle name="Normal 2 12 2 2 3 3" xfId="13120" xr:uid="{00000000-0005-0000-0000-00002A140000}"/>
    <cellStyle name="Normal 2 12 2 2 3 3 2" xfId="33172" xr:uid="{00000000-0005-0000-0000-00002B140000}"/>
    <cellStyle name="Normal 2 12 2 2 3 4" xfId="24142" xr:uid="{00000000-0005-0000-0000-00002C140000}"/>
    <cellStyle name="Normal 2 12 2 2 4" xfId="5584" xr:uid="{00000000-0005-0000-0000-00002D140000}"/>
    <cellStyle name="Normal 2 12 2 2 4 2" xfId="14614" xr:uid="{00000000-0005-0000-0000-00002E140000}"/>
    <cellStyle name="Normal 2 12 2 2 4 2 2" xfId="34666" xr:uid="{00000000-0005-0000-0000-00002F140000}"/>
    <cellStyle name="Normal 2 12 2 2 4 3" xfId="25636" xr:uid="{00000000-0005-0000-0000-000030140000}"/>
    <cellStyle name="Normal 2 12 2 2 5" xfId="10132" xr:uid="{00000000-0005-0000-0000-000031140000}"/>
    <cellStyle name="Normal 2 12 2 2 5 2" xfId="30184" xr:uid="{00000000-0005-0000-0000-000032140000}"/>
    <cellStyle name="Normal 2 12 2 2 6" xfId="21154" xr:uid="{00000000-0005-0000-0000-000033140000}"/>
    <cellStyle name="Normal 2 12 2 3" xfId="1853" xr:uid="{00000000-0005-0000-0000-000034140000}"/>
    <cellStyle name="Normal 2 12 2 3 2" xfId="6335" xr:uid="{00000000-0005-0000-0000-000035140000}"/>
    <cellStyle name="Normal 2 12 2 3 2 2" xfId="15365" xr:uid="{00000000-0005-0000-0000-000036140000}"/>
    <cellStyle name="Normal 2 12 2 3 2 2 2" xfId="35417" xr:uid="{00000000-0005-0000-0000-000037140000}"/>
    <cellStyle name="Normal 2 12 2 3 2 3" xfId="26387" xr:uid="{00000000-0005-0000-0000-000038140000}"/>
    <cellStyle name="Normal 2 12 2 3 3" xfId="10883" xr:uid="{00000000-0005-0000-0000-000039140000}"/>
    <cellStyle name="Normal 2 12 2 3 3 2" xfId="30935" xr:uid="{00000000-0005-0000-0000-00003A140000}"/>
    <cellStyle name="Normal 2 12 2 3 4" xfId="21905" xr:uid="{00000000-0005-0000-0000-00003B140000}"/>
    <cellStyle name="Normal 2 12 2 4" xfId="3347" xr:uid="{00000000-0005-0000-0000-00003C140000}"/>
    <cellStyle name="Normal 2 12 2 4 2" xfId="7829" xr:uid="{00000000-0005-0000-0000-00003D140000}"/>
    <cellStyle name="Normal 2 12 2 4 2 2" xfId="16859" xr:uid="{00000000-0005-0000-0000-00003E140000}"/>
    <cellStyle name="Normal 2 12 2 4 2 2 2" xfId="36911" xr:uid="{00000000-0005-0000-0000-00003F140000}"/>
    <cellStyle name="Normal 2 12 2 4 2 3" xfId="27881" xr:uid="{00000000-0005-0000-0000-000040140000}"/>
    <cellStyle name="Normal 2 12 2 4 3" xfId="12377" xr:uid="{00000000-0005-0000-0000-000041140000}"/>
    <cellStyle name="Normal 2 12 2 4 3 2" xfId="32429" xr:uid="{00000000-0005-0000-0000-000042140000}"/>
    <cellStyle name="Normal 2 12 2 4 4" xfId="23399" xr:uid="{00000000-0005-0000-0000-000043140000}"/>
    <cellStyle name="Normal 2 12 2 5" xfId="4841" xr:uid="{00000000-0005-0000-0000-000044140000}"/>
    <cellStyle name="Normal 2 12 2 5 2" xfId="13871" xr:uid="{00000000-0005-0000-0000-000045140000}"/>
    <cellStyle name="Normal 2 12 2 5 2 2" xfId="33923" xr:uid="{00000000-0005-0000-0000-000046140000}"/>
    <cellStyle name="Normal 2 12 2 5 3" xfId="24893" xr:uid="{00000000-0005-0000-0000-000047140000}"/>
    <cellStyle name="Normal 2 12 2 6" xfId="9389" xr:uid="{00000000-0005-0000-0000-000048140000}"/>
    <cellStyle name="Normal 2 12 2 6 2" xfId="29441" xr:uid="{00000000-0005-0000-0000-000049140000}"/>
    <cellStyle name="Normal 2 12 2 7" xfId="20411" xr:uid="{00000000-0005-0000-0000-00004A140000}"/>
    <cellStyle name="Normal 2 12 3" xfId="545" xr:uid="{00000000-0005-0000-0000-00004B140000}"/>
    <cellStyle name="Normal 2 12 3 2" xfId="1292" xr:uid="{00000000-0005-0000-0000-00004C140000}"/>
    <cellStyle name="Normal 2 12 3 2 2" xfId="2786" xr:uid="{00000000-0005-0000-0000-00004D140000}"/>
    <cellStyle name="Normal 2 12 3 2 2 2" xfId="7268" xr:uid="{00000000-0005-0000-0000-00004E140000}"/>
    <cellStyle name="Normal 2 12 3 2 2 2 2" xfId="16298" xr:uid="{00000000-0005-0000-0000-00004F140000}"/>
    <cellStyle name="Normal 2 12 3 2 2 2 2 2" xfId="36350" xr:uid="{00000000-0005-0000-0000-000050140000}"/>
    <cellStyle name="Normal 2 12 3 2 2 2 3" xfId="27320" xr:uid="{00000000-0005-0000-0000-000051140000}"/>
    <cellStyle name="Normal 2 12 3 2 2 3" xfId="11816" xr:uid="{00000000-0005-0000-0000-000052140000}"/>
    <cellStyle name="Normal 2 12 3 2 2 3 2" xfId="31868" xr:uid="{00000000-0005-0000-0000-000053140000}"/>
    <cellStyle name="Normal 2 12 3 2 2 4" xfId="22838" xr:uid="{00000000-0005-0000-0000-000054140000}"/>
    <cellStyle name="Normal 2 12 3 2 3" xfId="4280" xr:uid="{00000000-0005-0000-0000-000055140000}"/>
    <cellStyle name="Normal 2 12 3 2 3 2" xfId="8762" xr:uid="{00000000-0005-0000-0000-000056140000}"/>
    <cellStyle name="Normal 2 12 3 2 3 2 2" xfId="17792" xr:uid="{00000000-0005-0000-0000-000057140000}"/>
    <cellStyle name="Normal 2 12 3 2 3 2 2 2" xfId="37844" xr:uid="{00000000-0005-0000-0000-000058140000}"/>
    <cellStyle name="Normal 2 12 3 2 3 2 3" xfId="28814" xr:uid="{00000000-0005-0000-0000-000059140000}"/>
    <cellStyle name="Normal 2 12 3 2 3 3" xfId="13310" xr:uid="{00000000-0005-0000-0000-00005A140000}"/>
    <cellStyle name="Normal 2 12 3 2 3 3 2" xfId="33362" xr:uid="{00000000-0005-0000-0000-00005B140000}"/>
    <cellStyle name="Normal 2 12 3 2 3 4" xfId="24332" xr:uid="{00000000-0005-0000-0000-00005C140000}"/>
    <cellStyle name="Normal 2 12 3 2 4" xfId="5774" xr:uid="{00000000-0005-0000-0000-00005D140000}"/>
    <cellStyle name="Normal 2 12 3 2 4 2" xfId="14804" xr:uid="{00000000-0005-0000-0000-00005E140000}"/>
    <cellStyle name="Normal 2 12 3 2 4 2 2" xfId="34856" xr:uid="{00000000-0005-0000-0000-00005F140000}"/>
    <cellStyle name="Normal 2 12 3 2 4 3" xfId="25826" xr:uid="{00000000-0005-0000-0000-000060140000}"/>
    <cellStyle name="Normal 2 12 3 2 5" xfId="10322" xr:uid="{00000000-0005-0000-0000-000061140000}"/>
    <cellStyle name="Normal 2 12 3 2 5 2" xfId="30374" xr:uid="{00000000-0005-0000-0000-000062140000}"/>
    <cellStyle name="Normal 2 12 3 2 6" xfId="21344" xr:uid="{00000000-0005-0000-0000-000063140000}"/>
    <cellStyle name="Normal 2 12 3 3" xfId="2039" xr:uid="{00000000-0005-0000-0000-000064140000}"/>
    <cellStyle name="Normal 2 12 3 3 2" xfId="6521" xr:uid="{00000000-0005-0000-0000-000065140000}"/>
    <cellStyle name="Normal 2 12 3 3 2 2" xfId="15551" xr:uid="{00000000-0005-0000-0000-000066140000}"/>
    <cellStyle name="Normal 2 12 3 3 2 2 2" xfId="35603" xr:uid="{00000000-0005-0000-0000-000067140000}"/>
    <cellStyle name="Normal 2 12 3 3 2 3" xfId="26573" xr:uid="{00000000-0005-0000-0000-000068140000}"/>
    <cellStyle name="Normal 2 12 3 3 3" xfId="11069" xr:uid="{00000000-0005-0000-0000-000069140000}"/>
    <cellStyle name="Normal 2 12 3 3 3 2" xfId="31121" xr:uid="{00000000-0005-0000-0000-00006A140000}"/>
    <cellStyle name="Normal 2 12 3 3 4" xfId="22091" xr:uid="{00000000-0005-0000-0000-00006B140000}"/>
    <cellStyle name="Normal 2 12 3 4" xfId="3533" xr:uid="{00000000-0005-0000-0000-00006C140000}"/>
    <cellStyle name="Normal 2 12 3 4 2" xfId="8015" xr:uid="{00000000-0005-0000-0000-00006D140000}"/>
    <cellStyle name="Normal 2 12 3 4 2 2" xfId="17045" xr:uid="{00000000-0005-0000-0000-00006E140000}"/>
    <cellStyle name="Normal 2 12 3 4 2 2 2" xfId="37097" xr:uid="{00000000-0005-0000-0000-00006F140000}"/>
    <cellStyle name="Normal 2 12 3 4 2 3" xfId="28067" xr:uid="{00000000-0005-0000-0000-000070140000}"/>
    <cellStyle name="Normal 2 12 3 4 3" xfId="12563" xr:uid="{00000000-0005-0000-0000-000071140000}"/>
    <cellStyle name="Normal 2 12 3 4 3 2" xfId="32615" xr:uid="{00000000-0005-0000-0000-000072140000}"/>
    <cellStyle name="Normal 2 12 3 4 4" xfId="23585" xr:uid="{00000000-0005-0000-0000-000073140000}"/>
    <cellStyle name="Normal 2 12 3 5" xfId="5027" xr:uid="{00000000-0005-0000-0000-000074140000}"/>
    <cellStyle name="Normal 2 12 3 5 2" xfId="14057" xr:uid="{00000000-0005-0000-0000-000075140000}"/>
    <cellStyle name="Normal 2 12 3 5 2 2" xfId="34109" xr:uid="{00000000-0005-0000-0000-000076140000}"/>
    <cellStyle name="Normal 2 12 3 5 3" xfId="25079" xr:uid="{00000000-0005-0000-0000-000077140000}"/>
    <cellStyle name="Normal 2 12 3 6" xfId="9575" xr:uid="{00000000-0005-0000-0000-000078140000}"/>
    <cellStyle name="Normal 2 12 3 6 2" xfId="29627" xr:uid="{00000000-0005-0000-0000-000079140000}"/>
    <cellStyle name="Normal 2 12 3 7" xfId="20597" xr:uid="{00000000-0005-0000-0000-00007A140000}"/>
    <cellStyle name="Normal 2 12 4" xfId="731" xr:uid="{00000000-0005-0000-0000-00007B140000}"/>
    <cellStyle name="Normal 2 12 4 2" xfId="1478" xr:uid="{00000000-0005-0000-0000-00007C140000}"/>
    <cellStyle name="Normal 2 12 4 2 2" xfId="2972" xr:uid="{00000000-0005-0000-0000-00007D140000}"/>
    <cellStyle name="Normal 2 12 4 2 2 2" xfId="7454" xr:uid="{00000000-0005-0000-0000-00007E140000}"/>
    <cellStyle name="Normal 2 12 4 2 2 2 2" xfId="16484" xr:uid="{00000000-0005-0000-0000-00007F140000}"/>
    <cellStyle name="Normal 2 12 4 2 2 2 2 2" xfId="36536" xr:uid="{00000000-0005-0000-0000-000080140000}"/>
    <cellStyle name="Normal 2 12 4 2 2 2 3" xfId="27506" xr:uid="{00000000-0005-0000-0000-000081140000}"/>
    <cellStyle name="Normal 2 12 4 2 2 3" xfId="12002" xr:uid="{00000000-0005-0000-0000-000082140000}"/>
    <cellStyle name="Normal 2 12 4 2 2 3 2" xfId="32054" xr:uid="{00000000-0005-0000-0000-000083140000}"/>
    <cellStyle name="Normal 2 12 4 2 2 4" xfId="23024" xr:uid="{00000000-0005-0000-0000-000084140000}"/>
    <cellStyle name="Normal 2 12 4 2 3" xfId="4466" xr:uid="{00000000-0005-0000-0000-000085140000}"/>
    <cellStyle name="Normal 2 12 4 2 3 2" xfId="8948" xr:uid="{00000000-0005-0000-0000-000086140000}"/>
    <cellStyle name="Normal 2 12 4 2 3 2 2" xfId="17978" xr:uid="{00000000-0005-0000-0000-000087140000}"/>
    <cellStyle name="Normal 2 12 4 2 3 2 2 2" xfId="38030" xr:uid="{00000000-0005-0000-0000-000088140000}"/>
    <cellStyle name="Normal 2 12 4 2 3 2 3" xfId="29000" xr:uid="{00000000-0005-0000-0000-000089140000}"/>
    <cellStyle name="Normal 2 12 4 2 3 3" xfId="13496" xr:uid="{00000000-0005-0000-0000-00008A140000}"/>
    <cellStyle name="Normal 2 12 4 2 3 3 2" xfId="33548" xr:uid="{00000000-0005-0000-0000-00008B140000}"/>
    <cellStyle name="Normal 2 12 4 2 3 4" xfId="24518" xr:uid="{00000000-0005-0000-0000-00008C140000}"/>
    <cellStyle name="Normal 2 12 4 2 4" xfId="5960" xr:uid="{00000000-0005-0000-0000-00008D140000}"/>
    <cellStyle name="Normal 2 12 4 2 4 2" xfId="14990" xr:uid="{00000000-0005-0000-0000-00008E140000}"/>
    <cellStyle name="Normal 2 12 4 2 4 2 2" xfId="35042" xr:uid="{00000000-0005-0000-0000-00008F140000}"/>
    <cellStyle name="Normal 2 12 4 2 4 3" xfId="26012" xr:uid="{00000000-0005-0000-0000-000090140000}"/>
    <cellStyle name="Normal 2 12 4 2 5" xfId="10508" xr:uid="{00000000-0005-0000-0000-000091140000}"/>
    <cellStyle name="Normal 2 12 4 2 5 2" xfId="30560" xr:uid="{00000000-0005-0000-0000-000092140000}"/>
    <cellStyle name="Normal 2 12 4 2 6" xfId="21530" xr:uid="{00000000-0005-0000-0000-000093140000}"/>
    <cellStyle name="Normal 2 12 4 3" xfId="2225" xr:uid="{00000000-0005-0000-0000-000094140000}"/>
    <cellStyle name="Normal 2 12 4 3 2" xfId="6707" xr:uid="{00000000-0005-0000-0000-000095140000}"/>
    <cellStyle name="Normal 2 12 4 3 2 2" xfId="15737" xr:uid="{00000000-0005-0000-0000-000096140000}"/>
    <cellStyle name="Normal 2 12 4 3 2 2 2" xfId="35789" xr:uid="{00000000-0005-0000-0000-000097140000}"/>
    <cellStyle name="Normal 2 12 4 3 2 3" xfId="26759" xr:uid="{00000000-0005-0000-0000-000098140000}"/>
    <cellStyle name="Normal 2 12 4 3 3" xfId="11255" xr:uid="{00000000-0005-0000-0000-000099140000}"/>
    <cellStyle name="Normal 2 12 4 3 3 2" xfId="31307" xr:uid="{00000000-0005-0000-0000-00009A140000}"/>
    <cellStyle name="Normal 2 12 4 3 4" xfId="22277" xr:uid="{00000000-0005-0000-0000-00009B140000}"/>
    <cellStyle name="Normal 2 12 4 4" xfId="3719" xr:uid="{00000000-0005-0000-0000-00009C140000}"/>
    <cellStyle name="Normal 2 12 4 4 2" xfId="8201" xr:uid="{00000000-0005-0000-0000-00009D140000}"/>
    <cellStyle name="Normal 2 12 4 4 2 2" xfId="17231" xr:uid="{00000000-0005-0000-0000-00009E140000}"/>
    <cellStyle name="Normal 2 12 4 4 2 2 2" xfId="37283" xr:uid="{00000000-0005-0000-0000-00009F140000}"/>
    <cellStyle name="Normal 2 12 4 4 2 3" xfId="28253" xr:uid="{00000000-0005-0000-0000-0000A0140000}"/>
    <cellStyle name="Normal 2 12 4 4 3" xfId="12749" xr:uid="{00000000-0005-0000-0000-0000A1140000}"/>
    <cellStyle name="Normal 2 12 4 4 3 2" xfId="32801" xr:uid="{00000000-0005-0000-0000-0000A2140000}"/>
    <cellStyle name="Normal 2 12 4 4 4" xfId="23771" xr:uid="{00000000-0005-0000-0000-0000A3140000}"/>
    <cellStyle name="Normal 2 12 4 5" xfId="5213" xr:uid="{00000000-0005-0000-0000-0000A4140000}"/>
    <cellStyle name="Normal 2 12 4 5 2" xfId="14243" xr:uid="{00000000-0005-0000-0000-0000A5140000}"/>
    <cellStyle name="Normal 2 12 4 5 2 2" xfId="34295" xr:uid="{00000000-0005-0000-0000-0000A6140000}"/>
    <cellStyle name="Normal 2 12 4 5 3" xfId="25265" xr:uid="{00000000-0005-0000-0000-0000A7140000}"/>
    <cellStyle name="Normal 2 12 4 6" xfId="9761" xr:uid="{00000000-0005-0000-0000-0000A8140000}"/>
    <cellStyle name="Normal 2 12 4 6 2" xfId="29813" xr:uid="{00000000-0005-0000-0000-0000A9140000}"/>
    <cellStyle name="Normal 2 12 4 7" xfId="20783" xr:uid="{00000000-0005-0000-0000-0000AA140000}"/>
    <cellStyle name="Normal 2 12 5" xfId="918" xr:uid="{00000000-0005-0000-0000-0000AB140000}"/>
    <cellStyle name="Normal 2 12 5 2" xfId="2412" xr:uid="{00000000-0005-0000-0000-0000AC140000}"/>
    <cellStyle name="Normal 2 12 5 2 2" xfId="6894" xr:uid="{00000000-0005-0000-0000-0000AD140000}"/>
    <cellStyle name="Normal 2 12 5 2 2 2" xfId="15924" xr:uid="{00000000-0005-0000-0000-0000AE140000}"/>
    <cellStyle name="Normal 2 12 5 2 2 2 2" xfId="35976" xr:uid="{00000000-0005-0000-0000-0000AF140000}"/>
    <cellStyle name="Normal 2 12 5 2 2 3" xfId="26946" xr:uid="{00000000-0005-0000-0000-0000B0140000}"/>
    <cellStyle name="Normal 2 12 5 2 3" xfId="11442" xr:uid="{00000000-0005-0000-0000-0000B1140000}"/>
    <cellStyle name="Normal 2 12 5 2 3 2" xfId="31494" xr:uid="{00000000-0005-0000-0000-0000B2140000}"/>
    <cellStyle name="Normal 2 12 5 2 4" xfId="22464" xr:uid="{00000000-0005-0000-0000-0000B3140000}"/>
    <cellStyle name="Normal 2 12 5 3" xfId="3906" xr:uid="{00000000-0005-0000-0000-0000B4140000}"/>
    <cellStyle name="Normal 2 12 5 3 2" xfId="8388" xr:uid="{00000000-0005-0000-0000-0000B5140000}"/>
    <cellStyle name="Normal 2 12 5 3 2 2" xfId="17418" xr:uid="{00000000-0005-0000-0000-0000B6140000}"/>
    <cellStyle name="Normal 2 12 5 3 2 2 2" xfId="37470" xr:uid="{00000000-0005-0000-0000-0000B7140000}"/>
    <cellStyle name="Normal 2 12 5 3 2 3" xfId="28440" xr:uid="{00000000-0005-0000-0000-0000B8140000}"/>
    <cellStyle name="Normal 2 12 5 3 3" xfId="12936" xr:uid="{00000000-0005-0000-0000-0000B9140000}"/>
    <cellStyle name="Normal 2 12 5 3 3 2" xfId="32988" xr:uid="{00000000-0005-0000-0000-0000BA140000}"/>
    <cellStyle name="Normal 2 12 5 3 4" xfId="23958" xr:uid="{00000000-0005-0000-0000-0000BB140000}"/>
    <cellStyle name="Normal 2 12 5 4" xfId="5400" xr:uid="{00000000-0005-0000-0000-0000BC140000}"/>
    <cellStyle name="Normal 2 12 5 4 2" xfId="14430" xr:uid="{00000000-0005-0000-0000-0000BD140000}"/>
    <cellStyle name="Normal 2 12 5 4 2 2" xfId="34482" xr:uid="{00000000-0005-0000-0000-0000BE140000}"/>
    <cellStyle name="Normal 2 12 5 4 3" xfId="25452" xr:uid="{00000000-0005-0000-0000-0000BF140000}"/>
    <cellStyle name="Normal 2 12 5 5" xfId="9948" xr:uid="{00000000-0005-0000-0000-0000C0140000}"/>
    <cellStyle name="Normal 2 12 5 5 2" xfId="30000" xr:uid="{00000000-0005-0000-0000-0000C1140000}"/>
    <cellStyle name="Normal 2 12 5 6" xfId="20970" xr:uid="{00000000-0005-0000-0000-0000C2140000}"/>
    <cellStyle name="Normal 2 12 6" xfId="1667" xr:uid="{00000000-0005-0000-0000-0000C3140000}"/>
    <cellStyle name="Normal 2 12 6 2" xfId="6149" xr:uid="{00000000-0005-0000-0000-0000C4140000}"/>
    <cellStyle name="Normal 2 12 6 2 2" xfId="15179" xr:uid="{00000000-0005-0000-0000-0000C5140000}"/>
    <cellStyle name="Normal 2 12 6 2 2 2" xfId="35231" xr:uid="{00000000-0005-0000-0000-0000C6140000}"/>
    <cellStyle name="Normal 2 12 6 2 3" xfId="26201" xr:uid="{00000000-0005-0000-0000-0000C7140000}"/>
    <cellStyle name="Normal 2 12 6 3" xfId="10697" xr:uid="{00000000-0005-0000-0000-0000C8140000}"/>
    <cellStyle name="Normal 2 12 6 3 2" xfId="30749" xr:uid="{00000000-0005-0000-0000-0000C9140000}"/>
    <cellStyle name="Normal 2 12 6 4" xfId="21719" xr:uid="{00000000-0005-0000-0000-0000CA140000}"/>
    <cellStyle name="Normal 2 12 7" xfId="3161" xr:uid="{00000000-0005-0000-0000-0000CB140000}"/>
    <cellStyle name="Normal 2 12 7 2" xfId="7643" xr:uid="{00000000-0005-0000-0000-0000CC140000}"/>
    <cellStyle name="Normal 2 12 7 2 2" xfId="16673" xr:uid="{00000000-0005-0000-0000-0000CD140000}"/>
    <cellStyle name="Normal 2 12 7 2 2 2" xfId="36725" xr:uid="{00000000-0005-0000-0000-0000CE140000}"/>
    <cellStyle name="Normal 2 12 7 2 3" xfId="27695" xr:uid="{00000000-0005-0000-0000-0000CF140000}"/>
    <cellStyle name="Normal 2 12 7 3" xfId="12191" xr:uid="{00000000-0005-0000-0000-0000D0140000}"/>
    <cellStyle name="Normal 2 12 7 3 2" xfId="32243" xr:uid="{00000000-0005-0000-0000-0000D1140000}"/>
    <cellStyle name="Normal 2 12 7 4" xfId="23213" xr:uid="{00000000-0005-0000-0000-0000D2140000}"/>
    <cellStyle name="Normal 2 12 8" xfId="4655" xr:uid="{00000000-0005-0000-0000-0000D3140000}"/>
    <cellStyle name="Normal 2 12 8 2" xfId="13685" xr:uid="{00000000-0005-0000-0000-0000D4140000}"/>
    <cellStyle name="Normal 2 12 8 2 2" xfId="33737" xr:uid="{00000000-0005-0000-0000-0000D5140000}"/>
    <cellStyle name="Normal 2 12 8 3" xfId="24707" xr:uid="{00000000-0005-0000-0000-0000D6140000}"/>
    <cellStyle name="Normal 2 12 9" xfId="9203" xr:uid="{00000000-0005-0000-0000-0000D7140000}"/>
    <cellStyle name="Normal 2 12 9 2" xfId="29255" xr:uid="{00000000-0005-0000-0000-0000D8140000}"/>
    <cellStyle name="Normal 2 13" xfId="196" xr:uid="{00000000-0005-0000-0000-0000D9140000}"/>
    <cellStyle name="Normal 2 13 2" xfId="941" xr:uid="{00000000-0005-0000-0000-0000DA140000}"/>
    <cellStyle name="Normal 2 13 2 2" xfId="2435" xr:uid="{00000000-0005-0000-0000-0000DB140000}"/>
    <cellStyle name="Normal 2 13 2 2 2" xfId="6917" xr:uid="{00000000-0005-0000-0000-0000DC140000}"/>
    <cellStyle name="Normal 2 13 2 2 2 2" xfId="15947" xr:uid="{00000000-0005-0000-0000-0000DD140000}"/>
    <cellStyle name="Normal 2 13 2 2 2 2 2" xfId="35999" xr:uid="{00000000-0005-0000-0000-0000DE140000}"/>
    <cellStyle name="Normal 2 13 2 2 2 3" xfId="26969" xr:uid="{00000000-0005-0000-0000-0000DF140000}"/>
    <cellStyle name="Normal 2 13 2 2 3" xfId="11465" xr:uid="{00000000-0005-0000-0000-0000E0140000}"/>
    <cellStyle name="Normal 2 13 2 2 3 2" xfId="31517" xr:uid="{00000000-0005-0000-0000-0000E1140000}"/>
    <cellStyle name="Normal 2 13 2 2 4" xfId="22487" xr:uid="{00000000-0005-0000-0000-0000E2140000}"/>
    <cellStyle name="Normal 2 13 2 3" xfId="3929" xr:uid="{00000000-0005-0000-0000-0000E3140000}"/>
    <cellStyle name="Normal 2 13 2 3 2" xfId="8411" xr:uid="{00000000-0005-0000-0000-0000E4140000}"/>
    <cellStyle name="Normal 2 13 2 3 2 2" xfId="17441" xr:uid="{00000000-0005-0000-0000-0000E5140000}"/>
    <cellStyle name="Normal 2 13 2 3 2 2 2" xfId="37493" xr:uid="{00000000-0005-0000-0000-0000E6140000}"/>
    <cellStyle name="Normal 2 13 2 3 2 3" xfId="28463" xr:uid="{00000000-0005-0000-0000-0000E7140000}"/>
    <cellStyle name="Normal 2 13 2 3 3" xfId="12959" xr:uid="{00000000-0005-0000-0000-0000E8140000}"/>
    <cellStyle name="Normal 2 13 2 3 3 2" xfId="33011" xr:uid="{00000000-0005-0000-0000-0000E9140000}"/>
    <cellStyle name="Normal 2 13 2 3 4" xfId="23981" xr:uid="{00000000-0005-0000-0000-0000EA140000}"/>
    <cellStyle name="Normal 2 13 2 4" xfId="5423" xr:uid="{00000000-0005-0000-0000-0000EB140000}"/>
    <cellStyle name="Normal 2 13 2 4 2" xfId="14453" xr:uid="{00000000-0005-0000-0000-0000EC140000}"/>
    <cellStyle name="Normal 2 13 2 4 2 2" xfId="34505" xr:uid="{00000000-0005-0000-0000-0000ED140000}"/>
    <cellStyle name="Normal 2 13 2 4 3" xfId="25475" xr:uid="{00000000-0005-0000-0000-0000EE140000}"/>
    <cellStyle name="Normal 2 13 2 5" xfId="9971" xr:uid="{00000000-0005-0000-0000-0000EF140000}"/>
    <cellStyle name="Normal 2 13 2 5 2" xfId="30023" xr:uid="{00000000-0005-0000-0000-0000F0140000}"/>
    <cellStyle name="Normal 2 13 2 6" xfId="20993" xr:uid="{00000000-0005-0000-0000-0000F1140000}"/>
    <cellStyle name="Normal 2 13 3" xfId="1690" xr:uid="{00000000-0005-0000-0000-0000F2140000}"/>
    <cellStyle name="Normal 2 13 3 2" xfId="6172" xr:uid="{00000000-0005-0000-0000-0000F3140000}"/>
    <cellStyle name="Normal 2 13 3 2 2" xfId="15202" xr:uid="{00000000-0005-0000-0000-0000F4140000}"/>
    <cellStyle name="Normal 2 13 3 2 2 2" xfId="35254" xr:uid="{00000000-0005-0000-0000-0000F5140000}"/>
    <cellStyle name="Normal 2 13 3 2 3" xfId="26224" xr:uid="{00000000-0005-0000-0000-0000F6140000}"/>
    <cellStyle name="Normal 2 13 3 3" xfId="10720" xr:uid="{00000000-0005-0000-0000-0000F7140000}"/>
    <cellStyle name="Normal 2 13 3 3 2" xfId="30772" xr:uid="{00000000-0005-0000-0000-0000F8140000}"/>
    <cellStyle name="Normal 2 13 3 4" xfId="21742" xr:uid="{00000000-0005-0000-0000-0000F9140000}"/>
    <cellStyle name="Normal 2 13 4" xfId="3184" xr:uid="{00000000-0005-0000-0000-0000FA140000}"/>
    <cellStyle name="Normal 2 13 4 2" xfId="7666" xr:uid="{00000000-0005-0000-0000-0000FB140000}"/>
    <cellStyle name="Normal 2 13 4 2 2" xfId="16696" xr:uid="{00000000-0005-0000-0000-0000FC140000}"/>
    <cellStyle name="Normal 2 13 4 2 2 2" xfId="36748" xr:uid="{00000000-0005-0000-0000-0000FD140000}"/>
    <cellStyle name="Normal 2 13 4 2 3" xfId="27718" xr:uid="{00000000-0005-0000-0000-0000FE140000}"/>
    <cellStyle name="Normal 2 13 4 3" xfId="12214" xr:uid="{00000000-0005-0000-0000-0000FF140000}"/>
    <cellStyle name="Normal 2 13 4 3 2" xfId="32266" xr:uid="{00000000-0005-0000-0000-000000150000}"/>
    <cellStyle name="Normal 2 13 4 4" xfId="23236" xr:uid="{00000000-0005-0000-0000-000001150000}"/>
    <cellStyle name="Normal 2 13 5" xfId="4678" xr:uid="{00000000-0005-0000-0000-000002150000}"/>
    <cellStyle name="Normal 2 13 5 2" xfId="13708" xr:uid="{00000000-0005-0000-0000-000003150000}"/>
    <cellStyle name="Normal 2 13 5 2 2" xfId="33760" xr:uid="{00000000-0005-0000-0000-000004150000}"/>
    <cellStyle name="Normal 2 13 5 3" xfId="24730" xr:uid="{00000000-0005-0000-0000-000005150000}"/>
    <cellStyle name="Normal 2 13 6" xfId="9226" xr:uid="{00000000-0005-0000-0000-000006150000}"/>
    <cellStyle name="Normal 2 13 6 2" xfId="29278" xr:uid="{00000000-0005-0000-0000-000007150000}"/>
    <cellStyle name="Normal 2 13 7" xfId="20248" xr:uid="{00000000-0005-0000-0000-000008150000}"/>
    <cellStyle name="Normal 2 14" xfId="382" xr:uid="{00000000-0005-0000-0000-000009150000}"/>
    <cellStyle name="Normal 2 14 2" xfId="1129" xr:uid="{00000000-0005-0000-0000-00000A150000}"/>
    <cellStyle name="Normal 2 14 2 2" xfId="2623" xr:uid="{00000000-0005-0000-0000-00000B150000}"/>
    <cellStyle name="Normal 2 14 2 2 2" xfId="7105" xr:uid="{00000000-0005-0000-0000-00000C150000}"/>
    <cellStyle name="Normal 2 14 2 2 2 2" xfId="16135" xr:uid="{00000000-0005-0000-0000-00000D150000}"/>
    <cellStyle name="Normal 2 14 2 2 2 2 2" xfId="36187" xr:uid="{00000000-0005-0000-0000-00000E150000}"/>
    <cellStyle name="Normal 2 14 2 2 2 3" xfId="27157" xr:uid="{00000000-0005-0000-0000-00000F150000}"/>
    <cellStyle name="Normal 2 14 2 2 3" xfId="11653" xr:uid="{00000000-0005-0000-0000-000010150000}"/>
    <cellStyle name="Normal 2 14 2 2 3 2" xfId="31705" xr:uid="{00000000-0005-0000-0000-000011150000}"/>
    <cellStyle name="Normal 2 14 2 2 4" xfId="22675" xr:uid="{00000000-0005-0000-0000-000012150000}"/>
    <cellStyle name="Normal 2 14 2 3" xfId="4117" xr:uid="{00000000-0005-0000-0000-000013150000}"/>
    <cellStyle name="Normal 2 14 2 3 2" xfId="8599" xr:uid="{00000000-0005-0000-0000-000014150000}"/>
    <cellStyle name="Normal 2 14 2 3 2 2" xfId="17629" xr:uid="{00000000-0005-0000-0000-000015150000}"/>
    <cellStyle name="Normal 2 14 2 3 2 2 2" xfId="37681" xr:uid="{00000000-0005-0000-0000-000016150000}"/>
    <cellStyle name="Normal 2 14 2 3 2 3" xfId="28651" xr:uid="{00000000-0005-0000-0000-000017150000}"/>
    <cellStyle name="Normal 2 14 2 3 3" xfId="13147" xr:uid="{00000000-0005-0000-0000-000018150000}"/>
    <cellStyle name="Normal 2 14 2 3 3 2" xfId="33199" xr:uid="{00000000-0005-0000-0000-000019150000}"/>
    <cellStyle name="Normal 2 14 2 3 4" xfId="24169" xr:uid="{00000000-0005-0000-0000-00001A150000}"/>
    <cellStyle name="Normal 2 14 2 4" xfId="5611" xr:uid="{00000000-0005-0000-0000-00001B150000}"/>
    <cellStyle name="Normal 2 14 2 4 2" xfId="14641" xr:uid="{00000000-0005-0000-0000-00001C150000}"/>
    <cellStyle name="Normal 2 14 2 4 2 2" xfId="34693" xr:uid="{00000000-0005-0000-0000-00001D150000}"/>
    <cellStyle name="Normal 2 14 2 4 3" xfId="25663" xr:uid="{00000000-0005-0000-0000-00001E150000}"/>
    <cellStyle name="Normal 2 14 2 5" xfId="10159" xr:uid="{00000000-0005-0000-0000-00001F150000}"/>
    <cellStyle name="Normal 2 14 2 5 2" xfId="30211" xr:uid="{00000000-0005-0000-0000-000020150000}"/>
    <cellStyle name="Normal 2 14 2 6" xfId="21181" xr:uid="{00000000-0005-0000-0000-000021150000}"/>
    <cellStyle name="Normal 2 14 3" xfId="1876" xr:uid="{00000000-0005-0000-0000-000022150000}"/>
    <cellStyle name="Normal 2 14 3 2" xfId="6358" xr:uid="{00000000-0005-0000-0000-000023150000}"/>
    <cellStyle name="Normal 2 14 3 2 2" xfId="15388" xr:uid="{00000000-0005-0000-0000-000024150000}"/>
    <cellStyle name="Normal 2 14 3 2 2 2" xfId="35440" xr:uid="{00000000-0005-0000-0000-000025150000}"/>
    <cellStyle name="Normal 2 14 3 2 3" xfId="26410" xr:uid="{00000000-0005-0000-0000-000026150000}"/>
    <cellStyle name="Normal 2 14 3 3" xfId="10906" xr:uid="{00000000-0005-0000-0000-000027150000}"/>
    <cellStyle name="Normal 2 14 3 3 2" xfId="30958" xr:uid="{00000000-0005-0000-0000-000028150000}"/>
    <cellStyle name="Normal 2 14 3 4" xfId="21928" xr:uid="{00000000-0005-0000-0000-000029150000}"/>
    <cellStyle name="Normal 2 14 4" xfId="3370" xr:uid="{00000000-0005-0000-0000-00002A150000}"/>
    <cellStyle name="Normal 2 14 4 2" xfId="7852" xr:uid="{00000000-0005-0000-0000-00002B150000}"/>
    <cellStyle name="Normal 2 14 4 2 2" xfId="16882" xr:uid="{00000000-0005-0000-0000-00002C150000}"/>
    <cellStyle name="Normal 2 14 4 2 2 2" xfId="36934" xr:uid="{00000000-0005-0000-0000-00002D150000}"/>
    <cellStyle name="Normal 2 14 4 2 3" xfId="27904" xr:uid="{00000000-0005-0000-0000-00002E150000}"/>
    <cellStyle name="Normal 2 14 4 3" xfId="12400" xr:uid="{00000000-0005-0000-0000-00002F150000}"/>
    <cellStyle name="Normal 2 14 4 3 2" xfId="32452" xr:uid="{00000000-0005-0000-0000-000030150000}"/>
    <cellStyle name="Normal 2 14 4 4" xfId="23422" xr:uid="{00000000-0005-0000-0000-000031150000}"/>
    <cellStyle name="Normal 2 14 5" xfId="4864" xr:uid="{00000000-0005-0000-0000-000032150000}"/>
    <cellStyle name="Normal 2 14 5 2" xfId="13894" xr:uid="{00000000-0005-0000-0000-000033150000}"/>
    <cellStyle name="Normal 2 14 5 2 2" xfId="33946" xr:uid="{00000000-0005-0000-0000-000034150000}"/>
    <cellStyle name="Normal 2 14 5 3" xfId="24916" xr:uid="{00000000-0005-0000-0000-000035150000}"/>
    <cellStyle name="Normal 2 14 6" xfId="9412" xr:uid="{00000000-0005-0000-0000-000036150000}"/>
    <cellStyle name="Normal 2 14 6 2" xfId="29464" xr:uid="{00000000-0005-0000-0000-000037150000}"/>
    <cellStyle name="Normal 2 14 7" xfId="20434" xr:uid="{00000000-0005-0000-0000-000038150000}"/>
    <cellStyle name="Normal 2 15" xfId="568" xr:uid="{00000000-0005-0000-0000-000039150000}"/>
    <cellStyle name="Normal 2 15 2" xfId="1315" xr:uid="{00000000-0005-0000-0000-00003A150000}"/>
    <cellStyle name="Normal 2 15 2 2" xfId="2809" xr:uid="{00000000-0005-0000-0000-00003B150000}"/>
    <cellStyle name="Normal 2 15 2 2 2" xfId="7291" xr:uid="{00000000-0005-0000-0000-00003C150000}"/>
    <cellStyle name="Normal 2 15 2 2 2 2" xfId="16321" xr:uid="{00000000-0005-0000-0000-00003D150000}"/>
    <cellStyle name="Normal 2 15 2 2 2 2 2" xfId="36373" xr:uid="{00000000-0005-0000-0000-00003E150000}"/>
    <cellStyle name="Normal 2 15 2 2 2 3" xfId="27343" xr:uid="{00000000-0005-0000-0000-00003F150000}"/>
    <cellStyle name="Normal 2 15 2 2 3" xfId="11839" xr:uid="{00000000-0005-0000-0000-000040150000}"/>
    <cellStyle name="Normal 2 15 2 2 3 2" xfId="31891" xr:uid="{00000000-0005-0000-0000-000041150000}"/>
    <cellStyle name="Normal 2 15 2 2 4" xfId="22861" xr:uid="{00000000-0005-0000-0000-000042150000}"/>
    <cellStyle name="Normal 2 15 2 3" xfId="4303" xr:uid="{00000000-0005-0000-0000-000043150000}"/>
    <cellStyle name="Normal 2 15 2 3 2" xfId="8785" xr:uid="{00000000-0005-0000-0000-000044150000}"/>
    <cellStyle name="Normal 2 15 2 3 2 2" xfId="17815" xr:uid="{00000000-0005-0000-0000-000045150000}"/>
    <cellStyle name="Normal 2 15 2 3 2 2 2" xfId="37867" xr:uid="{00000000-0005-0000-0000-000046150000}"/>
    <cellStyle name="Normal 2 15 2 3 2 3" xfId="28837" xr:uid="{00000000-0005-0000-0000-000047150000}"/>
    <cellStyle name="Normal 2 15 2 3 3" xfId="13333" xr:uid="{00000000-0005-0000-0000-000048150000}"/>
    <cellStyle name="Normal 2 15 2 3 3 2" xfId="33385" xr:uid="{00000000-0005-0000-0000-000049150000}"/>
    <cellStyle name="Normal 2 15 2 3 4" xfId="24355" xr:uid="{00000000-0005-0000-0000-00004A150000}"/>
    <cellStyle name="Normal 2 15 2 4" xfId="5797" xr:uid="{00000000-0005-0000-0000-00004B150000}"/>
    <cellStyle name="Normal 2 15 2 4 2" xfId="14827" xr:uid="{00000000-0005-0000-0000-00004C150000}"/>
    <cellStyle name="Normal 2 15 2 4 2 2" xfId="34879" xr:uid="{00000000-0005-0000-0000-00004D150000}"/>
    <cellStyle name="Normal 2 15 2 4 3" xfId="25849" xr:uid="{00000000-0005-0000-0000-00004E150000}"/>
    <cellStyle name="Normal 2 15 2 5" xfId="10345" xr:uid="{00000000-0005-0000-0000-00004F150000}"/>
    <cellStyle name="Normal 2 15 2 5 2" xfId="30397" xr:uid="{00000000-0005-0000-0000-000050150000}"/>
    <cellStyle name="Normal 2 15 2 6" xfId="21367" xr:uid="{00000000-0005-0000-0000-000051150000}"/>
    <cellStyle name="Normal 2 15 3" xfId="2062" xr:uid="{00000000-0005-0000-0000-000052150000}"/>
    <cellStyle name="Normal 2 15 3 2" xfId="6544" xr:uid="{00000000-0005-0000-0000-000053150000}"/>
    <cellStyle name="Normal 2 15 3 2 2" xfId="15574" xr:uid="{00000000-0005-0000-0000-000054150000}"/>
    <cellStyle name="Normal 2 15 3 2 2 2" xfId="35626" xr:uid="{00000000-0005-0000-0000-000055150000}"/>
    <cellStyle name="Normal 2 15 3 2 3" xfId="26596" xr:uid="{00000000-0005-0000-0000-000056150000}"/>
    <cellStyle name="Normal 2 15 3 3" xfId="11092" xr:uid="{00000000-0005-0000-0000-000057150000}"/>
    <cellStyle name="Normal 2 15 3 3 2" xfId="31144" xr:uid="{00000000-0005-0000-0000-000058150000}"/>
    <cellStyle name="Normal 2 15 3 4" xfId="22114" xr:uid="{00000000-0005-0000-0000-000059150000}"/>
    <cellStyle name="Normal 2 15 4" xfId="3556" xr:uid="{00000000-0005-0000-0000-00005A150000}"/>
    <cellStyle name="Normal 2 15 4 2" xfId="8038" xr:uid="{00000000-0005-0000-0000-00005B150000}"/>
    <cellStyle name="Normal 2 15 4 2 2" xfId="17068" xr:uid="{00000000-0005-0000-0000-00005C150000}"/>
    <cellStyle name="Normal 2 15 4 2 2 2" xfId="37120" xr:uid="{00000000-0005-0000-0000-00005D150000}"/>
    <cellStyle name="Normal 2 15 4 2 3" xfId="28090" xr:uid="{00000000-0005-0000-0000-00005E150000}"/>
    <cellStyle name="Normal 2 15 4 3" xfId="12586" xr:uid="{00000000-0005-0000-0000-00005F150000}"/>
    <cellStyle name="Normal 2 15 4 3 2" xfId="32638" xr:uid="{00000000-0005-0000-0000-000060150000}"/>
    <cellStyle name="Normal 2 15 4 4" xfId="23608" xr:uid="{00000000-0005-0000-0000-000061150000}"/>
    <cellStyle name="Normal 2 15 5" xfId="5050" xr:uid="{00000000-0005-0000-0000-000062150000}"/>
    <cellStyle name="Normal 2 15 5 2" xfId="14080" xr:uid="{00000000-0005-0000-0000-000063150000}"/>
    <cellStyle name="Normal 2 15 5 2 2" xfId="34132" xr:uid="{00000000-0005-0000-0000-000064150000}"/>
    <cellStyle name="Normal 2 15 5 3" xfId="25102" xr:uid="{00000000-0005-0000-0000-000065150000}"/>
    <cellStyle name="Normal 2 15 6" xfId="9598" xr:uid="{00000000-0005-0000-0000-000066150000}"/>
    <cellStyle name="Normal 2 15 6 2" xfId="29650" xr:uid="{00000000-0005-0000-0000-000067150000}"/>
    <cellStyle name="Normal 2 15 7" xfId="20620" xr:uid="{00000000-0005-0000-0000-000068150000}"/>
    <cellStyle name="Normal 2 16" xfId="755" xr:uid="{00000000-0005-0000-0000-000069150000}"/>
    <cellStyle name="Normal 2 16 2" xfId="2249" xr:uid="{00000000-0005-0000-0000-00006A150000}"/>
    <cellStyle name="Normal 2 16 2 2" xfId="6731" xr:uid="{00000000-0005-0000-0000-00006B150000}"/>
    <cellStyle name="Normal 2 16 2 2 2" xfId="15761" xr:uid="{00000000-0005-0000-0000-00006C150000}"/>
    <cellStyle name="Normal 2 16 2 2 2 2" xfId="35813" xr:uid="{00000000-0005-0000-0000-00006D150000}"/>
    <cellStyle name="Normal 2 16 2 2 3" xfId="26783" xr:uid="{00000000-0005-0000-0000-00006E150000}"/>
    <cellStyle name="Normal 2 16 2 3" xfId="11279" xr:uid="{00000000-0005-0000-0000-00006F150000}"/>
    <cellStyle name="Normal 2 16 2 3 2" xfId="31331" xr:uid="{00000000-0005-0000-0000-000070150000}"/>
    <cellStyle name="Normal 2 16 2 4" xfId="22301" xr:uid="{00000000-0005-0000-0000-000071150000}"/>
    <cellStyle name="Normal 2 16 3" xfId="3743" xr:uid="{00000000-0005-0000-0000-000072150000}"/>
    <cellStyle name="Normal 2 16 3 2" xfId="8225" xr:uid="{00000000-0005-0000-0000-000073150000}"/>
    <cellStyle name="Normal 2 16 3 2 2" xfId="17255" xr:uid="{00000000-0005-0000-0000-000074150000}"/>
    <cellStyle name="Normal 2 16 3 2 2 2" xfId="37307" xr:uid="{00000000-0005-0000-0000-000075150000}"/>
    <cellStyle name="Normal 2 16 3 2 3" xfId="28277" xr:uid="{00000000-0005-0000-0000-000076150000}"/>
    <cellStyle name="Normal 2 16 3 3" xfId="12773" xr:uid="{00000000-0005-0000-0000-000077150000}"/>
    <cellStyle name="Normal 2 16 3 3 2" xfId="32825" xr:uid="{00000000-0005-0000-0000-000078150000}"/>
    <cellStyle name="Normal 2 16 3 4" xfId="23795" xr:uid="{00000000-0005-0000-0000-000079150000}"/>
    <cellStyle name="Normal 2 16 4" xfId="5237" xr:uid="{00000000-0005-0000-0000-00007A150000}"/>
    <cellStyle name="Normal 2 16 4 2" xfId="14267" xr:uid="{00000000-0005-0000-0000-00007B150000}"/>
    <cellStyle name="Normal 2 16 4 2 2" xfId="34319" xr:uid="{00000000-0005-0000-0000-00007C150000}"/>
    <cellStyle name="Normal 2 16 4 3" xfId="25289" xr:uid="{00000000-0005-0000-0000-00007D150000}"/>
    <cellStyle name="Normal 2 16 5" xfId="9785" xr:uid="{00000000-0005-0000-0000-00007E150000}"/>
    <cellStyle name="Normal 2 16 5 2" xfId="29837" xr:uid="{00000000-0005-0000-0000-00007F150000}"/>
    <cellStyle name="Normal 2 16 6" xfId="20807" xr:uid="{00000000-0005-0000-0000-000080150000}"/>
    <cellStyle name="Normal 2 17" xfId="1504" xr:uid="{00000000-0005-0000-0000-000081150000}"/>
    <cellStyle name="Normal 2 17 2" xfId="5986" xr:uid="{00000000-0005-0000-0000-000082150000}"/>
    <cellStyle name="Normal 2 17 2 2" xfId="15016" xr:uid="{00000000-0005-0000-0000-000083150000}"/>
    <cellStyle name="Normal 2 17 2 2 2" xfId="35068" xr:uid="{00000000-0005-0000-0000-000084150000}"/>
    <cellStyle name="Normal 2 17 2 3" xfId="26038" xr:uid="{00000000-0005-0000-0000-000085150000}"/>
    <cellStyle name="Normal 2 17 3" xfId="10534" xr:uid="{00000000-0005-0000-0000-000086150000}"/>
    <cellStyle name="Normal 2 17 3 2" xfId="30586" xr:uid="{00000000-0005-0000-0000-000087150000}"/>
    <cellStyle name="Normal 2 17 4" xfId="21556" xr:uid="{00000000-0005-0000-0000-000088150000}"/>
    <cellStyle name="Normal 2 18" xfId="2998" xr:uid="{00000000-0005-0000-0000-000089150000}"/>
    <cellStyle name="Normal 2 18 2" xfId="7480" xr:uid="{00000000-0005-0000-0000-00008A150000}"/>
    <cellStyle name="Normal 2 18 2 2" xfId="16510" xr:uid="{00000000-0005-0000-0000-00008B150000}"/>
    <cellStyle name="Normal 2 18 2 2 2" xfId="36562" xr:uid="{00000000-0005-0000-0000-00008C150000}"/>
    <cellStyle name="Normal 2 18 2 3" xfId="27532" xr:uid="{00000000-0005-0000-0000-00008D150000}"/>
    <cellStyle name="Normal 2 18 3" xfId="12028" xr:uid="{00000000-0005-0000-0000-00008E150000}"/>
    <cellStyle name="Normal 2 18 3 2" xfId="32080" xr:uid="{00000000-0005-0000-0000-00008F150000}"/>
    <cellStyle name="Normal 2 18 4" xfId="23050" xr:uid="{00000000-0005-0000-0000-000090150000}"/>
    <cellStyle name="Normal 2 19" xfId="4492" xr:uid="{00000000-0005-0000-0000-000091150000}"/>
    <cellStyle name="Normal 2 19 2" xfId="13522" xr:uid="{00000000-0005-0000-0000-000092150000}"/>
    <cellStyle name="Normal 2 19 2 2" xfId="33574" xr:uid="{00000000-0005-0000-0000-000093150000}"/>
    <cellStyle name="Normal 2 19 3" xfId="24544" xr:uid="{00000000-0005-0000-0000-000094150000}"/>
    <cellStyle name="Normal 2 2" xfId="2" xr:uid="{00000000-0005-0000-0000-000095150000}"/>
    <cellStyle name="Normal 2 2 10" xfId="175" xr:uid="{00000000-0005-0000-0000-000096150000}"/>
    <cellStyle name="Normal 2 2 10 10" xfId="20227" xr:uid="{00000000-0005-0000-0000-000097150000}"/>
    <cellStyle name="Normal 2 2 10 2" xfId="361" xr:uid="{00000000-0005-0000-0000-000098150000}"/>
    <cellStyle name="Normal 2 2 10 2 2" xfId="1104" xr:uid="{00000000-0005-0000-0000-000099150000}"/>
    <cellStyle name="Normal 2 2 10 2 2 2" xfId="2598" xr:uid="{00000000-0005-0000-0000-00009A150000}"/>
    <cellStyle name="Normal 2 2 10 2 2 2 2" xfId="7080" xr:uid="{00000000-0005-0000-0000-00009B150000}"/>
    <cellStyle name="Normal 2 2 10 2 2 2 2 2" xfId="16110" xr:uid="{00000000-0005-0000-0000-00009C150000}"/>
    <cellStyle name="Normal 2 2 10 2 2 2 2 2 2" xfId="36162" xr:uid="{00000000-0005-0000-0000-00009D150000}"/>
    <cellStyle name="Normal 2 2 10 2 2 2 2 3" xfId="27132" xr:uid="{00000000-0005-0000-0000-00009E150000}"/>
    <cellStyle name="Normal 2 2 10 2 2 2 3" xfId="11628" xr:uid="{00000000-0005-0000-0000-00009F150000}"/>
    <cellStyle name="Normal 2 2 10 2 2 2 3 2" xfId="31680" xr:uid="{00000000-0005-0000-0000-0000A0150000}"/>
    <cellStyle name="Normal 2 2 10 2 2 2 4" xfId="22650" xr:uid="{00000000-0005-0000-0000-0000A1150000}"/>
    <cellStyle name="Normal 2 2 10 2 2 3" xfId="4092" xr:uid="{00000000-0005-0000-0000-0000A2150000}"/>
    <cellStyle name="Normal 2 2 10 2 2 3 2" xfId="8574" xr:uid="{00000000-0005-0000-0000-0000A3150000}"/>
    <cellStyle name="Normal 2 2 10 2 2 3 2 2" xfId="17604" xr:uid="{00000000-0005-0000-0000-0000A4150000}"/>
    <cellStyle name="Normal 2 2 10 2 2 3 2 2 2" xfId="37656" xr:uid="{00000000-0005-0000-0000-0000A5150000}"/>
    <cellStyle name="Normal 2 2 10 2 2 3 2 3" xfId="28626" xr:uid="{00000000-0005-0000-0000-0000A6150000}"/>
    <cellStyle name="Normal 2 2 10 2 2 3 3" xfId="13122" xr:uid="{00000000-0005-0000-0000-0000A7150000}"/>
    <cellStyle name="Normal 2 2 10 2 2 3 3 2" xfId="33174" xr:uid="{00000000-0005-0000-0000-0000A8150000}"/>
    <cellStyle name="Normal 2 2 10 2 2 3 4" xfId="24144" xr:uid="{00000000-0005-0000-0000-0000A9150000}"/>
    <cellStyle name="Normal 2 2 10 2 2 4" xfId="5586" xr:uid="{00000000-0005-0000-0000-0000AA150000}"/>
    <cellStyle name="Normal 2 2 10 2 2 4 2" xfId="14616" xr:uid="{00000000-0005-0000-0000-0000AB150000}"/>
    <cellStyle name="Normal 2 2 10 2 2 4 2 2" xfId="34668" xr:uid="{00000000-0005-0000-0000-0000AC150000}"/>
    <cellStyle name="Normal 2 2 10 2 2 4 3" xfId="25638" xr:uid="{00000000-0005-0000-0000-0000AD150000}"/>
    <cellStyle name="Normal 2 2 10 2 2 5" xfId="10134" xr:uid="{00000000-0005-0000-0000-0000AE150000}"/>
    <cellStyle name="Normal 2 2 10 2 2 5 2" xfId="30186" xr:uid="{00000000-0005-0000-0000-0000AF150000}"/>
    <cellStyle name="Normal 2 2 10 2 2 6" xfId="21156" xr:uid="{00000000-0005-0000-0000-0000B0150000}"/>
    <cellStyle name="Normal 2 2 10 2 3" xfId="1855" xr:uid="{00000000-0005-0000-0000-0000B1150000}"/>
    <cellStyle name="Normal 2 2 10 2 3 2" xfId="6337" xr:uid="{00000000-0005-0000-0000-0000B2150000}"/>
    <cellStyle name="Normal 2 2 10 2 3 2 2" xfId="15367" xr:uid="{00000000-0005-0000-0000-0000B3150000}"/>
    <cellStyle name="Normal 2 2 10 2 3 2 2 2" xfId="35419" xr:uid="{00000000-0005-0000-0000-0000B4150000}"/>
    <cellStyle name="Normal 2 2 10 2 3 2 3" xfId="26389" xr:uid="{00000000-0005-0000-0000-0000B5150000}"/>
    <cellStyle name="Normal 2 2 10 2 3 3" xfId="10885" xr:uid="{00000000-0005-0000-0000-0000B6150000}"/>
    <cellStyle name="Normal 2 2 10 2 3 3 2" xfId="30937" xr:uid="{00000000-0005-0000-0000-0000B7150000}"/>
    <cellStyle name="Normal 2 2 10 2 3 4" xfId="21907" xr:uid="{00000000-0005-0000-0000-0000B8150000}"/>
    <cellStyle name="Normal 2 2 10 2 4" xfId="3349" xr:uid="{00000000-0005-0000-0000-0000B9150000}"/>
    <cellStyle name="Normal 2 2 10 2 4 2" xfId="7831" xr:uid="{00000000-0005-0000-0000-0000BA150000}"/>
    <cellStyle name="Normal 2 2 10 2 4 2 2" xfId="16861" xr:uid="{00000000-0005-0000-0000-0000BB150000}"/>
    <cellStyle name="Normal 2 2 10 2 4 2 2 2" xfId="36913" xr:uid="{00000000-0005-0000-0000-0000BC150000}"/>
    <cellStyle name="Normal 2 2 10 2 4 2 3" xfId="27883" xr:uid="{00000000-0005-0000-0000-0000BD150000}"/>
    <cellStyle name="Normal 2 2 10 2 4 3" xfId="12379" xr:uid="{00000000-0005-0000-0000-0000BE150000}"/>
    <cellStyle name="Normal 2 2 10 2 4 3 2" xfId="32431" xr:uid="{00000000-0005-0000-0000-0000BF150000}"/>
    <cellStyle name="Normal 2 2 10 2 4 4" xfId="23401" xr:uid="{00000000-0005-0000-0000-0000C0150000}"/>
    <cellStyle name="Normal 2 2 10 2 5" xfId="4843" xr:uid="{00000000-0005-0000-0000-0000C1150000}"/>
    <cellStyle name="Normal 2 2 10 2 5 2" xfId="13873" xr:uid="{00000000-0005-0000-0000-0000C2150000}"/>
    <cellStyle name="Normal 2 2 10 2 5 2 2" xfId="33925" xr:uid="{00000000-0005-0000-0000-0000C3150000}"/>
    <cellStyle name="Normal 2 2 10 2 5 3" xfId="24895" xr:uid="{00000000-0005-0000-0000-0000C4150000}"/>
    <cellStyle name="Normal 2 2 10 2 6" xfId="9391" xr:uid="{00000000-0005-0000-0000-0000C5150000}"/>
    <cellStyle name="Normal 2 2 10 2 6 2" xfId="29443" xr:uid="{00000000-0005-0000-0000-0000C6150000}"/>
    <cellStyle name="Normal 2 2 10 2 7" xfId="20413" xr:uid="{00000000-0005-0000-0000-0000C7150000}"/>
    <cellStyle name="Normal 2 2 10 3" xfId="547" xr:uid="{00000000-0005-0000-0000-0000C8150000}"/>
    <cellStyle name="Normal 2 2 10 3 2" xfId="1294" xr:uid="{00000000-0005-0000-0000-0000C9150000}"/>
    <cellStyle name="Normal 2 2 10 3 2 2" xfId="2788" xr:uid="{00000000-0005-0000-0000-0000CA150000}"/>
    <cellStyle name="Normal 2 2 10 3 2 2 2" xfId="7270" xr:uid="{00000000-0005-0000-0000-0000CB150000}"/>
    <cellStyle name="Normal 2 2 10 3 2 2 2 2" xfId="16300" xr:uid="{00000000-0005-0000-0000-0000CC150000}"/>
    <cellStyle name="Normal 2 2 10 3 2 2 2 2 2" xfId="36352" xr:uid="{00000000-0005-0000-0000-0000CD150000}"/>
    <cellStyle name="Normal 2 2 10 3 2 2 2 3" xfId="27322" xr:uid="{00000000-0005-0000-0000-0000CE150000}"/>
    <cellStyle name="Normal 2 2 10 3 2 2 3" xfId="11818" xr:uid="{00000000-0005-0000-0000-0000CF150000}"/>
    <cellStyle name="Normal 2 2 10 3 2 2 3 2" xfId="31870" xr:uid="{00000000-0005-0000-0000-0000D0150000}"/>
    <cellStyle name="Normal 2 2 10 3 2 2 4" xfId="22840" xr:uid="{00000000-0005-0000-0000-0000D1150000}"/>
    <cellStyle name="Normal 2 2 10 3 2 3" xfId="4282" xr:uid="{00000000-0005-0000-0000-0000D2150000}"/>
    <cellStyle name="Normal 2 2 10 3 2 3 2" xfId="8764" xr:uid="{00000000-0005-0000-0000-0000D3150000}"/>
    <cellStyle name="Normal 2 2 10 3 2 3 2 2" xfId="17794" xr:uid="{00000000-0005-0000-0000-0000D4150000}"/>
    <cellStyle name="Normal 2 2 10 3 2 3 2 2 2" xfId="37846" xr:uid="{00000000-0005-0000-0000-0000D5150000}"/>
    <cellStyle name="Normal 2 2 10 3 2 3 2 3" xfId="28816" xr:uid="{00000000-0005-0000-0000-0000D6150000}"/>
    <cellStyle name="Normal 2 2 10 3 2 3 3" xfId="13312" xr:uid="{00000000-0005-0000-0000-0000D7150000}"/>
    <cellStyle name="Normal 2 2 10 3 2 3 3 2" xfId="33364" xr:uid="{00000000-0005-0000-0000-0000D8150000}"/>
    <cellStyle name="Normal 2 2 10 3 2 3 4" xfId="24334" xr:uid="{00000000-0005-0000-0000-0000D9150000}"/>
    <cellStyle name="Normal 2 2 10 3 2 4" xfId="5776" xr:uid="{00000000-0005-0000-0000-0000DA150000}"/>
    <cellStyle name="Normal 2 2 10 3 2 4 2" xfId="14806" xr:uid="{00000000-0005-0000-0000-0000DB150000}"/>
    <cellStyle name="Normal 2 2 10 3 2 4 2 2" xfId="34858" xr:uid="{00000000-0005-0000-0000-0000DC150000}"/>
    <cellStyle name="Normal 2 2 10 3 2 4 3" xfId="25828" xr:uid="{00000000-0005-0000-0000-0000DD150000}"/>
    <cellStyle name="Normal 2 2 10 3 2 5" xfId="10324" xr:uid="{00000000-0005-0000-0000-0000DE150000}"/>
    <cellStyle name="Normal 2 2 10 3 2 5 2" xfId="30376" xr:uid="{00000000-0005-0000-0000-0000DF150000}"/>
    <cellStyle name="Normal 2 2 10 3 2 6" xfId="21346" xr:uid="{00000000-0005-0000-0000-0000E0150000}"/>
    <cellStyle name="Normal 2 2 10 3 3" xfId="2041" xr:uid="{00000000-0005-0000-0000-0000E1150000}"/>
    <cellStyle name="Normal 2 2 10 3 3 2" xfId="6523" xr:uid="{00000000-0005-0000-0000-0000E2150000}"/>
    <cellStyle name="Normal 2 2 10 3 3 2 2" xfId="15553" xr:uid="{00000000-0005-0000-0000-0000E3150000}"/>
    <cellStyle name="Normal 2 2 10 3 3 2 2 2" xfId="35605" xr:uid="{00000000-0005-0000-0000-0000E4150000}"/>
    <cellStyle name="Normal 2 2 10 3 3 2 3" xfId="26575" xr:uid="{00000000-0005-0000-0000-0000E5150000}"/>
    <cellStyle name="Normal 2 2 10 3 3 3" xfId="11071" xr:uid="{00000000-0005-0000-0000-0000E6150000}"/>
    <cellStyle name="Normal 2 2 10 3 3 3 2" xfId="31123" xr:uid="{00000000-0005-0000-0000-0000E7150000}"/>
    <cellStyle name="Normal 2 2 10 3 3 4" xfId="22093" xr:uid="{00000000-0005-0000-0000-0000E8150000}"/>
    <cellStyle name="Normal 2 2 10 3 4" xfId="3535" xr:uid="{00000000-0005-0000-0000-0000E9150000}"/>
    <cellStyle name="Normal 2 2 10 3 4 2" xfId="8017" xr:uid="{00000000-0005-0000-0000-0000EA150000}"/>
    <cellStyle name="Normal 2 2 10 3 4 2 2" xfId="17047" xr:uid="{00000000-0005-0000-0000-0000EB150000}"/>
    <cellStyle name="Normal 2 2 10 3 4 2 2 2" xfId="37099" xr:uid="{00000000-0005-0000-0000-0000EC150000}"/>
    <cellStyle name="Normal 2 2 10 3 4 2 3" xfId="28069" xr:uid="{00000000-0005-0000-0000-0000ED150000}"/>
    <cellStyle name="Normal 2 2 10 3 4 3" xfId="12565" xr:uid="{00000000-0005-0000-0000-0000EE150000}"/>
    <cellStyle name="Normal 2 2 10 3 4 3 2" xfId="32617" xr:uid="{00000000-0005-0000-0000-0000EF150000}"/>
    <cellStyle name="Normal 2 2 10 3 4 4" xfId="23587" xr:uid="{00000000-0005-0000-0000-0000F0150000}"/>
    <cellStyle name="Normal 2 2 10 3 5" xfId="5029" xr:uid="{00000000-0005-0000-0000-0000F1150000}"/>
    <cellStyle name="Normal 2 2 10 3 5 2" xfId="14059" xr:uid="{00000000-0005-0000-0000-0000F2150000}"/>
    <cellStyle name="Normal 2 2 10 3 5 2 2" xfId="34111" xr:uid="{00000000-0005-0000-0000-0000F3150000}"/>
    <cellStyle name="Normal 2 2 10 3 5 3" xfId="25081" xr:uid="{00000000-0005-0000-0000-0000F4150000}"/>
    <cellStyle name="Normal 2 2 10 3 6" xfId="9577" xr:uid="{00000000-0005-0000-0000-0000F5150000}"/>
    <cellStyle name="Normal 2 2 10 3 6 2" xfId="29629" xr:uid="{00000000-0005-0000-0000-0000F6150000}"/>
    <cellStyle name="Normal 2 2 10 3 7" xfId="20599" xr:uid="{00000000-0005-0000-0000-0000F7150000}"/>
    <cellStyle name="Normal 2 2 10 4" xfId="733" xr:uid="{00000000-0005-0000-0000-0000F8150000}"/>
    <cellStyle name="Normal 2 2 10 4 2" xfId="1480" xr:uid="{00000000-0005-0000-0000-0000F9150000}"/>
    <cellStyle name="Normal 2 2 10 4 2 2" xfId="2974" xr:uid="{00000000-0005-0000-0000-0000FA150000}"/>
    <cellStyle name="Normal 2 2 10 4 2 2 2" xfId="7456" xr:uid="{00000000-0005-0000-0000-0000FB150000}"/>
    <cellStyle name="Normal 2 2 10 4 2 2 2 2" xfId="16486" xr:uid="{00000000-0005-0000-0000-0000FC150000}"/>
    <cellStyle name="Normal 2 2 10 4 2 2 2 2 2" xfId="36538" xr:uid="{00000000-0005-0000-0000-0000FD150000}"/>
    <cellStyle name="Normal 2 2 10 4 2 2 2 3" xfId="27508" xr:uid="{00000000-0005-0000-0000-0000FE150000}"/>
    <cellStyle name="Normal 2 2 10 4 2 2 3" xfId="12004" xr:uid="{00000000-0005-0000-0000-0000FF150000}"/>
    <cellStyle name="Normal 2 2 10 4 2 2 3 2" xfId="32056" xr:uid="{00000000-0005-0000-0000-000000160000}"/>
    <cellStyle name="Normal 2 2 10 4 2 2 4" xfId="23026" xr:uid="{00000000-0005-0000-0000-000001160000}"/>
    <cellStyle name="Normal 2 2 10 4 2 3" xfId="4468" xr:uid="{00000000-0005-0000-0000-000002160000}"/>
    <cellStyle name="Normal 2 2 10 4 2 3 2" xfId="8950" xr:uid="{00000000-0005-0000-0000-000003160000}"/>
    <cellStyle name="Normal 2 2 10 4 2 3 2 2" xfId="17980" xr:uid="{00000000-0005-0000-0000-000004160000}"/>
    <cellStyle name="Normal 2 2 10 4 2 3 2 2 2" xfId="38032" xr:uid="{00000000-0005-0000-0000-000005160000}"/>
    <cellStyle name="Normal 2 2 10 4 2 3 2 3" xfId="29002" xr:uid="{00000000-0005-0000-0000-000006160000}"/>
    <cellStyle name="Normal 2 2 10 4 2 3 3" xfId="13498" xr:uid="{00000000-0005-0000-0000-000007160000}"/>
    <cellStyle name="Normal 2 2 10 4 2 3 3 2" xfId="33550" xr:uid="{00000000-0005-0000-0000-000008160000}"/>
    <cellStyle name="Normal 2 2 10 4 2 3 4" xfId="24520" xr:uid="{00000000-0005-0000-0000-000009160000}"/>
    <cellStyle name="Normal 2 2 10 4 2 4" xfId="5962" xr:uid="{00000000-0005-0000-0000-00000A160000}"/>
    <cellStyle name="Normal 2 2 10 4 2 4 2" xfId="14992" xr:uid="{00000000-0005-0000-0000-00000B160000}"/>
    <cellStyle name="Normal 2 2 10 4 2 4 2 2" xfId="35044" xr:uid="{00000000-0005-0000-0000-00000C160000}"/>
    <cellStyle name="Normal 2 2 10 4 2 4 3" xfId="26014" xr:uid="{00000000-0005-0000-0000-00000D160000}"/>
    <cellStyle name="Normal 2 2 10 4 2 5" xfId="10510" xr:uid="{00000000-0005-0000-0000-00000E160000}"/>
    <cellStyle name="Normal 2 2 10 4 2 5 2" xfId="30562" xr:uid="{00000000-0005-0000-0000-00000F160000}"/>
    <cellStyle name="Normal 2 2 10 4 2 6" xfId="21532" xr:uid="{00000000-0005-0000-0000-000010160000}"/>
    <cellStyle name="Normal 2 2 10 4 3" xfId="2227" xr:uid="{00000000-0005-0000-0000-000011160000}"/>
    <cellStyle name="Normal 2 2 10 4 3 2" xfId="6709" xr:uid="{00000000-0005-0000-0000-000012160000}"/>
    <cellStyle name="Normal 2 2 10 4 3 2 2" xfId="15739" xr:uid="{00000000-0005-0000-0000-000013160000}"/>
    <cellStyle name="Normal 2 2 10 4 3 2 2 2" xfId="35791" xr:uid="{00000000-0005-0000-0000-000014160000}"/>
    <cellStyle name="Normal 2 2 10 4 3 2 3" xfId="26761" xr:uid="{00000000-0005-0000-0000-000015160000}"/>
    <cellStyle name="Normal 2 2 10 4 3 3" xfId="11257" xr:uid="{00000000-0005-0000-0000-000016160000}"/>
    <cellStyle name="Normal 2 2 10 4 3 3 2" xfId="31309" xr:uid="{00000000-0005-0000-0000-000017160000}"/>
    <cellStyle name="Normal 2 2 10 4 3 4" xfId="22279" xr:uid="{00000000-0005-0000-0000-000018160000}"/>
    <cellStyle name="Normal 2 2 10 4 4" xfId="3721" xr:uid="{00000000-0005-0000-0000-000019160000}"/>
    <cellStyle name="Normal 2 2 10 4 4 2" xfId="8203" xr:uid="{00000000-0005-0000-0000-00001A160000}"/>
    <cellStyle name="Normal 2 2 10 4 4 2 2" xfId="17233" xr:uid="{00000000-0005-0000-0000-00001B160000}"/>
    <cellStyle name="Normal 2 2 10 4 4 2 2 2" xfId="37285" xr:uid="{00000000-0005-0000-0000-00001C160000}"/>
    <cellStyle name="Normal 2 2 10 4 4 2 3" xfId="28255" xr:uid="{00000000-0005-0000-0000-00001D160000}"/>
    <cellStyle name="Normal 2 2 10 4 4 3" xfId="12751" xr:uid="{00000000-0005-0000-0000-00001E160000}"/>
    <cellStyle name="Normal 2 2 10 4 4 3 2" xfId="32803" xr:uid="{00000000-0005-0000-0000-00001F160000}"/>
    <cellStyle name="Normal 2 2 10 4 4 4" xfId="23773" xr:uid="{00000000-0005-0000-0000-000020160000}"/>
    <cellStyle name="Normal 2 2 10 4 5" xfId="5215" xr:uid="{00000000-0005-0000-0000-000021160000}"/>
    <cellStyle name="Normal 2 2 10 4 5 2" xfId="14245" xr:uid="{00000000-0005-0000-0000-000022160000}"/>
    <cellStyle name="Normal 2 2 10 4 5 2 2" xfId="34297" xr:uid="{00000000-0005-0000-0000-000023160000}"/>
    <cellStyle name="Normal 2 2 10 4 5 3" xfId="25267" xr:uid="{00000000-0005-0000-0000-000024160000}"/>
    <cellStyle name="Normal 2 2 10 4 6" xfId="9763" xr:uid="{00000000-0005-0000-0000-000025160000}"/>
    <cellStyle name="Normal 2 2 10 4 6 2" xfId="29815" xr:uid="{00000000-0005-0000-0000-000026160000}"/>
    <cellStyle name="Normal 2 2 10 4 7" xfId="20785" xr:uid="{00000000-0005-0000-0000-000027160000}"/>
    <cellStyle name="Normal 2 2 10 5" xfId="920" xr:uid="{00000000-0005-0000-0000-000028160000}"/>
    <cellStyle name="Normal 2 2 10 5 2" xfId="2414" xr:uid="{00000000-0005-0000-0000-000029160000}"/>
    <cellStyle name="Normal 2 2 10 5 2 2" xfId="6896" xr:uid="{00000000-0005-0000-0000-00002A160000}"/>
    <cellStyle name="Normal 2 2 10 5 2 2 2" xfId="15926" xr:uid="{00000000-0005-0000-0000-00002B160000}"/>
    <cellStyle name="Normal 2 2 10 5 2 2 2 2" xfId="35978" xr:uid="{00000000-0005-0000-0000-00002C160000}"/>
    <cellStyle name="Normal 2 2 10 5 2 2 3" xfId="26948" xr:uid="{00000000-0005-0000-0000-00002D160000}"/>
    <cellStyle name="Normal 2 2 10 5 2 3" xfId="11444" xr:uid="{00000000-0005-0000-0000-00002E160000}"/>
    <cellStyle name="Normal 2 2 10 5 2 3 2" xfId="31496" xr:uid="{00000000-0005-0000-0000-00002F160000}"/>
    <cellStyle name="Normal 2 2 10 5 2 4" xfId="22466" xr:uid="{00000000-0005-0000-0000-000030160000}"/>
    <cellStyle name="Normal 2 2 10 5 3" xfId="3908" xr:uid="{00000000-0005-0000-0000-000031160000}"/>
    <cellStyle name="Normal 2 2 10 5 3 2" xfId="8390" xr:uid="{00000000-0005-0000-0000-000032160000}"/>
    <cellStyle name="Normal 2 2 10 5 3 2 2" xfId="17420" xr:uid="{00000000-0005-0000-0000-000033160000}"/>
    <cellStyle name="Normal 2 2 10 5 3 2 2 2" xfId="37472" xr:uid="{00000000-0005-0000-0000-000034160000}"/>
    <cellStyle name="Normal 2 2 10 5 3 2 3" xfId="28442" xr:uid="{00000000-0005-0000-0000-000035160000}"/>
    <cellStyle name="Normal 2 2 10 5 3 3" xfId="12938" xr:uid="{00000000-0005-0000-0000-000036160000}"/>
    <cellStyle name="Normal 2 2 10 5 3 3 2" xfId="32990" xr:uid="{00000000-0005-0000-0000-000037160000}"/>
    <cellStyle name="Normal 2 2 10 5 3 4" xfId="23960" xr:uid="{00000000-0005-0000-0000-000038160000}"/>
    <cellStyle name="Normal 2 2 10 5 4" xfId="5402" xr:uid="{00000000-0005-0000-0000-000039160000}"/>
    <cellStyle name="Normal 2 2 10 5 4 2" xfId="14432" xr:uid="{00000000-0005-0000-0000-00003A160000}"/>
    <cellStyle name="Normal 2 2 10 5 4 2 2" xfId="34484" xr:uid="{00000000-0005-0000-0000-00003B160000}"/>
    <cellStyle name="Normal 2 2 10 5 4 3" xfId="25454" xr:uid="{00000000-0005-0000-0000-00003C160000}"/>
    <cellStyle name="Normal 2 2 10 5 5" xfId="9950" xr:uid="{00000000-0005-0000-0000-00003D160000}"/>
    <cellStyle name="Normal 2 2 10 5 5 2" xfId="30002" xr:uid="{00000000-0005-0000-0000-00003E160000}"/>
    <cellStyle name="Normal 2 2 10 5 6" xfId="20972" xr:uid="{00000000-0005-0000-0000-00003F160000}"/>
    <cellStyle name="Normal 2 2 10 6" xfId="1669" xr:uid="{00000000-0005-0000-0000-000040160000}"/>
    <cellStyle name="Normal 2 2 10 6 2" xfId="6151" xr:uid="{00000000-0005-0000-0000-000041160000}"/>
    <cellStyle name="Normal 2 2 10 6 2 2" xfId="15181" xr:uid="{00000000-0005-0000-0000-000042160000}"/>
    <cellStyle name="Normal 2 2 10 6 2 2 2" xfId="35233" xr:uid="{00000000-0005-0000-0000-000043160000}"/>
    <cellStyle name="Normal 2 2 10 6 2 3" xfId="26203" xr:uid="{00000000-0005-0000-0000-000044160000}"/>
    <cellStyle name="Normal 2 2 10 6 3" xfId="10699" xr:uid="{00000000-0005-0000-0000-000045160000}"/>
    <cellStyle name="Normal 2 2 10 6 3 2" xfId="30751" xr:uid="{00000000-0005-0000-0000-000046160000}"/>
    <cellStyle name="Normal 2 2 10 6 4" xfId="21721" xr:uid="{00000000-0005-0000-0000-000047160000}"/>
    <cellStyle name="Normal 2 2 10 7" xfId="3163" xr:uid="{00000000-0005-0000-0000-000048160000}"/>
    <cellStyle name="Normal 2 2 10 7 2" xfId="7645" xr:uid="{00000000-0005-0000-0000-000049160000}"/>
    <cellStyle name="Normal 2 2 10 7 2 2" xfId="16675" xr:uid="{00000000-0005-0000-0000-00004A160000}"/>
    <cellStyle name="Normal 2 2 10 7 2 2 2" xfId="36727" xr:uid="{00000000-0005-0000-0000-00004B160000}"/>
    <cellStyle name="Normal 2 2 10 7 2 3" xfId="27697" xr:uid="{00000000-0005-0000-0000-00004C160000}"/>
    <cellStyle name="Normal 2 2 10 7 3" xfId="12193" xr:uid="{00000000-0005-0000-0000-00004D160000}"/>
    <cellStyle name="Normal 2 2 10 7 3 2" xfId="32245" xr:uid="{00000000-0005-0000-0000-00004E160000}"/>
    <cellStyle name="Normal 2 2 10 7 4" xfId="23215" xr:uid="{00000000-0005-0000-0000-00004F160000}"/>
    <cellStyle name="Normal 2 2 10 8" xfId="4657" xr:uid="{00000000-0005-0000-0000-000050160000}"/>
    <cellStyle name="Normal 2 2 10 8 2" xfId="13687" xr:uid="{00000000-0005-0000-0000-000051160000}"/>
    <cellStyle name="Normal 2 2 10 8 2 2" xfId="33739" xr:uid="{00000000-0005-0000-0000-000052160000}"/>
    <cellStyle name="Normal 2 2 10 8 3" xfId="24709" xr:uid="{00000000-0005-0000-0000-000053160000}"/>
    <cellStyle name="Normal 2 2 10 9" xfId="9205" xr:uid="{00000000-0005-0000-0000-000054160000}"/>
    <cellStyle name="Normal 2 2 10 9 2" xfId="29257" xr:uid="{00000000-0005-0000-0000-000055160000}"/>
    <cellStyle name="Normal 2 2 11" xfId="198" xr:uid="{00000000-0005-0000-0000-000056160000}"/>
    <cellStyle name="Normal 2 2 11 2" xfId="943" xr:uid="{00000000-0005-0000-0000-000057160000}"/>
    <cellStyle name="Normal 2 2 11 2 2" xfId="2437" xr:uid="{00000000-0005-0000-0000-000058160000}"/>
    <cellStyle name="Normal 2 2 11 2 2 2" xfId="6919" xr:uid="{00000000-0005-0000-0000-000059160000}"/>
    <cellStyle name="Normal 2 2 11 2 2 2 2" xfId="15949" xr:uid="{00000000-0005-0000-0000-00005A160000}"/>
    <cellStyle name="Normal 2 2 11 2 2 2 2 2" xfId="36001" xr:uid="{00000000-0005-0000-0000-00005B160000}"/>
    <cellStyle name="Normal 2 2 11 2 2 2 3" xfId="26971" xr:uid="{00000000-0005-0000-0000-00005C160000}"/>
    <cellStyle name="Normal 2 2 11 2 2 3" xfId="11467" xr:uid="{00000000-0005-0000-0000-00005D160000}"/>
    <cellStyle name="Normal 2 2 11 2 2 3 2" xfId="31519" xr:uid="{00000000-0005-0000-0000-00005E160000}"/>
    <cellStyle name="Normal 2 2 11 2 2 4" xfId="22489" xr:uid="{00000000-0005-0000-0000-00005F160000}"/>
    <cellStyle name="Normal 2 2 11 2 3" xfId="3931" xr:uid="{00000000-0005-0000-0000-000060160000}"/>
    <cellStyle name="Normal 2 2 11 2 3 2" xfId="8413" xr:uid="{00000000-0005-0000-0000-000061160000}"/>
    <cellStyle name="Normal 2 2 11 2 3 2 2" xfId="17443" xr:uid="{00000000-0005-0000-0000-000062160000}"/>
    <cellStyle name="Normal 2 2 11 2 3 2 2 2" xfId="37495" xr:uid="{00000000-0005-0000-0000-000063160000}"/>
    <cellStyle name="Normal 2 2 11 2 3 2 3" xfId="28465" xr:uid="{00000000-0005-0000-0000-000064160000}"/>
    <cellStyle name="Normal 2 2 11 2 3 3" xfId="12961" xr:uid="{00000000-0005-0000-0000-000065160000}"/>
    <cellStyle name="Normal 2 2 11 2 3 3 2" xfId="33013" xr:uid="{00000000-0005-0000-0000-000066160000}"/>
    <cellStyle name="Normal 2 2 11 2 3 4" xfId="23983" xr:uid="{00000000-0005-0000-0000-000067160000}"/>
    <cellStyle name="Normal 2 2 11 2 4" xfId="5425" xr:uid="{00000000-0005-0000-0000-000068160000}"/>
    <cellStyle name="Normal 2 2 11 2 4 2" xfId="14455" xr:uid="{00000000-0005-0000-0000-000069160000}"/>
    <cellStyle name="Normal 2 2 11 2 4 2 2" xfId="34507" xr:uid="{00000000-0005-0000-0000-00006A160000}"/>
    <cellStyle name="Normal 2 2 11 2 4 3" xfId="25477" xr:uid="{00000000-0005-0000-0000-00006B160000}"/>
    <cellStyle name="Normal 2 2 11 2 5" xfId="9973" xr:uid="{00000000-0005-0000-0000-00006C160000}"/>
    <cellStyle name="Normal 2 2 11 2 5 2" xfId="30025" xr:uid="{00000000-0005-0000-0000-00006D160000}"/>
    <cellStyle name="Normal 2 2 11 2 6" xfId="20995" xr:uid="{00000000-0005-0000-0000-00006E160000}"/>
    <cellStyle name="Normal 2 2 11 3" xfId="1692" xr:uid="{00000000-0005-0000-0000-00006F160000}"/>
    <cellStyle name="Normal 2 2 11 3 2" xfId="6174" xr:uid="{00000000-0005-0000-0000-000070160000}"/>
    <cellStyle name="Normal 2 2 11 3 2 2" xfId="15204" xr:uid="{00000000-0005-0000-0000-000071160000}"/>
    <cellStyle name="Normal 2 2 11 3 2 2 2" xfId="35256" xr:uid="{00000000-0005-0000-0000-000072160000}"/>
    <cellStyle name="Normal 2 2 11 3 2 3" xfId="26226" xr:uid="{00000000-0005-0000-0000-000073160000}"/>
    <cellStyle name="Normal 2 2 11 3 3" xfId="10722" xr:uid="{00000000-0005-0000-0000-000074160000}"/>
    <cellStyle name="Normal 2 2 11 3 3 2" xfId="30774" xr:uid="{00000000-0005-0000-0000-000075160000}"/>
    <cellStyle name="Normal 2 2 11 3 4" xfId="21744" xr:uid="{00000000-0005-0000-0000-000076160000}"/>
    <cellStyle name="Normal 2 2 11 4" xfId="3186" xr:uid="{00000000-0005-0000-0000-000077160000}"/>
    <cellStyle name="Normal 2 2 11 4 2" xfId="7668" xr:uid="{00000000-0005-0000-0000-000078160000}"/>
    <cellStyle name="Normal 2 2 11 4 2 2" xfId="16698" xr:uid="{00000000-0005-0000-0000-000079160000}"/>
    <cellStyle name="Normal 2 2 11 4 2 2 2" xfId="36750" xr:uid="{00000000-0005-0000-0000-00007A160000}"/>
    <cellStyle name="Normal 2 2 11 4 2 3" xfId="27720" xr:uid="{00000000-0005-0000-0000-00007B160000}"/>
    <cellStyle name="Normal 2 2 11 4 3" xfId="12216" xr:uid="{00000000-0005-0000-0000-00007C160000}"/>
    <cellStyle name="Normal 2 2 11 4 3 2" xfId="32268" xr:uid="{00000000-0005-0000-0000-00007D160000}"/>
    <cellStyle name="Normal 2 2 11 4 4" xfId="23238" xr:uid="{00000000-0005-0000-0000-00007E160000}"/>
    <cellStyle name="Normal 2 2 11 5" xfId="4680" xr:uid="{00000000-0005-0000-0000-00007F160000}"/>
    <cellStyle name="Normal 2 2 11 5 2" xfId="13710" xr:uid="{00000000-0005-0000-0000-000080160000}"/>
    <cellStyle name="Normal 2 2 11 5 2 2" xfId="33762" xr:uid="{00000000-0005-0000-0000-000081160000}"/>
    <cellStyle name="Normal 2 2 11 5 3" xfId="24732" xr:uid="{00000000-0005-0000-0000-000082160000}"/>
    <cellStyle name="Normal 2 2 11 6" xfId="9228" xr:uid="{00000000-0005-0000-0000-000083160000}"/>
    <cellStyle name="Normal 2 2 11 6 2" xfId="29280" xr:uid="{00000000-0005-0000-0000-000084160000}"/>
    <cellStyle name="Normal 2 2 11 7" xfId="20250" xr:uid="{00000000-0005-0000-0000-000085160000}"/>
    <cellStyle name="Normal 2 2 12" xfId="384" xr:uid="{00000000-0005-0000-0000-000086160000}"/>
    <cellStyle name="Normal 2 2 12 2" xfId="1131" xr:uid="{00000000-0005-0000-0000-000087160000}"/>
    <cellStyle name="Normal 2 2 12 2 2" xfId="2625" xr:uid="{00000000-0005-0000-0000-000088160000}"/>
    <cellStyle name="Normal 2 2 12 2 2 2" xfId="7107" xr:uid="{00000000-0005-0000-0000-000089160000}"/>
    <cellStyle name="Normal 2 2 12 2 2 2 2" xfId="16137" xr:uid="{00000000-0005-0000-0000-00008A160000}"/>
    <cellStyle name="Normal 2 2 12 2 2 2 2 2" xfId="36189" xr:uid="{00000000-0005-0000-0000-00008B160000}"/>
    <cellStyle name="Normal 2 2 12 2 2 2 3" xfId="27159" xr:uid="{00000000-0005-0000-0000-00008C160000}"/>
    <cellStyle name="Normal 2 2 12 2 2 3" xfId="11655" xr:uid="{00000000-0005-0000-0000-00008D160000}"/>
    <cellStyle name="Normal 2 2 12 2 2 3 2" xfId="31707" xr:uid="{00000000-0005-0000-0000-00008E160000}"/>
    <cellStyle name="Normal 2 2 12 2 2 4" xfId="22677" xr:uid="{00000000-0005-0000-0000-00008F160000}"/>
    <cellStyle name="Normal 2 2 12 2 3" xfId="4119" xr:uid="{00000000-0005-0000-0000-000090160000}"/>
    <cellStyle name="Normal 2 2 12 2 3 2" xfId="8601" xr:uid="{00000000-0005-0000-0000-000091160000}"/>
    <cellStyle name="Normal 2 2 12 2 3 2 2" xfId="17631" xr:uid="{00000000-0005-0000-0000-000092160000}"/>
    <cellStyle name="Normal 2 2 12 2 3 2 2 2" xfId="37683" xr:uid="{00000000-0005-0000-0000-000093160000}"/>
    <cellStyle name="Normal 2 2 12 2 3 2 3" xfId="28653" xr:uid="{00000000-0005-0000-0000-000094160000}"/>
    <cellStyle name="Normal 2 2 12 2 3 3" xfId="13149" xr:uid="{00000000-0005-0000-0000-000095160000}"/>
    <cellStyle name="Normal 2 2 12 2 3 3 2" xfId="33201" xr:uid="{00000000-0005-0000-0000-000096160000}"/>
    <cellStyle name="Normal 2 2 12 2 3 4" xfId="24171" xr:uid="{00000000-0005-0000-0000-000097160000}"/>
    <cellStyle name="Normal 2 2 12 2 4" xfId="5613" xr:uid="{00000000-0005-0000-0000-000098160000}"/>
    <cellStyle name="Normal 2 2 12 2 4 2" xfId="14643" xr:uid="{00000000-0005-0000-0000-000099160000}"/>
    <cellStyle name="Normal 2 2 12 2 4 2 2" xfId="34695" xr:uid="{00000000-0005-0000-0000-00009A160000}"/>
    <cellStyle name="Normal 2 2 12 2 4 3" xfId="25665" xr:uid="{00000000-0005-0000-0000-00009B160000}"/>
    <cellStyle name="Normal 2 2 12 2 5" xfId="10161" xr:uid="{00000000-0005-0000-0000-00009C160000}"/>
    <cellStyle name="Normal 2 2 12 2 5 2" xfId="30213" xr:uid="{00000000-0005-0000-0000-00009D160000}"/>
    <cellStyle name="Normal 2 2 12 2 6" xfId="21183" xr:uid="{00000000-0005-0000-0000-00009E160000}"/>
    <cellStyle name="Normal 2 2 12 3" xfId="1878" xr:uid="{00000000-0005-0000-0000-00009F160000}"/>
    <cellStyle name="Normal 2 2 12 3 2" xfId="6360" xr:uid="{00000000-0005-0000-0000-0000A0160000}"/>
    <cellStyle name="Normal 2 2 12 3 2 2" xfId="15390" xr:uid="{00000000-0005-0000-0000-0000A1160000}"/>
    <cellStyle name="Normal 2 2 12 3 2 2 2" xfId="35442" xr:uid="{00000000-0005-0000-0000-0000A2160000}"/>
    <cellStyle name="Normal 2 2 12 3 2 3" xfId="26412" xr:uid="{00000000-0005-0000-0000-0000A3160000}"/>
    <cellStyle name="Normal 2 2 12 3 3" xfId="10908" xr:uid="{00000000-0005-0000-0000-0000A4160000}"/>
    <cellStyle name="Normal 2 2 12 3 3 2" xfId="30960" xr:uid="{00000000-0005-0000-0000-0000A5160000}"/>
    <cellStyle name="Normal 2 2 12 3 4" xfId="21930" xr:uid="{00000000-0005-0000-0000-0000A6160000}"/>
    <cellStyle name="Normal 2 2 12 4" xfId="3372" xr:uid="{00000000-0005-0000-0000-0000A7160000}"/>
    <cellStyle name="Normal 2 2 12 4 2" xfId="7854" xr:uid="{00000000-0005-0000-0000-0000A8160000}"/>
    <cellStyle name="Normal 2 2 12 4 2 2" xfId="16884" xr:uid="{00000000-0005-0000-0000-0000A9160000}"/>
    <cellStyle name="Normal 2 2 12 4 2 2 2" xfId="36936" xr:uid="{00000000-0005-0000-0000-0000AA160000}"/>
    <cellStyle name="Normal 2 2 12 4 2 3" xfId="27906" xr:uid="{00000000-0005-0000-0000-0000AB160000}"/>
    <cellStyle name="Normal 2 2 12 4 3" xfId="12402" xr:uid="{00000000-0005-0000-0000-0000AC160000}"/>
    <cellStyle name="Normal 2 2 12 4 3 2" xfId="32454" xr:uid="{00000000-0005-0000-0000-0000AD160000}"/>
    <cellStyle name="Normal 2 2 12 4 4" xfId="23424" xr:uid="{00000000-0005-0000-0000-0000AE160000}"/>
    <cellStyle name="Normal 2 2 12 5" xfId="4866" xr:uid="{00000000-0005-0000-0000-0000AF160000}"/>
    <cellStyle name="Normal 2 2 12 5 2" xfId="13896" xr:uid="{00000000-0005-0000-0000-0000B0160000}"/>
    <cellStyle name="Normal 2 2 12 5 2 2" xfId="33948" xr:uid="{00000000-0005-0000-0000-0000B1160000}"/>
    <cellStyle name="Normal 2 2 12 5 3" xfId="24918" xr:uid="{00000000-0005-0000-0000-0000B2160000}"/>
    <cellStyle name="Normal 2 2 12 6" xfId="9414" xr:uid="{00000000-0005-0000-0000-0000B3160000}"/>
    <cellStyle name="Normal 2 2 12 6 2" xfId="29466" xr:uid="{00000000-0005-0000-0000-0000B4160000}"/>
    <cellStyle name="Normal 2 2 12 7" xfId="20436" xr:uid="{00000000-0005-0000-0000-0000B5160000}"/>
    <cellStyle name="Normal 2 2 13" xfId="570" xr:uid="{00000000-0005-0000-0000-0000B6160000}"/>
    <cellStyle name="Normal 2 2 13 2" xfId="1317" xr:uid="{00000000-0005-0000-0000-0000B7160000}"/>
    <cellStyle name="Normal 2 2 13 2 2" xfId="2811" xr:uid="{00000000-0005-0000-0000-0000B8160000}"/>
    <cellStyle name="Normal 2 2 13 2 2 2" xfId="7293" xr:uid="{00000000-0005-0000-0000-0000B9160000}"/>
    <cellStyle name="Normal 2 2 13 2 2 2 2" xfId="16323" xr:uid="{00000000-0005-0000-0000-0000BA160000}"/>
    <cellStyle name="Normal 2 2 13 2 2 2 2 2" xfId="36375" xr:uid="{00000000-0005-0000-0000-0000BB160000}"/>
    <cellStyle name="Normal 2 2 13 2 2 2 3" xfId="27345" xr:uid="{00000000-0005-0000-0000-0000BC160000}"/>
    <cellStyle name="Normal 2 2 13 2 2 3" xfId="11841" xr:uid="{00000000-0005-0000-0000-0000BD160000}"/>
    <cellStyle name="Normal 2 2 13 2 2 3 2" xfId="31893" xr:uid="{00000000-0005-0000-0000-0000BE160000}"/>
    <cellStyle name="Normal 2 2 13 2 2 4" xfId="22863" xr:uid="{00000000-0005-0000-0000-0000BF160000}"/>
    <cellStyle name="Normal 2 2 13 2 3" xfId="4305" xr:uid="{00000000-0005-0000-0000-0000C0160000}"/>
    <cellStyle name="Normal 2 2 13 2 3 2" xfId="8787" xr:uid="{00000000-0005-0000-0000-0000C1160000}"/>
    <cellStyle name="Normal 2 2 13 2 3 2 2" xfId="17817" xr:uid="{00000000-0005-0000-0000-0000C2160000}"/>
    <cellStyle name="Normal 2 2 13 2 3 2 2 2" xfId="37869" xr:uid="{00000000-0005-0000-0000-0000C3160000}"/>
    <cellStyle name="Normal 2 2 13 2 3 2 3" xfId="28839" xr:uid="{00000000-0005-0000-0000-0000C4160000}"/>
    <cellStyle name="Normal 2 2 13 2 3 3" xfId="13335" xr:uid="{00000000-0005-0000-0000-0000C5160000}"/>
    <cellStyle name="Normal 2 2 13 2 3 3 2" xfId="33387" xr:uid="{00000000-0005-0000-0000-0000C6160000}"/>
    <cellStyle name="Normal 2 2 13 2 3 4" xfId="24357" xr:uid="{00000000-0005-0000-0000-0000C7160000}"/>
    <cellStyle name="Normal 2 2 13 2 4" xfId="5799" xr:uid="{00000000-0005-0000-0000-0000C8160000}"/>
    <cellStyle name="Normal 2 2 13 2 4 2" xfId="14829" xr:uid="{00000000-0005-0000-0000-0000C9160000}"/>
    <cellStyle name="Normal 2 2 13 2 4 2 2" xfId="34881" xr:uid="{00000000-0005-0000-0000-0000CA160000}"/>
    <cellStyle name="Normal 2 2 13 2 4 3" xfId="25851" xr:uid="{00000000-0005-0000-0000-0000CB160000}"/>
    <cellStyle name="Normal 2 2 13 2 5" xfId="10347" xr:uid="{00000000-0005-0000-0000-0000CC160000}"/>
    <cellStyle name="Normal 2 2 13 2 5 2" xfId="30399" xr:uid="{00000000-0005-0000-0000-0000CD160000}"/>
    <cellStyle name="Normal 2 2 13 2 6" xfId="21369" xr:uid="{00000000-0005-0000-0000-0000CE160000}"/>
    <cellStyle name="Normal 2 2 13 3" xfId="2064" xr:uid="{00000000-0005-0000-0000-0000CF160000}"/>
    <cellStyle name="Normal 2 2 13 3 2" xfId="6546" xr:uid="{00000000-0005-0000-0000-0000D0160000}"/>
    <cellStyle name="Normal 2 2 13 3 2 2" xfId="15576" xr:uid="{00000000-0005-0000-0000-0000D1160000}"/>
    <cellStyle name="Normal 2 2 13 3 2 2 2" xfId="35628" xr:uid="{00000000-0005-0000-0000-0000D2160000}"/>
    <cellStyle name="Normal 2 2 13 3 2 3" xfId="26598" xr:uid="{00000000-0005-0000-0000-0000D3160000}"/>
    <cellStyle name="Normal 2 2 13 3 3" xfId="11094" xr:uid="{00000000-0005-0000-0000-0000D4160000}"/>
    <cellStyle name="Normal 2 2 13 3 3 2" xfId="31146" xr:uid="{00000000-0005-0000-0000-0000D5160000}"/>
    <cellStyle name="Normal 2 2 13 3 4" xfId="22116" xr:uid="{00000000-0005-0000-0000-0000D6160000}"/>
    <cellStyle name="Normal 2 2 13 4" xfId="3558" xr:uid="{00000000-0005-0000-0000-0000D7160000}"/>
    <cellStyle name="Normal 2 2 13 4 2" xfId="8040" xr:uid="{00000000-0005-0000-0000-0000D8160000}"/>
    <cellStyle name="Normal 2 2 13 4 2 2" xfId="17070" xr:uid="{00000000-0005-0000-0000-0000D9160000}"/>
    <cellStyle name="Normal 2 2 13 4 2 2 2" xfId="37122" xr:uid="{00000000-0005-0000-0000-0000DA160000}"/>
    <cellStyle name="Normal 2 2 13 4 2 3" xfId="28092" xr:uid="{00000000-0005-0000-0000-0000DB160000}"/>
    <cellStyle name="Normal 2 2 13 4 3" xfId="12588" xr:uid="{00000000-0005-0000-0000-0000DC160000}"/>
    <cellStyle name="Normal 2 2 13 4 3 2" xfId="32640" xr:uid="{00000000-0005-0000-0000-0000DD160000}"/>
    <cellStyle name="Normal 2 2 13 4 4" xfId="23610" xr:uid="{00000000-0005-0000-0000-0000DE160000}"/>
    <cellStyle name="Normal 2 2 13 5" xfId="5052" xr:uid="{00000000-0005-0000-0000-0000DF160000}"/>
    <cellStyle name="Normal 2 2 13 5 2" xfId="14082" xr:uid="{00000000-0005-0000-0000-0000E0160000}"/>
    <cellStyle name="Normal 2 2 13 5 2 2" xfId="34134" xr:uid="{00000000-0005-0000-0000-0000E1160000}"/>
    <cellStyle name="Normal 2 2 13 5 3" xfId="25104" xr:uid="{00000000-0005-0000-0000-0000E2160000}"/>
    <cellStyle name="Normal 2 2 13 6" xfId="9600" xr:uid="{00000000-0005-0000-0000-0000E3160000}"/>
    <cellStyle name="Normal 2 2 13 6 2" xfId="29652" xr:uid="{00000000-0005-0000-0000-0000E4160000}"/>
    <cellStyle name="Normal 2 2 13 7" xfId="20622" xr:uid="{00000000-0005-0000-0000-0000E5160000}"/>
    <cellStyle name="Normal 2 2 14" xfId="757" xr:uid="{00000000-0005-0000-0000-0000E6160000}"/>
    <cellStyle name="Normal 2 2 14 2" xfId="2251" xr:uid="{00000000-0005-0000-0000-0000E7160000}"/>
    <cellStyle name="Normal 2 2 14 2 2" xfId="6733" xr:uid="{00000000-0005-0000-0000-0000E8160000}"/>
    <cellStyle name="Normal 2 2 14 2 2 2" xfId="15763" xr:uid="{00000000-0005-0000-0000-0000E9160000}"/>
    <cellStyle name="Normal 2 2 14 2 2 2 2" xfId="35815" xr:uid="{00000000-0005-0000-0000-0000EA160000}"/>
    <cellStyle name="Normal 2 2 14 2 2 3" xfId="26785" xr:uid="{00000000-0005-0000-0000-0000EB160000}"/>
    <cellStyle name="Normal 2 2 14 2 3" xfId="11281" xr:uid="{00000000-0005-0000-0000-0000EC160000}"/>
    <cellStyle name="Normal 2 2 14 2 3 2" xfId="31333" xr:uid="{00000000-0005-0000-0000-0000ED160000}"/>
    <cellStyle name="Normal 2 2 14 2 4" xfId="22303" xr:uid="{00000000-0005-0000-0000-0000EE160000}"/>
    <cellStyle name="Normal 2 2 14 3" xfId="3745" xr:uid="{00000000-0005-0000-0000-0000EF160000}"/>
    <cellStyle name="Normal 2 2 14 3 2" xfId="8227" xr:uid="{00000000-0005-0000-0000-0000F0160000}"/>
    <cellStyle name="Normal 2 2 14 3 2 2" xfId="17257" xr:uid="{00000000-0005-0000-0000-0000F1160000}"/>
    <cellStyle name="Normal 2 2 14 3 2 2 2" xfId="37309" xr:uid="{00000000-0005-0000-0000-0000F2160000}"/>
    <cellStyle name="Normal 2 2 14 3 2 3" xfId="28279" xr:uid="{00000000-0005-0000-0000-0000F3160000}"/>
    <cellStyle name="Normal 2 2 14 3 3" xfId="12775" xr:uid="{00000000-0005-0000-0000-0000F4160000}"/>
    <cellStyle name="Normal 2 2 14 3 3 2" xfId="32827" xr:uid="{00000000-0005-0000-0000-0000F5160000}"/>
    <cellStyle name="Normal 2 2 14 3 4" xfId="23797" xr:uid="{00000000-0005-0000-0000-0000F6160000}"/>
    <cellStyle name="Normal 2 2 14 4" xfId="5239" xr:uid="{00000000-0005-0000-0000-0000F7160000}"/>
    <cellStyle name="Normal 2 2 14 4 2" xfId="14269" xr:uid="{00000000-0005-0000-0000-0000F8160000}"/>
    <cellStyle name="Normal 2 2 14 4 2 2" xfId="34321" xr:uid="{00000000-0005-0000-0000-0000F9160000}"/>
    <cellStyle name="Normal 2 2 14 4 3" xfId="25291" xr:uid="{00000000-0005-0000-0000-0000FA160000}"/>
    <cellStyle name="Normal 2 2 14 5" xfId="9787" xr:uid="{00000000-0005-0000-0000-0000FB160000}"/>
    <cellStyle name="Normal 2 2 14 5 2" xfId="29839" xr:uid="{00000000-0005-0000-0000-0000FC160000}"/>
    <cellStyle name="Normal 2 2 14 6" xfId="20809" xr:uid="{00000000-0005-0000-0000-0000FD160000}"/>
    <cellStyle name="Normal 2 2 15" xfId="1506" xr:uid="{00000000-0005-0000-0000-0000FE160000}"/>
    <cellStyle name="Normal 2 2 15 2" xfId="5988" xr:uid="{00000000-0005-0000-0000-0000FF160000}"/>
    <cellStyle name="Normal 2 2 15 2 2" xfId="15018" xr:uid="{00000000-0005-0000-0000-000000170000}"/>
    <cellStyle name="Normal 2 2 15 2 2 2" xfId="35070" xr:uid="{00000000-0005-0000-0000-000001170000}"/>
    <cellStyle name="Normal 2 2 15 2 3" xfId="26040" xr:uid="{00000000-0005-0000-0000-000002170000}"/>
    <cellStyle name="Normal 2 2 15 3" xfId="10536" xr:uid="{00000000-0005-0000-0000-000003170000}"/>
    <cellStyle name="Normal 2 2 15 3 2" xfId="30588" xr:uid="{00000000-0005-0000-0000-000004170000}"/>
    <cellStyle name="Normal 2 2 15 4" xfId="21558" xr:uid="{00000000-0005-0000-0000-000005170000}"/>
    <cellStyle name="Normal 2 2 16" xfId="3000" xr:uid="{00000000-0005-0000-0000-000006170000}"/>
    <cellStyle name="Normal 2 2 16 2" xfId="7482" xr:uid="{00000000-0005-0000-0000-000007170000}"/>
    <cellStyle name="Normal 2 2 16 2 2" xfId="16512" xr:uid="{00000000-0005-0000-0000-000008170000}"/>
    <cellStyle name="Normal 2 2 16 2 2 2" xfId="36564" xr:uid="{00000000-0005-0000-0000-000009170000}"/>
    <cellStyle name="Normal 2 2 16 2 3" xfId="27534" xr:uid="{00000000-0005-0000-0000-00000A170000}"/>
    <cellStyle name="Normal 2 2 16 3" xfId="12030" xr:uid="{00000000-0005-0000-0000-00000B170000}"/>
    <cellStyle name="Normal 2 2 16 3 2" xfId="32082" xr:uid="{00000000-0005-0000-0000-00000C170000}"/>
    <cellStyle name="Normal 2 2 16 4" xfId="23052" xr:uid="{00000000-0005-0000-0000-00000D170000}"/>
    <cellStyle name="Normal 2 2 17" xfId="4494" xr:uid="{00000000-0005-0000-0000-00000E170000}"/>
    <cellStyle name="Normal 2 2 17 2" xfId="13524" xr:uid="{00000000-0005-0000-0000-00000F170000}"/>
    <cellStyle name="Normal 2 2 17 2 2" xfId="33576" xr:uid="{00000000-0005-0000-0000-000010170000}"/>
    <cellStyle name="Normal 2 2 17 3" xfId="24546" xr:uid="{00000000-0005-0000-0000-000011170000}"/>
    <cellStyle name="Normal 2 2 18" xfId="9042" xr:uid="{00000000-0005-0000-0000-000012170000}"/>
    <cellStyle name="Normal 2 2 18 2" xfId="29094" xr:uid="{00000000-0005-0000-0000-000013170000}"/>
    <cellStyle name="Normal 2 2 19" xfId="20060" xr:uid="{00000000-0005-0000-0000-000014170000}"/>
    <cellStyle name="Normal 2 2 2" xfId="5" xr:uid="{00000000-0005-0000-0000-000015170000}"/>
    <cellStyle name="Normal 2 2 2 10" xfId="180" xr:uid="{00000000-0005-0000-0000-000016170000}"/>
    <cellStyle name="Normal 2 2 2 10 10" xfId="20232" xr:uid="{00000000-0005-0000-0000-000017170000}"/>
    <cellStyle name="Normal 2 2 2 10 2" xfId="366" xr:uid="{00000000-0005-0000-0000-000018170000}"/>
    <cellStyle name="Normal 2 2 2 10 2 2" xfId="1109" xr:uid="{00000000-0005-0000-0000-000019170000}"/>
    <cellStyle name="Normal 2 2 2 10 2 2 2" xfId="2603" xr:uid="{00000000-0005-0000-0000-00001A170000}"/>
    <cellStyle name="Normal 2 2 2 10 2 2 2 2" xfId="7085" xr:uid="{00000000-0005-0000-0000-00001B170000}"/>
    <cellStyle name="Normal 2 2 2 10 2 2 2 2 2" xfId="16115" xr:uid="{00000000-0005-0000-0000-00001C170000}"/>
    <cellStyle name="Normal 2 2 2 10 2 2 2 2 2 2" xfId="36167" xr:uid="{00000000-0005-0000-0000-00001D170000}"/>
    <cellStyle name="Normal 2 2 2 10 2 2 2 2 3" xfId="27137" xr:uid="{00000000-0005-0000-0000-00001E170000}"/>
    <cellStyle name="Normal 2 2 2 10 2 2 2 3" xfId="11633" xr:uid="{00000000-0005-0000-0000-00001F170000}"/>
    <cellStyle name="Normal 2 2 2 10 2 2 2 3 2" xfId="31685" xr:uid="{00000000-0005-0000-0000-000020170000}"/>
    <cellStyle name="Normal 2 2 2 10 2 2 2 4" xfId="22655" xr:uid="{00000000-0005-0000-0000-000021170000}"/>
    <cellStyle name="Normal 2 2 2 10 2 2 3" xfId="4097" xr:uid="{00000000-0005-0000-0000-000022170000}"/>
    <cellStyle name="Normal 2 2 2 10 2 2 3 2" xfId="8579" xr:uid="{00000000-0005-0000-0000-000023170000}"/>
    <cellStyle name="Normal 2 2 2 10 2 2 3 2 2" xfId="17609" xr:uid="{00000000-0005-0000-0000-000024170000}"/>
    <cellStyle name="Normal 2 2 2 10 2 2 3 2 2 2" xfId="37661" xr:uid="{00000000-0005-0000-0000-000025170000}"/>
    <cellStyle name="Normal 2 2 2 10 2 2 3 2 3" xfId="28631" xr:uid="{00000000-0005-0000-0000-000026170000}"/>
    <cellStyle name="Normal 2 2 2 10 2 2 3 3" xfId="13127" xr:uid="{00000000-0005-0000-0000-000027170000}"/>
    <cellStyle name="Normal 2 2 2 10 2 2 3 3 2" xfId="33179" xr:uid="{00000000-0005-0000-0000-000028170000}"/>
    <cellStyle name="Normal 2 2 2 10 2 2 3 4" xfId="24149" xr:uid="{00000000-0005-0000-0000-000029170000}"/>
    <cellStyle name="Normal 2 2 2 10 2 2 4" xfId="5591" xr:uid="{00000000-0005-0000-0000-00002A170000}"/>
    <cellStyle name="Normal 2 2 2 10 2 2 4 2" xfId="14621" xr:uid="{00000000-0005-0000-0000-00002B170000}"/>
    <cellStyle name="Normal 2 2 2 10 2 2 4 2 2" xfId="34673" xr:uid="{00000000-0005-0000-0000-00002C170000}"/>
    <cellStyle name="Normal 2 2 2 10 2 2 4 3" xfId="25643" xr:uid="{00000000-0005-0000-0000-00002D170000}"/>
    <cellStyle name="Normal 2 2 2 10 2 2 5" xfId="10139" xr:uid="{00000000-0005-0000-0000-00002E170000}"/>
    <cellStyle name="Normal 2 2 2 10 2 2 5 2" xfId="30191" xr:uid="{00000000-0005-0000-0000-00002F170000}"/>
    <cellStyle name="Normal 2 2 2 10 2 2 6" xfId="21161" xr:uid="{00000000-0005-0000-0000-000030170000}"/>
    <cellStyle name="Normal 2 2 2 10 2 3" xfId="1860" xr:uid="{00000000-0005-0000-0000-000031170000}"/>
    <cellStyle name="Normal 2 2 2 10 2 3 2" xfId="6342" xr:uid="{00000000-0005-0000-0000-000032170000}"/>
    <cellStyle name="Normal 2 2 2 10 2 3 2 2" xfId="15372" xr:uid="{00000000-0005-0000-0000-000033170000}"/>
    <cellStyle name="Normal 2 2 2 10 2 3 2 2 2" xfId="35424" xr:uid="{00000000-0005-0000-0000-000034170000}"/>
    <cellStyle name="Normal 2 2 2 10 2 3 2 3" xfId="26394" xr:uid="{00000000-0005-0000-0000-000035170000}"/>
    <cellStyle name="Normal 2 2 2 10 2 3 3" xfId="10890" xr:uid="{00000000-0005-0000-0000-000036170000}"/>
    <cellStyle name="Normal 2 2 2 10 2 3 3 2" xfId="30942" xr:uid="{00000000-0005-0000-0000-000037170000}"/>
    <cellStyle name="Normal 2 2 2 10 2 3 4" xfId="21912" xr:uid="{00000000-0005-0000-0000-000038170000}"/>
    <cellStyle name="Normal 2 2 2 10 2 4" xfId="3354" xr:uid="{00000000-0005-0000-0000-000039170000}"/>
    <cellStyle name="Normal 2 2 2 10 2 4 2" xfId="7836" xr:uid="{00000000-0005-0000-0000-00003A170000}"/>
    <cellStyle name="Normal 2 2 2 10 2 4 2 2" xfId="16866" xr:uid="{00000000-0005-0000-0000-00003B170000}"/>
    <cellStyle name="Normal 2 2 2 10 2 4 2 2 2" xfId="36918" xr:uid="{00000000-0005-0000-0000-00003C170000}"/>
    <cellStyle name="Normal 2 2 2 10 2 4 2 3" xfId="27888" xr:uid="{00000000-0005-0000-0000-00003D170000}"/>
    <cellStyle name="Normal 2 2 2 10 2 4 3" xfId="12384" xr:uid="{00000000-0005-0000-0000-00003E170000}"/>
    <cellStyle name="Normal 2 2 2 10 2 4 3 2" xfId="32436" xr:uid="{00000000-0005-0000-0000-00003F170000}"/>
    <cellStyle name="Normal 2 2 2 10 2 4 4" xfId="23406" xr:uid="{00000000-0005-0000-0000-000040170000}"/>
    <cellStyle name="Normal 2 2 2 10 2 5" xfId="4848" xr:uid="{00000000-0005-0000-0000-000041170000}"/>
    <cellStyle name="Normal 2 2 2 10 2 5 2" xfId="13878" xr:uid="{00000000-0005-0000-0000-000042170000}"/>
    <cellStyle name="Normal 2 2 2 10 2 5 2 2" xfId="33930" xr:uid="{00000000-0005-0000-0000-000043170000}"/>
    <cellStyle name="Normal 2 2 2 10 2 5 3" xfId="24900" xr:uid="{00000000-0005-0000-0000-000044170000}"/>
    <cellStyle name="Normal 2 2 2 10 2 6" xfId="9396" xr:uid="{00000000-0005-0000-0000-000045170000}"/>
    <cellStyle name="Normal 2 2 2 10 2 6 2" xfId="29448" xr:uid="{00000000-0005-0000-0000-000046170000}"/>
    <cellStyle name="Normal 2 2 2 10 2 7" xfId="20418" xr:uid="{00000000-0005-0000-0000-000047170000}"/>
    <cellStyle name="Normal 2 2 2 10 3" xfId="552" xr:uid="{00000000-0005-0000-0000-000048170000}"/>
    <cellStyle name="Normal 2 2 2 10 3 2" xfId="1299" xr:uid="{00000000-0005-0000-0000-000049170000}"/>
    <cellStyle name="Normal 2 2 2 10 3 2 2" xfId="2793" xr:uid="{00000000-0005-0000-0000-00004A170000}"/>
    <cellStyle name="Normal 2 2 2 10 3 2 2 2" xfId="7275" xr:uid="{00000000-0005-0000-0000-00004B170000}"/>
    <cellStyle name="Normal 2 2 2 10 3 2 2 2 2" xfId="16305" xr:uid="{00000000-0005-0000-0000-00004C170000}"/>
    <cellStyle name="Normal 2 2 2 10 3 2 2 2 2 2" xfId="36357" xr:uid="{00000000-0005-0000-0000-00004D170000}"/>
    <cellStyle name="Normal 2 2 2 10 3 2 2 2 3" xfId="27327" xr:uid="{00000000-0005-0000-0000-00004E170000}"/>
    <cellStyle name="Normal 2 2 2 10 3 2 2 3" xfId="11823" xr:uid="{00000000-0005-0000-0000-00004F170000}"/>
    <cellStyle name="Normal 2 2 2 10 3 2 2 3 2" xfId="31875" xr:uid="{00000000-0005-0000-0000-000050170000}"/>
    <cellStyle name="Normal 2 2 2 10 3 2 2 4" xfId="22845" xr:uid="{00000000-0005-0000-0000-000051170000}"/>
    <cellStyle name="Normal 2 2 2 10 3 2 3" xfId="4287" xr:uid="{00000000-0005-0000-0000-000052170000}"/>
    <cellStyle name="Normal 2 2 2 10 3 2 3 2" xfId="8769" xr:uid="{00000000-0005-0000-0000-000053170000}"/>
    <cellStyle name="Normal 2 2 2 10 3 2 3 2 2" xfId="17799" xr:uid="{00000000-0005-0000-0000-000054170000}"/>
    <cellStyle name="Normal 2 2 2 10 3 2 3 2 2 2" xfId="37851" xr:uid="{00000000-0005-0000-0000-000055170000}"/>
    <cellStyle name="Normal 2 2 2 10 3 2 3 2 3" xfId="28821" xr:uid="{00000000-0005-0000-0000-000056170000}"/>
    <cellStyle name="Normal 2 2 2 10 3 2 3 3" xfId="13317" xr:uid="{00000000-0005-0000-0000-000057170000}"/>
    <cellStyle name="Normal 2 2 2 10 3 2 3 3 2" xfId="33369" xr:uid="{00000000-0005-0000-0000-000058170000}"/>
    <cellStyle name="Normal 2 2 2 10 3 2 3 4" xfId="24339" xr:uid="{00000000-0005-0000-0000-000059170000}"/>
    <cellStyle name="Normal 2 2 2 10 3 2 4" xfId="5781" xr:uid="{00000000-0005-0000-0000-00005A170000}"/>
    <cellStyle name="Normal 2 2 2 10 3 2 4 2" xfId="14811" xr:uid="{00000000-0005-0000-0000-00005B170000}"/>
    <cellStyle name="Normal 2 2 2 10 3 2 4 2 2" xfId="34863" xr:uid="{00000000-0005-0000-0000-00005C170000}"/>
    <cellStyle name="Normal 2 2 2 10 3 2 4 3" xfId="25833" xr:uid="{00000000-0005-0000-0000-00005D170000}"/>
    <cellStyle name="Normal 2 2 2 10 3 2 5" xfId="10329" xr:uid="{00000000-0005-0000-0000-00005E170000}"/>
    <cellStyle name="Normal 2 2 2 10 3 2 5 2" xfId="30381" xr:uid="{00000000-0005-0000-0000-00005F170000}"/>
    <cellStyle name="Normal 2 2 2 10 3 2 6" xfId="21351" xr:uid="{00000000-0005-0000-0000-000060170000}"/>
    <cellStyle name="Normal 2 2 2 10 3 3" xfId="2046" xr:uid="{00000000-0005-0000-0000-000061170000}"/>
    <cellStyle name="Normal 2 2 2 10 3 3 2" xfId="6528" xr:uid="{00000000-0005-0000-0000-000062170000}"/>
    <cellStyle name="Normal 2 2 2 10 3 3 2 2" xfId="15558" xr:uid="{00000000-0005-0000-0000-000063170000}"/>
    <cellStyle name="Normal 2 2 2 10 3 3 2 2 2" xfId="35610" xr:uid="{00000000-0005-0000-0000-000064170000}"/>
    <cellStyle name="Normal 2 2 2 10 3 3 2 3" xfId="26580" xr:uid="{00000000-0005-0000-0000-000065170000}"/>
    <cellStyle name="Normal 2 2 2 10 3 3 3" xfId="11076" xr:uid="{00000000-0005-0000-0000-000066170000}"/>
    <cellStyle name="Normal 2 2 2 10 3 3 3 2" xfId="31128" xr:uid="{00000000-0005-0000-0000-000067170000}"/>
    <cellStyle name="Normal 2 2 2 10 3 3 4" xfId="22098" xr:uid="{00000000-0005-0000-0000-000068170000}"/>
    <cellStyle name="Normal 2 2 2 10 3 4" xfId="3540" xr:uid="{00000000-0005-0000-0000-000069170000}"/>
    <cellStyle name="Normal 2 2 2 10 3 4 2" xfId="8022" xr:uid="{00000000-0005-0000-0000-00006A170000}"/>
    <cellStyle name="Normal 2 2 2 10 3 4 2 2" xfId="17052" xr:uid="{00000000-0005-0000-0000-00006B170000}"/>
    <cellStyle name="Normal 2 2 2 10 3 4 2 2 2" xfId="37104" xr:uid="{00000000-0005-0000-0000-00006C170000}"/>
    <cellStyle name="Normal 2 2 2 10 3 4 2 3" xfId="28074" xr:uid="{00000000-0005-0000-0000-00006D170000}"/>
    <cellStyle name="Normal 2 2 2 10 3 4 3" xfId="12570" xr:uid="{00000000-0005-0000-0000-00006E170000}"/>
    <cellStyle name="Normal 2 2 2 10 3 4 3 2" xfId="32622" xr:uid="{00000000-0005-0000-0000-00006F170000}"/>
    <cellStyle name="Normal 2 2 2 10 3 4 4" xfId="23592" xr:uid="{00000000-0005-0000-0000-000070170000}"/>
    <cellStyle name="Normal 2 2 2 10 3 5" xfId="5034" xr:uid="{00000000-0005-0000-0000-000071170000}"/>
    <cellStyle name="Normal 2 2 2 10 3 5 2" xfId="14064" xr:uid="{00000000-0005-0000-0000-000072170000}"/>
    <cellStyle name="Normal 2 2 2 10 3 5 2 2" xfId="34116" xr:uid="{00000000-0005-0000-0000-000073170000}"/>
    <cellStyle name="Normal 2 2 2 10 3 5 3" xfId="25086" xr:uid="{00000000-0005-0000-0000-000074170000}"/>
    <cellStyle name="Normal 2 2 2 10 3 6" xfId="9582" xr:uid="{00000000-0005-0000-0000-000075170000}"/>
    <cellStyle name="Normal 2 2 2 10 3 6 2" xfId="29634" xr:uid="{00000000-0005-0000-0000-000076170000}"/>
    <cellStyle name="Normal 2 2 2 10 3 7" xfId="20604" xr:uid="{00000000-0005-0000-0000-000077170000}"/>
    <cellStyle name="Normal 2 2 2 10 4" xfId="738" xr:uid="{00000000-0005-0000-0000-000078170000}"/>
    <cellStyle name="Normal 2 2 2 10 4 2" xfId="1485" xr:uid="{00000000-0005-0000-0000-000079170000}"/>
    <cellStyle name="Normal 2 2 2 10 4 2 2" xfId="2979" xr:uid="{00000000-0005-0000-0000-00007A170000}"/>
    <cellStyle name="Normal 2 2 2 10 4 2 2 2" xfId="7461" xr:uid="{00000000-0005-0000-0000-00007B170000}"/>
    <cellStyle name="Normal 2 2 2 10 4 2 2 2 2" xfId="16491" xr:uid="{00000000-0005-0000-0000-00007C170000}"/>
    <cellStyle name="Normal 2 2 2 10 4 2 2 2 2 2" xfId="36543" xr:uid="{00000000-0005-0000-0000-00007D170000}"/>
    <cellStyle name="Normal 2 2 2 10 4 2 2 2 3" xfId="27513" xr:uid="{00000000-0005-0000-0000-00007E170000}"/>
    <cellStyle name="Normal 2 2 2 10 4 2 2 3" xfId="12009" xr:uid="{00000000-0005-0000-0000-00007F170000}"/>
    <cellStyle name="Normal 2 2 2 10 4 2 2 3 2" xfId="32061" xr:uid="{00000000-0005-0000-0000-000080170000}"/>
    <cellStyle name="Normal 2 2 2 10 4 2 2 4" xfId="23031" xr:uid="{00000000-0005-0000-0000-000081170000}"/>
    <cellStyle name="Normal 2 2 2 10 4 2 3" xfId="4473" xr:uid="{00000000-0005-0000-0000-000082170000}"/>
    <cellStyle name="Normal 2 2 2 10 4 2 3 2" xfId="8955" xr:uid="{00000000-0005-0000-0000-000083170000}"/>
    <cellStyle name="Normal 2 2 2 10 4 2 3 2 2" xfId="17985" xr:uid="{00000000-0005-0000-0000-000084170000}"/>
    <cellStyle name="Normal 2 2 2 10 4 2 3 2 2 2" xfId="38037" xr:uid="{00000000-0005-0000-0000-000085170000}"/>
    <cellStyle name="Normal 2 2 2 10 4 2 3 2 3" xfId="29007" xr:uid="{00000000-0005-0000-0000-000086170000}"/>
    <cellStyle name="Normal 2 2 2 10 4 2 3 3" xfId="13503" xr:uid="{00000000-0005-0000-0000-000087170000}"/>
    <cellStyle name="Normal 2 2 2 10 4 2 3 3 2" xfId="33555" xr:uid="{00000000-0005-0000-0000-000088170000}"/>
    <cellStyle name="Normal 2 2 2 10 4 2 3 4" xfId="24525" xr:uid="{00000000-0005-0000-0000-000089170000}"/>
    <cellStyle name="Normal 2 2 2 10 4 2 4" xfId="5967" xr:uid="{00000000-0005-0000-0000-00008A170000}"/>
    <cellStyle name="Normal 2 2 2 10 4 2 4 2" xfId="14997" xr:uid="{00000000-0005-0000-0000-00008B170000}"/>
    <cellStyle name="Normal 2 2 2 10 4 2 4 2 2" xfId="35049" xr:uid="{00000000-0005-0000-0000-00008C170000}"/>
    <cellStyle name="Normal 2 2 2 10 4 2 4 3" xfId="26019" xr:uid="{00000000-0005-0000-0000-00008D170000}"/>
    <cellStyle name="Normal 2 2 2 10 4 2 5" xfId="10515" xr:uid="{00000000-0005-0000-0000-00008E170000}"/>
    <cellStyle name="Normal 2 2 2 10 4 2 5 2" xfId="30567" xr:uid="{00000000-0005-0000-0000-00008F170000}"/>
    <cellStyle name="Normal 2 2 2 10 4 2 6" xfId="21537" xr:uid="{00000000-0005-0000-0000-000090170000}"/>
    <cellStyle name="Normal 2 2 2 10 4 3" xfId="2232" xr:uid="{00000000-0005-0000-0000-000091170000}"/>
    <cellStyle name="Normal 2 2 2 10 4 3 2" xfId="6714" xr:uid="{00000000-0005-0000-0000-000092170000}"/>
    <cellStyle name="Normal 2 2 2 10 4 3 2 2" xfId="15744" xr:uid="{00000000-0005-0000-0000-000093170000}"/>
    <cellStyle name="Normal 2 2 2 10 4 3 2 2 2" xfId="35796" xr:uid="{00000000-0005-0000-0000-000094170000}"/>
    <cellStyle name="Normal 2 2 2 10 4 3 2 3" xfId="26766" xr:uid="{00000000-0005-0000-0000-000095170000}"/>
    <cellStyle name="Normal 2 2 2 10 4 3 3" xfId="11262" xr:uid="{00000000-0005-0000-0000-000096170000}"/>
    <cellStyle name="Normal 2 2 2 10 4 3 3 2" xfId="31314" xr:uid="{00000000-0005-0000-0000-000097170000}"/>
    <cellStyle name="Normal 2 2 2 10 4 3 4" xfId="22284" xr:uid="{00000000-0005-0000-0000-000098170000}"/>
    <cellStyle name="Normal 2 2 2 10 4 4" xfId="3726" xr:uid="{00000000-0005-0000-0000-000099170000}"/>
    <cellStyle name="Normal 2 2 2 10 4 4 2" xfId="8208" xr:uid="{00000000-0005-0000-0000-00009A170000}"/>
    <cellStyle name="Normal 2 2 2 10 4 4 2 2" xfId="17238" xr:uid="{00000000-0005-0000-0000-00009B170000}"/>
    <cellStyle name="Normal 2 2 2 10 4 4 2 2 2" xfId="37290" xr:uid="{00000000-0005-0000-0000-00009C170000}"/>
    <cellStyle name="Normal 2 2 2 10 4 4 2 3" xfId="28260" xr:uid="{00000000-0005-0000-0000-00009D170000}"/>
    <cellStyle name="Normal 2 2 2 10 4 4 3" xfId="12756" xr:uid="{00000000-0005-0000-0000-00009E170000}"/>
    <cellStyle name="Normal 2 2 2 10 4 4 3 2" xfId="32808" xr:uid="{00000000-0005-0000-0000-00009F170000}"/>
    <cellStyle name="Normal 2 2 2 10 4 4 4" xfId="23778" xr:uid="{00000000-0005-0000-0000-0000A0170000}"/>
    <cellStyle name="Normal 2 2 2 10 4 5" xfId="5220" xr:uid="{00000000-0005-0000-0000-0000A1170000}"/>
    <cellStyle name="Normal 2 2 2 10 4 5 2" xfId="14250" xr:uid="{00000000-0005-0000-0000-0000A2170000}"/>
    <cellStyle name="Normal 2 2 2 10 4 5 2 2" xfId="34302" xr:uid="{00000000-0005-0000-0000-0000A3170000}"/>
    <cellStyle name="Normal 2 2 2 10 4 5 3" xfId="25272" xr:uid="{00000000-0005-0000-0000-0000A4170000}"/>
    <cellStyle name="Normal 2 2 2 10 4 6" xfId="9768" xr:uid="{00000000-0005-0000-0000-0000A5170000}"/>
    <cellStyle name="Normal 2 2 2 10 4 6 2" xfId="29820" xr:uid="{00000000-0005-0000-0000-0000A6170000}"/>
    <cellStyle name="Normal 2 2 2 10 4 7" xfId="20790" xr:uid="{00000000-0005-0000-0000-0000A7170000}"/>
    <cellStyle name="Normal 2 2 2 10 5" xfId="925" xr:uid="{00000000-0005-0000-0000-0000A8170000}"/>
    <cellStyle name="Normal 2 2 2 10 5 2" xfId="2419" xr:uid="{00000000-0005-0000-0000-0000A9170000}"/>
    <cellStyle name="Normal 2 2 2 10 5 2 2" xfId="6901" xr:uid="{00000000-0005-0000-0000-0000AA170000}"/>
    <cellStyle name="Normal 2 2 2 10 5 2 2 2" xfId="15931" xr:uid="{00000000-0005-0000-0000-0000AB170000}"/>
    <cellStyle name="Normal 2 2 2 10 5 2 2 2 2" xfId="35983" xr:uid="{00000000-0005-0000-0000-0000AC170000}"/>
    <cellStyle name="Normal 2 2 2 10 5 2 2 3" xfId="26953" xr:uid="{00000000-0005-0000-0000-0000AD170000}"/>
    <cellStyle name="Normal 2 2 2 10 5 2 3" xfId="11449" xr:uid="{00000000-0005-0000-0000-0000AE170000}"/>
    <cellStyle name="Normal 2 2 2 10 5 2 3 2" xfId="31501" xr:uid="{00000000-0005-0000-0000-0000AF170000}"/>
    <cellStyle name="Normal 2 2 2 10 5 2 4" xfId="22471" xr:uid="{00000000-0005-0000-0000-0000B0170000}"/>
    <cellStyle name="Normal 2 2 2 10 5 3" xfId="3913" xr:uid="{00000000-0005-0000-0000-0000B1170000}"/>
    <cellStyle name="Normal 2 2 2 10 5 3 2" xfId="8395" xr:uid="{00000000-0005-0000-0000-0000B2170000}"/>
    <cellStyle name="Normal 2 2 2 10 5 3 2 2" xfId="17425" xr:uid="{00000000-0005-0000-0000-0000B3170000}"/>
    <cellStyle name="Normal 2 2 2 10 5 3 2 2 2" xfId="37477" xr:uid="{00000000-0005-0000-0000-0000B4170000}"/>
    <cellStyle name="Normal 2 2 2 10 5 3 2 3" xfId="28447" xr:uid="{00000000-0005-0000-0000-0000B5170000}"/>
    <cellStyle name="Normal 2 2 2 10 5 3 3" xfId="12943" xr:uid="{00000000-0005-0000-0000-0000B6170000}"/>
    <cellStyle name="Normal 2 2 2 10 5 3 3 2" xfId="32995" xr:uid="{00000000-0005-0000-0000-0000B7170000}"/>
    <cellStyle name="Normal 2 2 2 10 5 3 4" xfId="23965" xr:uid="{00000000-0005-0000-0000-0000B8170000}"/>
    <cellStyle name="Normal 2 2 2 10 5 4" xfId="5407" xr:uid="{00000000-0005-0000-0000-0000B9170000}"/>
    <cellStyle name="Normal 2 2 2 10 5 4 2" xfId="14437" xr:uid="{00000000-0005-0000-0000-0000BA170000}"/>
    <cellStyle name="Normal 2 2 2 10 5 4 2 2" xfId="34489" xr:uid="{00000000-0005-0000-0000-0000BB170000}"/>
    <cellStyle name="Normal 2 2 2 10 5 4 3" xfId="25459" xr:uid="{00000000-0005-0000-0000-0000BC170000}"/>
    <cellStyle name="Normal 2 2 2 10 5 5" xfId="9955" xr:uid="{00000000-0005-0000-0000-0000BD170000}"/>
    <cellStyle name="Normal 2 2 2 10 5 5 2" xfId="30007" xr:uid="{00000000-0005-0000-0000-0000BE170000}"/>
    <cellStyle name="Normal 2 2 2 10 5 6" xfId="20977" xr:uid="{00000000-0005-0000-0000-0000BF170000}"/>
    <cellStyle name="Normal 2 2 2 10 6" xfId="1674" xr:uid="{00000000-0005-0000-0000-0000C0170000}"/>
    <cellStyle name="Normal 2 2 2 10 6 2" xfId="6156" xr:uid="{00000000-0005-0000-0000-0000C1170000}"/>
    <cellStyle name="Normal 2 2 2 10 6 2 2" xfId="15186" xr:uid="{00000000-0005-0000-0000-0000C2170000}"/>
    <cellStyle name="Normal 2 2 2 10 6 2 2 2" xfId="35238" xr:uid="{00000000-0005-0000-0000-0000C3170000}"/>
    <cellStyle name="Normal 2 2 2 10 6 2 3" xfId="26208" xr:uid="{00000000-0005-0000-0000-0000C4170000}"/>
    <cellStyle name="Normal 2 2 2 10 6 3" xfId="10704" xr:uid="{00000000-0005-0000-0000-0000C5170000}"/>
    <cellStyle name="Normal 2 2 2 10 6 3 2" xfId="30756" xr:uid="{00000000-0005-0000-0000-0000C6170000}"/>
    <cellStyle name="Normal 2 2 2 10 6 4" xfId="21726" xr:uid="{00000000-0005-0000-0000-0000C7170000}"/>
    <cellStyle name="Normal 2 2 2 10 7" xfId="3168" xr:uid="{00000000-0005-0000-0000-0000C8170000}"/>
    <cellStyle name="Normal 2 2 2 10 7 2" xfId="7650" xr:uid="{00000000-0005-0000-0000-0000C9170000}"/>
    <cellStyle name="Normal 2 2 2 10 7 2 2" xfId="16680" xr:uid="{00000000-0005-0000-0000-0000CA170000}"/>
    <cellStyle name="Normal 2 2 2 10 7 2 2 2" xfId="36732" xr:uid="{00000000-0005-0000-0000-0000CB170000}"/>
    <cellStyle name="Normal 2 2 2 10 7 2 3" xfId="27702" xr:uid="{00000000-0005-0000-0000-0000CC170000}"/>
    <cellStyle name="Normal 2 2 2 10 7 3" xfId="12198" xr:uid="{00000000-0005-0000-0000-0000CD170000}"/>
    <cellStyle name="Normal 2 2 2 10 7 3 2" xfId="32250" xr:uid="{00000000-0005-0000-0000-0000CE170000}"/>
    <cellStyle name="Normal 2 2 2 10 7 4" xfId="23220" xr:uid="{00000000-0005-0000-0000-0000CF170000}"/>
    <cellStyle name="Normal 2 2 2 10 8" xfId="4662" xr:uid="{00000000-0005-0000-0000-0000D0170000}"/>
    <cellStyle name="Normal 2 2 2 10 8 2" xfId="13692" xr:uid="{00000000-0005-0000-0000-0000D1170000}"/>
    <cellStyle name="Normal 2 2 2 10 8 2 2" xfId="33744" xr:uid="{00000000-0005-0000-0000-0000D2170000}"/>
    <cellStyle name="Normal 2 2 2 10 8 3" xfId="24714" xr:uid="{00000000-0005-0000-0000-0000D3170000}"/>
    <cellStyle name="Normal 2 2 2 10 9" xfId="9210" xr:uid="{00000000-0005-0000-0000-0000D4170000}"/>
    <cellStyle name="Normal 2 2 2 10 9 2" xfId="29262" xr:uid="{00000000-0005-0000-0000-0000D5170000}"/>
    <cellStyle name="Normal 2 2 2 11" xfId="203" xr:uid="{00000000-0005-0000-0000-0000D6170000}"/>
    <cellStyle name="Normal 2 2 2 11 2" xfId="948" xr:uid="{00000000-0005-0000-0000-0000D7170000}"/>
    <cellStyle name="Normal 2 2 2 11 2 2" xfId="2442" xr:uid="{00000000-0005-0000-0000-0000D8170000}"/>
    <cellStyle name="Normal 2 2 2 11 2 2 2" xfId="6924" xr:uid="{00000000-0005-0000-0000-0000D9170000}"/>
    <cellStyle name="Normal 2 2 2 11 2 2 2 2" xfId="15954" xr:uid="{00000000-0005-0000-0000-0000DA170000}"/>
    <cellStyle name="Normal 2 2 2 11 2 2 2 2 2" xfId="36006" xr:uid="{00000000-0005-0000-0000-0000DB170000}"/>
    <cellStyle name="Normal 2 2 2 11 2 2 2 3" xfId="26976" xr:uid="{00000000-0005-0000-0000-0000DC170000}"/>
    <cellStyle name="Normal 2 2 2 11 2 2 3" xfId="11472" xr:uid="{00000000-0005-0000-0000-0000DD170000}"/>
    <cellStyle name="Normal 2 2 2 11 2 2 3 2" xfId="31524" xr:uid="{00000000-0005-0000-0000-0000DE170000}"/>
    <cellStyle name="Normal 2 2 2 11 2 2 4" xfId="22494" xr:uid="{00000000-0005-0000-0000-0000DF170000}"/>
    <cellStyle name="Normal 2 2 2 11 2 3" xfId="3936" xr:uid="{00000000-0005-0000-0000-0000E0170000}"/>
    <cellStyle name="Normal 2 2 2 11 2 3 2" xfId="8418" xr:uid="{00000000-0005-0000-0000-0000E1170000}"/>
    <cellStyle name="Normal 2 2 2 11 2 3 2 2" xfId="17448" xr:uid="{00000000-0005-0000-0000-0000E2170000}"/>
    <cellStyle name="Normal 2 2 2 11 2 3 2 2 2" xfId="37500" xr:uid="{00000000-0005-0000-0000-0000E3170000}"/>
    <cellStyle name="Normal 2 2 2 11 2 3 2 3" xfId="28470" xr:uid="{00000000-0005-0000-0000-0000E4170000}"/>
    <cellStyle name="Normal 2 2 2 11 2 3 3" xfId="12966" xr:uid="{00000000-0005-0000-0000-0000E5170000}"/>
    <cellStyle name="Normal 2 2 2 11 2 3 3 2" xfId="33018" xr:uid="{00000000-0005-0000-0000-0000E6170000}"/>
    <cellStyle name="Normal 2 2 2 11 2 3 4" xfId="23988" xr:uid="{00000000-0005-0000-0000-0000E7170000}"/>
    <cellStyle name="Normal 2 2 2 11 2 4" xfId="5430" xr:uid="{00000000-0005-0000-0000-0000E8170000}"/>
    <cellStyle name="Normal 2 2 2 11 2 4 2" xfId="14460" xr:uid="{00000000-0005-0000-0000-0000E9170000}"/>
    <cellStyle name="Normal 2 2 2 11 2 4 2 2" xfId="34512" xr:uid="{00000000-0005-0000-0000-0000EA170000}"/>
    <cellStyle name="Normal 2 2 2 11 2 4 3" xfId="25482" xr:uid="{00000000-0005-0000-0000-0000EB170000}"/>
    <cellStyle name="Normal 2 2 2 11 2 5" xfId="9978" xr:uid="{00000000-0005-0000-0000-0000EC170000}"/>
    <cellStyle name="Normal 2 2 2 11 2 5 2" xfId="30030" xr:uid="{00000000-0005-0000-0000-0000ED170000}"/>
    <cellStyle name="Normal 2 2 2 11 2 6" xfId="21000" xr:uid="{00000000-0005-0000-0000-0000EE170000}"/>
    <cellStyle name="Normal 2 2 2 11 3" xfId="1697" xr:uid="{00000000-0005-0000-0000-0000EF170000}"/>
    <cellStyle name="Normal 2 2 2 11 3 2" xfId="6179" xr:uid="{00000000-0005-0000-0000-0000F0170000}"/>
    <cellStyle name="Normal 2 2 2 11 3 2 2" xfId="15209" xr:uid="{00000000-0005-0000-0000-0000F1170000}"/>
    <cellStyle name="Normal 2 2 2 11 3 2 2 2" xfId="35261" xr:uid="{00000000-0005-0000-0000-0000F2170000}"/>
    <cellStyle name="Normal 2 2 2 11 3 2 3" xfId="26231" xr:uid="{00000000-0005-0000-0000-0000F3170000}"/>
    <cellStyle name="Normal 2 2 2 11 3 3" xfId="10727" xr:uid="{00000000-0005-0000-0000-0000F4170000}"/>
    <cellStyle name="Normal 2 2 2 11 3 3 2" xfId="30779" xr:uid="{00000000-0005-0000-0000-0000F5170000}"/>
    <cellStyle name="Normal 2 2 2 11 3 4" xfId="21749" xr:uid="{00000000-0005-0000-0000-0000F6170000}"/>
    <cellStyle name="Normal 2 2 2 11 4" xfId="3191" xr:uid="{00000000-0005-0000-0000-0000F7170000}"/>
    <cellStyle name="Normal 2 2 2 11 4 2" xfId="7673" xr:uid="{00000000-0005-0000-0000-0000F8170000}"/>
    <cellStyle name="Normal 2 2 2 11 4 2 2" xfId="16703" xr:uid="{00000000-0005-0000-0000-0000F9170000}"/>
    <cellStyle name="Normal 2 2 2 11 4 2 2 2" xfId="36755" xr:uid="{00000000-0005-0000-0000-0000FA170000}"/>
    <cellStyle name="Normal 2 2 2 11 4 2 3" xfId="27725" xr:uid="{00000000-0005-0000-0000-0000FB170000}"/>
    <cellStyle name="Normal 2 2 2 11 4 3" xfId="12221" xr:uid="{00000000-0005-0000-0000-0000FC170000}"/>
    <cellStyle name="Normal 2 2 2 11 4 3 2" xfId="32273" xr:uid="{00000000-0005-0000-0000-0000FD170000}"/>
    <cellStyle name="Normal 2 2 2 11 4 4" xfId="23243" xr:uid="{00000000-0005-0000-0000-0000FE170000}"/>
    <cellStyle name="Normal 2 2 2 11 5" xfId="4685" xr:uid="{00000000-0005-0000-0000-0000FF170000}"/>
    <cellStyle name="Normal 2 2 2 11 5 2" xfId="13715" xr:uid="{00000000-0005-0000-0000-000000180000}"/>
    <cellStyle name="Normal 2 2 2 11 5 2 2" xfId="33767" xr:uid="{00000000-0005-0000-0000-000001180000}"/>
    <cellStyle name="Normal 2 2 2 11 5 3" xfId="24737" xr:uid="{00000000-0005-0000-0000-000002180000}"/>
    <cellStyle name="Normal 2 2 2 11 6" xfId="9233" xr:uid="{00000000-0005-0000-0000-000003180000}"/>
    <cellStyle name="Normal 2 2 2 11 6 2" xfId="29285" xr:uid="{00000000-0005-0000-0000-000004180000}"/>
    <cellStyle name="Normal 2 2 2 11 7" xfId="20255" xr:uid="{00000000-0005-0000-0000-000005180000}"/>
    <cellStyle name="Normal 2 2 2 12" xfId="389" xr:uid="{00000000-0005-0000-0000-000006180000}"/>
    <cellStyle name="Normal 2 2 2 12 2" xfId="1136" xr:uid="{00000000-0005-0000-0000-000007180000}"/>
    <cellStyle name="Normal 2 2 2 12 2 2" xfId="2630" xr:uid="{00000000-0005-0000-0000-000008180000}"/>
    <cellStyle name="Normal 2 2 2 12 2 2 2" xfId="7112" xr:uid="{00000000-0005-0000-0000-000009180000}"/>
    <cellStyle name="Normal 2 2 2 12 2 2 2 2" xfId="16142" xr:uid="{00000000-0005-0000-0000-00000A180000}"/>
    <cellStyle name="Normal 2 2 2 12 2 2 2 2 2" xfId="36194" xr:uid="{00000000-0005-0000-0000-00000B180000}"/>
    <cellStyle name="Normal 2 2 2 12 2 2 2 3" xfId="27164" xr:uid="{00000000-0005-0000-0000-00000C180000}"/>
    <cellStyle name="Normal 2 2 2 12 2 2 3" xfId="11660" xr:uid="{00000000-0005-0000-0000-00000D180000}"/>
    <cellStyle name="Normal 2 2 2 12 2 2 3 2" xfId="31712" xr:uid="{00000000-0005-0000-0000-00000E180000}"/>
    <cellStyle name="Normal 2 2 2 12 2 2 4" xfId="22682" xr:uid="{00000000-0005-0000-0000-00000F180000}"/>
    <cellStyle name="Normal 2 2 2 12 2 3" xfId="4124" xr:uid="{00000000-0005-0000-0000-000010180000}"/>
    <cellStyle name="Normal 2 2 2 12 2 3 2" xfId="8606" xr:uid="{00000000-0005-0000-0000-000011180000}"/>
    <cellStyle name="Normal 2 2 2 12 2 3 2 2" xfId="17636" xr:uid="{00000000-0005-0000-0000-000012180000}"/>
    <cellStyle name="Normal 2 2 2 12 2 3 2 2 2" xfId="37688" xr:uid="{00000000-0005-0000-0000-000013180000}"/>
    <cellStyle name="Normal 2 2 2 12 2 3 2 3" xfId="28658" xr:uid="{00000000-0005-0000-0000-000014180000}"/>
    <cellStyle name="Normal 2 2 2 12 2 3 3" xfId="13154" xr:uid="{00000000-0005-0000-0000-000015180000}"/>
    <cellStyle name="Normal 2 2 2 12 2 3 3 2" xfId="33206" xr:uid="{00000000-0005-0000-0000-000016180000}"/>
    <cellStyle name="Normal 2 2 2 12 2 3 4" xfId="24176" xr:uid="{00000000-0005-0000-0000-000017180000}"/>
    <cellStyle name="Normal 2 2 2 12 2 4" xfId="5618" xr:uid="{00000000-0005-0000-0000-000018180000}"/>
    <cellStyle name="Normal 2 2 2 12 2 4 2" xfId="14648" xr:uid="{00000000-0005-0000-0000-000019180000}"/>
    <cellStyle name="Normal 2 2 2 12 2 4 2 2" xfId="34700" xr:uid="{00000000-0005-0000-0000-00001A180000}"/>
    <cellStyle name="Normal 2 2 2 12 2 4 3" xfId="25670" xr:uid="{00000000-0005-0000-0000-00001B180000}"/>
    <cellStyle name="Normal 2 2 2 12 2 5" xfId="10166" xr:uid="{00000000-0005-0000-0000-00001C180000}"/>
    <cellStyle name="Normal 2 2 2 12 2 5 2" xfId="30218" xr:uid="{00000000-0005-0000-0000-00001D180000}"/>
    <cellStyle name="Normal 2 2 2 12 2 6" xfId="21188" xr:uid="{00000000-0005-0000-0000-00001E180000}"/>
    <cellStyle name="Normal 2 2 2 12 3" xfId="1883" xr:uid="{00000000-0005-0000-0000-00001F180000}"/>
    <cellStyle name="Normal 2 2 2 12 3 2" xfId="6365" xr:uid="{00000000-0005-0000-0000-000020180000}"/>
    <cellStyle name="Normal 2 2 2 12 3 2 2" xfId="15395" xr:uid="{00000000-0005-0000-0000-000021180000}"/>
    <cellStyle name="Normal 2 2 2 12 3 2 2 2" xfId="35447" xr:uid="{00000000-0005-0000-0000-000022180000}"/>
    <cellStyle name="Normal 2 2 2 12 3 2 3" xfId="26417" xr:uid="{00000000-0005-0000-0000-000023180000}"/>
    <cellStyle name="Normal 2 2 2 12 3 3" xfId="10913" xr:uid="{00000000-0005-0000-0000-000024180000}"/>
    <cellStyle name="Normal 2 2 2 12 3 3 2" xfId="30965" xr:uid="{00000000-0005-0000-0000-000025180000}"/>
    <cellStyle name="Normal 2 2 2 12 3 4" xfId="21935" xr:uid="{00000000-0005-0000-0000-000026180000}"/>
    <cellStyle name="Normal 2 2 2 12 4" xfId="3377" xr:uid="{00000000-0005-0000-0000-000027180000}"/>
    <cellStyle name="Normal 2 2 2 12 4 2" xfId="7859" xr:uid="{00000000-0005-0000-0000-000028180000}"/>
    <cellStyle name="Normal 2 2 2 12 4 2 2" xfId="16889" xr:uid="{00000000-0005-0000-0000-000029180000}"/>
    <cellStyle name="Normal 2 2 2 12 4 2 2 2" xfId="36941" xr:uid="{00000000-0005-0000-0000-00002A180000}"/>
    <cellStyle name="Normal 2 2 2 12 4 2 3" xfId="27911" xr:uid="{00000000-0005-0000-0000-00002B180000}"/>
    <cellStyle name="Normal 2 2 2 12 4 3" xfId="12407" xr:uid="{00000000-0005-0000-0000-00002C180000}"/>
    <cellStyle name="Normal 2 2 2 12 4 3 2" xfId="32459" xr:uid="{00000000-0005-0000-0000-00002D180000}"/>
    <cellStyle name="Normal 2 2 2 12 4 4" xfId="23429" xr:uid="{00000000-0005-0000-0000-00002E180000}"/>
    <cellStyle name="Normal 2 2 2 12 5" xfId="4871" xr:uid="{00000000-0005-0000-0000-00002F180000}"/>
    <cellStyle name="Normal 2 2 2 12 5 2" xfId="13901" xr:uid="{00000000-0005-0000-0000-000030180000}"/>
    <cellStyle name="Normal 2 2 2 12 5 2 2" xfId="33953" xr:uid="{00000000-0005-0000-0000-000031180000}"/>
    <cellStyle name="Normal 2 2 2 12 5 3" xfId="24923" xr:uid="{00000000-0005-0000-0000-000032180000}"/>
    <cellStyle name="Normal 2 2 2 12 6" xfId="9419" xr:uid="{00000000-0005-0000-0000-000033180000}"/>
    <cellStyle name="Normal 2 2 2 12 6 2" xfId="29471" xr:uid="{00000000-0005-0000-0000-000034180000}"/>
    <cellStyle name="Normal 2 2 2 12 7" xfId="20441" xr:uid="{00000000-0005-0000-0000-000035180000}"/>
    <cellStyle name="Normal 2 2 2 13" xfId="575" xr:uid="{00000000-0005-0000-0000-000036180000}"/>
    <cellStyle name="Normal 2 2 2 13 2" xfId="1322" xr:uid="{00000000-0005-0000-0000-000037180000}"/>
    <cellStyle name="Normal 2 2 2 13 2 2" xfId="2816" xr:uid="{00000000-0005-0000-0000-000038180000}"/>
    <cellStyle name="Normal 2 2 2 13 2 2 2" xfId="7298" xr:uid="{00000000-0005-0000-0000-000039180000}"/>
    <cellStyle name="Normal 2 2 2 13 2 2 2 2" xfId="16328" xr:uid="{00000000-0005-0000-0000-00003A180000}"/>
    <cellStyle name="Normal 2 2 2 13 2 2 2 2 2" xfId="36380" xr:uid="{00000000-0005-0000-0000-00003B180000}"/>
    <cellStyle name="Normal 2 2 2 13 2 2 2 3" xfId="27350" xr:uid="{00000000-0005-0000-0000-00003C180000}"/>
    <cellStyle name="Normal 2 2 2 13 2 2 3" xfId="11846" xr:uid="{00000000-0005-0000-0000-00003D180000}"/>
    <cellStyle name="Normal 2 2 2 13 2 2 3 2" xfId="31898" xr:uid="{00000000-0005-0000-0000-00003E180000}"/>
    <cellStyle name="Normal 2 2 2 13 2 2 4" xfId="22868" xr:uid="{00000000-0005-0000-0000-00003F180000}"/>
    <cellStyle name="Normal 2 2 2 13 2 3" xfId="4310" xr:uid="{00000000-0005-0000-0000-000040180000}"/>
    <cellStyle name="Normal 2 2 2 13 2 3 2" xfId="8792" xr:uid="{00000000-0005-0000-0000-000041180000}"/>
    <cellStyle name="Normal 2 2 2 13 2 3 2 2" xfId="17822" xr:uid="{00000000-0005-0000-0000-000042180000}"/>
    <cellStyle name="Normal 2 2 2 13 2 3 2 2 2" xfId="37874" xr:uid="{00000000-0005-0000-0000-000043180000}"/>
    <cellStyle name="Normal 2 2 2 13 2 3 2 3" xfId="28844" xr:uid="{00000000-0005-0000-0000-000044180000}"/>
    <cellStyle name="Normal 2 2 2 13 2 3 3" xfId="13340" xr:uid="{00000000-0005-0000-0000-000045180000}"/>
    <cellStyle name="Normal 2 2 2 13 2 3 3 2" xfId="33392" xr:uid="{00000000-0005-0000-0000-000046180000}"/>
    <cellStyle name="Normal 2 2 2 13 2 3 4" xfId="24362" xr:uid="{00000000-0005-0000-0000-000047180000}"/>
    <cellStyle name="Normal 2 2 2 13 2 4" xfId="5804" xr:uid="{00000000-0005-0000-0000-000048180000}"/>
    <cellStyle name="Normal 2 2 2 13 2 4 2" xfId="14834" xr:uid="{00000000-0005-0000-0000-000049180000}"/>
    <cellStyle name="Normal 2 2 2 13 2 4 2 2" xfId="34886" xr:uid="{00000000-0005-0000-0000-00004A180000}"/>
    <cellStyle name="Normal 2 2 2 13 2 4 3" xfId="25856" xr:uid="{00000000-0005-0000-0000-00004B180000}"/>
    <cellStyle name="Normal 2 2 2 13 2 5" xfId="10352" xr:uid="{00000000-0005-0000-0000-00004C180000}"/>
    <cellStyle name="Normal 2 2 2 13 2 5 2" xfId="30404" xr:uid="{00000000-0005-0000-0000-00004D180000}"/>
    <cellStyle name="Normal 2 2 2 13 2 6" xfId="21374" xr:uid="{00000000-0005-0000-0000-00004E180000}"/>
    <cellStyle name="Normal 2 2 2 13 3" xfId="2069" xr:uid="{00000000-0005-0000-0000-00004F180000}"/>
    <cellStyle name="Normal 2 2 2 13 3 2" xfId="6551" xr:uid="{00000000-0005-0000-0000-000050180000}"/>
    <cellStyle name="Normal 2 2 2 13 3 2 2" xfId="15581" xr:uid="{00000000-0005-0000-0000-000051180000}"/>
    <cellStyle name="Normal 2 2 2 13 3 2 2 2" xfId="35633" xr:uid="{00000000-0005-0000-0000-000052180000}"/>
    <cellStyle name="Normal 2 2 2 13 3 2 3" xfId="26603" xr:uid="{00000000-0005-0000-0000-000053180000}"/>
    <cellStyle name="Normal 2 2 2 13 3 3" xfId="11099" xr:uid="{00000000-0005-0000-0000-000054180000}"/>
    <cellStyle name="Normal 2 2 2 13 3 3 2" xfId="31151" xr:uid="{00000000-0005-0000-0000-000055180000}"/>
    <cellStyle name="Normal 2 2 2 13 3 4" xfId="22121" xr:uid="{00000000-0005-0000-0000-000056180000}"/>
    <cellStyle name="Normal 2 2 2 13 4" xfId="3563" xr:uid="{00000000-0005-0000-0000-000057180000}"/>
    <cellStyle name="Normal 2 2 2 13 4 2" xfId="8045" xr:uid="{00000000-0005-0000-0000-000058180000}"/>
    <cellStyle name="Normal 2 2 2 13 4 2 2" xfId="17075" xr:uid="{00000000-0005-0000-0000-000059180000}"/>
    <cellStyle name="Normal 2 2 2 13 4 2 2 2" xfId="37127" xr:uid="{00000000-0005-0000-0000-00005A180000}"/>
    <cellStyle name="Normal 2 2 2 13 4 2 3" xfId="28097" xr:uid="{00000000-0005-0000-0000-00005B180000}"/>
    <cellStyle name="Normal 2 2 2 13 4 3" xfId="12593" xr:uid="{00000000-0005-0000-0000-00005C180000}"/>
    <cellStyle name="Normal 2 2 2 13 4 3 2" xfId="32645" xr:uid="{00000000-0005-0000-0000-00005D180000}"/>
    <cellStyle name="Normal 2 2 2 13 4 4" xfId="23615" xr:uid="{00000000-0005-0000-0000-00005E180000}"/>
    <cellStyle name="Normal 2 2 2 13 5" xfId="5057" xr:uid="{00000000-0005-0000-0000-00005F180000}"/>
    <cellStyle name="Normal 2 2 2 13 5 2" xfId="14087" xr:uid="{00000000-0005-0000-0000-000060180000}"/>
    <cellStyle name="Normal 2 2 2 13 5 2 2" xfId="34139" xr:uid="{00000000-0005-0000-0000-000061180000}"/>
    <cellStyle name="Normal 2 2 2 13 5 3" xfId="25109" xr:uid="{00000000-0005-0000-0000-000062180000}"/>
    <cellStyle name="Normal 2 2 2 13 6" xfId="9605" xr:uid="{00000000-0005-0000-0000-000063180000}"/>
    <cellStyle name="Normal 2 2 2 13 6 2" xfId="29657" xr:uid="{00000000-0005-0000-0000-000064180000}"/>
    <cellStyle name="Normal 2 2 2 13 7" xfId="20627" xr:uid="{00000000-0005-0000-0000-000065180000}"/>
    <cellStyle name="Normal 2 2 2 14" xfId="762" xr:uid="{00000000-0005-0000-0000-000066180000}"/>
    <cellStyle name="Normal 2 2 2 14 2" xfId="2256" xr:uid="{00000000-0005-0000-0000-000067180000}"/>
    <cellStyle name="Normal 2 2 2 14 2 2" xfId="6738" xr:uid="{00000000-0005-0000-0000-000068180000}"/>
    <cellStyle name="Normal 2 2 2 14 2 2 2" xfId="15768" xr:uid="{00000000-0005-0000-0000-000069180000}"/>
    <cellStyle name="Normal 2 2 2 14 2 2 2 2" xfId="35820" xr:uid="{00000000-0005-0000-0000-00006A180000}"/>
    <cellStyle name="Normal 2 2 2 14 2 2 3" xfId="26790" xr:uid="{00000000-0005-0000-0000-00006B180000}"/>
    <cellStyle name="Normal 2 2 2 14 2 3" xfId="11286" xr:uid="{00000000-0005-0000-0000-00006C180000}"/>
    <cellStyle name="Normal 2 2 2 14 2 3 2" xfId="31338" xr:uid="{00000000-0005-0000-0000-00006D180000}"/>
    <cellStyle name="Normal 2 2 2 14 2 4" xfId="22308" xr:uid="{00000000-0005-0000-0000-00006E180000}"/>
    <cellStyle name="Normal 2 2 2 14 3" xfId="3750" xr:uid="{00000000-0005-0000-0000-00006F180000}"/>
    <cellStyle name="Normal 2 2 2 14 3 2" xfId="8232" xr:uid="{00000000-0005-0000-0000-000070180000}"/>
    <cellStyle name="Normal 2 2 2 14 3 2 2" xfId="17262" xr:uid="{00000000-0005-0000-0000-000071180000}"/>
    <cellStyle name="Normal 2 2 2 14 3 2 2 2" xfId="37314" xr:uid="{00000000-0005-0000-0000-000072180000}"/>
    <cellStyle name="Normal 2 2 2 14 3 2 3" xfId="28284" xr:uid="{00000000-0005-0000-0000-000073180000}"/>
    <cellStyle name="Normal 2 2 2 14 3 3" xfId="12780" xr:uid="{00000000-0005-0000-0000-000074180000}"/>
    <cellStyle name="Normal 2 2 2 14 3 3 2" xfId="32832" xr:uid="{00000000-0005-0000-0000-000075180000}"/>
    <cellStyle name="Normal 2 2 2 14 3 4" xfId="23802" xr:uid="{00000000-0005-0000-0000-000076180000}"/>
    <cellStyle name="Normal 2 2 2 14 4" xfId="5244" xr:uid="{00000000-0005-0000-0000-000077180000}"/>
    <cellStyle name="Normal 2 2 2 14 4 2" xfId="14274" xr:uid="{00000000-0005-0000-0000-000078180000}"/>
    <cellStyle name="Normal 2 2 2 14 4 2 2" xfId="34326" xr:uid="{00000000-0005-0000-0000-000079180000}"/>
    <cellStyle name="Normal 2 2 2 14 4 3" xfId="25296" xr:uid="{00000000-0005-0000-0000-00007A180000}"/>
    <cellStyle name="Normal 2 2 2 14 5" xfId="9792" xr:uid="{00000000-0005-0000-0000-00007B180000}"/>
    <cellStyle name="Normal 2 2 2 14 5 2" xfId="29844" xr:uid="{00000000-0005-0000-0000-00007C180000}"/>
    <cellStyle name="Normal 2 2 2 14 6" xfId="20814" xr:uid="{00000000-0005-0000-0000-00007D180000}"/>
    <cellStyle name="Normal 2 2 2 15" xfId="1511" xr:uid="{00000000-0005-0000-0000-00007E180000}"/>
    <cellStyle name="Normal 2 2 2 15 2" xfId="5993" xr:uid="{00000000-0005-0000-0000-00007F180000}"/>
    <cellStyle name="Normal 2 2 2 15 2 2" xfId="15023" xr:uid="{00000000-0005-0000-0000-000080180000}"/>
    <cellStyle name="Normal 2 2 2 15 2 2 2" xfId="35075" xr:uid="{00000000-0005-0000-0000-000081180000}"/>
    <cellStyle name="Normal 2 2 2 15 2 3" xfId="26045" xr:uid="{00000000-0005-0000-0000-000082180000}"/>
    <cellStyle name="Normal 2 2 2 15 3" xfId="10541" xr:uid="{00000000-0005-0000-0000-000083180000}"/>
    <cellStyle name="Normal 2 2 2 15 3 2" xfId="30593" xr:uid="{00000000-0005-0000-0000-000084180000}"/>
    <cellStyle name="Normal 2 2 2 15 4" xfId="21563" xr:uid="{00000000-0005-0000-0000-000085180000}"/>
    <cellStyle name="Normal 2 2 2 16" xfId="3005" xr:uid="{00000000-0005-0000-0000-000086180000}"/>
    <cellStyle name="Normal 2 2 2 16 2" xfId="7487" xr:uid="{00000000-0005-0000-0000-000087180000}"/>
    <cellStyle name="Normal 2 2 2 16 2 2" xfId="16517" xr:uid="{00000000-0005-0000-0000-000088180000}"/>
    <cellStyle name="Normal 2 2 2 16 2 2 2" xfId="36569" xr:uid="{00000000-0005-0000-0000-000089180000}"/>
    <cellStyle name="Normal 2 2 2 16 2 3" xfId="27539" xr:uid="{00000000-0005-0000-0000-00008A180000}"/>
    <cellStyle name="Normal 2 2 2 16 3" xfId="12035" xr:uid="{00000000-0005-0000-0000-00008B180000}"/>
    <cellStyle name="Normal 2 2 2 16 3 2" xfId="32087" xr:uid="{00000000-0005-0000-0000-00008C180000}"/>
    <cellStyle name="Normal 2 2 2 16 4" xfId="23057" xr:uid="{00000000-0005-0000-0000-00008D180000}"/>
    <cellStyle name="Normal 2 2 2 17" xfId="4499" xr:uid="{00000000-0005-0000-0000-00008E180000}"/>
    <cellStyle name="Normal 2 2 2 17 2" xfId="13529" xr:uid="{00000000-0005-0000-0000-00008F180000}"/>
    <cellStyle name="Normal 2 2 2 17 2 2" xfId="33581" xr:uid="{00000000-0005-0000-0000-000090180000}"/>
    <cellStyle name="Normal 2 2 2 17 3" xfId="24551" xr:uid="{00000000-0005-0000-0000-000091180000}"/>
    <cellStyle name="Normal 2 2 2 18" xfId="9047" xr:uid="{00000000-0005-0000-0000-000092180000}"/>
    <cellStyle name="Normal 2 2 2 18 2" xfId="29099" xr:uid="{00000000-0005-0000-0000-000093180000}"/>
    <cellStyle name="Normal 2 2 2 19" xfId="20062" xr:uid="{00000000-0005-0000-0000-000094180000}"/>
    <cellStyle name="Normal 2 2 2 2" xfId="27" xr:uid="{00000000-0005-0000-0000-000095180000}"/>
    <cellStyle name="Normal 2 2 2 2 10" xfId="213" xr:uid="{00000000-0005-0000-0000-000096180000}"/>
    <cellStyle name="Normal 2 2 2 2 10 2" xfId="958" xr:uid="{00000000-0005-0000-0000-000097180000}"/>
    <cellStyle name="Normal 2 2 2 2 10 2 2" xfId="2452" xr:uid="{00000000-0005-0000-0000-000098180000}"/>
    <cellStyle name="Normal 2 2 2 2 10 2 2 2" xfId="6934" xr:uid="{00000000-0005-0000-0000-000099180000}"/>
    <cellStyle name="Normal 2 2 2 2 10 2 2 2 2" xfId="15964" xr:uid="{00000000-0005-0000-0000-00009A180000}"/>
    <cellStyle name="Normal 2 2 2 2 10 2 2 2 2 2" xfId="36016" xr:uid="{00000000-0005-0000-0000-00009B180000}"/>
    <cellStyle name="Normal 2 2 2 2 10 2 2 2 3" xfId="26986" xr:uid="{00000000-0005-0000-0000-00009C180000}"/>
    <cellStyle name="Normal 2 2 2 2 10 2 2 3" xfId="11482" xr:uid="{00000000-0005-0000-0000-00009D180000}"/>
    <cellStyle name="Normal 2 2 2 2 10 2 2 3 2" xfId="31534" xr:uid="{00000000-0005-0000-0000-00009E180000}"/>
    <cellStyle name="Normal 2 2 2 2 10 2 2 4" xfId="22504" xr:uid="{00000000-0005-0000-0000-00009F180000}"/>
    <cellStyle name="Normal 2 2 2 2 10 2 3" xfId="3946" xr:uid="{00000000-0005-0000-0000-0000A0180000}"/>
    <cellStyle name="Normal 2 2 2 2 10 2 3 2" xfId="8428" xr:uid="{00000000-0005-0000-0000-0000A1180000}"/>
    <cellStyle name="Normal 2 2 2 2 10 2 3 2 2" xfId="17458" xr:uid="{00000000-0005-0000-0000-0000A2180000}"/>
    <cellStyle name="Normal 2 2 2 2 10 2 3 2 2 2" xfId="37510" xr:uid="{00000000-0005-0000-0000-0000A3180000}"/>
    <cellStyle name="Normal 2 2 2 2 10 2 3 2 3" xfId="28480" xr:uid="{00000000-0005-0000-0000-0000A4180000}"/>
    <cellStyle name="Normal 2 2 2 2 10 2 3 3" xfId="12976" xr:uid="{00000000-0005-0000-0000-0000A5180000}"/>
    <cellStyle name="Normal 2 2 2 2 10 2 3 3 2" xfId="33028" xr:uid="{00000000-0005-0000-0000-0000A6180000}"/>
    <cellStyle name="Normal 2 2 2 2 10 2 3 4" xfId="23998" xr:uid="{00000000-0005-0000-0000-0000A7180000}"/>
    <cellStyle name="Normal 2 2 2 2 10 2 4" xfId="5440" xr:uid="{00000000-0005-0000-0000-0000A8180000}"/>
    <cellStyle name="Normal 2 2 2 2 10 2 4 2" xfId="14470" xr:uid="{00000000-0005-0000-0000-0000A9180000}"/>
    <cellStyle name="Normal 2 2 2 2 10 2 4 2 2" xfId="34522" xr:uid="{00000000-0005-0000-0000-0000AA180000}"/>
    <cellStyle name="Normal 2 2 2 2 10 2 4 3" xfId="25492" xr:uid="{00000000-0005-0000-0000-0000AB180000}"/>
    <cellStyle name="Normal 2 2 2 2 10 2 5" xfId="9988" xr:uid="{00000000-0005-0000-0000-0000AC180000}"/>
    <cellStyle name="Normal 2 2 2 2 10 2 5 2" xfId="30040" xr:uid="{00000000-0005-0000-0000-0000AD180000}"/>
    <cellStyle name="Normal 2 2 2 2 10 2 6" xfId="21010" xr:uid="{00000000-0005-0000-0000-0000AE180000}"/>
    <cellStyle name="Normal 2 2 2 2 10 3" xfId="1707" xr:uid="{00000000-0005-0000-0000-0000AF180000}"/>
    <cellStyle name="Normal 2 2 2 2 10 3 2" xfId="6189" xr:uid="{00000000-0005-0000-0000-0000B0180000}"/>
    <cellStyle name="Normal 2 2 2 2 10 3 2 2" xfId="15219" xr:uid="{00000000-0005-0000-0000-0000B1180000}"/>
    <cellStyle name="Normal 2 2 2 2 10 3 2 2 2" xfId="35271" xr:uid="{00000000-0005-0000-0000-0000B2180000}"/>
    <cellStyle name="Normal 2 2 2 2 10 3 2 3" xfId="26241" xr:uid="{00000000-0005-0000-0000-0000B3180000}"/>
    <cellStyle name="Normal 2 2 2 2 10 3 3" xfId="10737" xr:uid="{00000000-0005-0000-0000-0000B4180000}"/>
    <cellStyle name="Normal 2 2 2 2 10 3 3 2" xfId="30789" xr:uid="{00000000-0005-0000-0000-0000B5180000}"/>
    <cellStyle name="Normal 2 2 2 2 10 3 4" xfId="21759" xr:uid="{00000000-0005-0000-0000-0000B6180000}"/>
    <cellStyle name="Normal 2 2 2 2 10 4" xfId="3201" xr:uid="{00000000-0005-0000-0000-0000B7180000}"/>
    <cellStyle name="Normal 2 2 2 2 10 4 2" xfId="7683" xr:uid="{00000000-0005-0000-0000-0000B8180000}"/>
    <cellStyle name="Normal 2 2 2 2 10 4 2 2" xfId="16713" xr:uid="{00000000-0005-0000-0000-0000B9180000}"/>
    <cellStyle name="Normal 2 2 2 2 10 4 2 2 2" xfId="36765" xr:uid="{00000000-0005-0000-0000-0000BA180000}"/>
    <cellStyle name="Normal 2 2 2 2 10 4 2 3" xfId="27735" xr:uid="{00000000-0005-0000-0000-0000BB180000}"/>
    <cellStyle name="Normal 2 2 2 2 10 4 3" xfId="12231" xr:uid="{00000000-0005-0000-0000-0000BC180000}"/>
    <cellStyle name="Normal 2 2 2 2 10 4 3 2" xfId="32283" xr:uid="{00000000-0005-0000-0000-0000BD180000}"/>
    <cellStyle name="Normal 2 2 2 2 10 4 4" xfId="23253" xr:uid="{00000000-0005-0000-0000-0000BE180000}"/>
    <cellStyle name="Normal 2 2 2 2 10 5" xfId="4695" xr:uid="{00000000-0005-0000-0000-0000BF180000}"/>
    <cellStyle name="Normal 2 2 2 2 10 5 2" xfId="13725" xr:uid="{00000000-0005-0000-0000-0000C0180000}"/>
    <cellStyle name="Normal 2 2 2 2 10 5 2 2" xfId="33777" xr:uid="{00000000-0005-0000-0000-0000C1180000}"/>
    <cellStyle name="Normal 2 2 2 2 10 5 3" xfId="24747" xr:uid="{00000000-0005-0000-0000-0000C2180000}"/>
    <cellStyle name="Normal 2 2 2 2 10 6" xfId="9243" xr:uid="{00000000-0005-0000-0000-0000C3180000}"/>
    <cellStyle name="Normal 2 2 2 2 10 6 2" xfId="29295" xr:uid="{00000000-0005-0000-0000-0000C4180000}"/>
    <cellStyle name="Normal 2 2 2 2 10 7" xfId="20265" xr:uid="{00000000-0005-0000-0000-0000C5180000}"/>
    <cellStyle name="Normal 2 2 2 2 11" xfId="399" xr:uid="{00000000-0005-0000-0000-0000C6180000}"/>
    <cellStyle name="Normal 2 2 2 2 11 2" xfId="1146" xr:uid="{00000000-0005-0000-0000-0000C7180000}"/>
    <cellStyle name="Normal 2 2 2 2 11 2 2" xfId="2640" xr:uid="{00000000-0005-0000-0000-0000C8180000}"/>
    <cellStyle name="Normal 2 2 2 2 11 2 2 2" xfId="7122" xr:uid="{00000000-0005-0000-0000-0000C9180000}"/>
    <cellStyle name="Normal 2 2 2 2 11 2 2 2 2" xfId="16152" xr:uid="{00000000-0005-0000-0000-0000CA180000}"/>
    <cellStyle name="Normal 2 2 2 2 11 2 2 2 2 2" xfId="36204" xr:uid="{00000000-0005-0000-0000-0000CB180000}"/>
    <cellStyle name="Normal 2 2 2 2 11 2 2 2 3" xfId="27174" xr:uid="{00000000-0005-0000-0000-0000CC180000}"/>
    <cellStyle name="Normal 2 2 2 2 11 2 2 3" xfId="11670" xr:uid="{00000000-0005-0000-0000-0000CD180000}"/>
    <cellStyle name="Normal 2 2 2 2 11 2 2 3 2" xfId="31722" xr:uid="{00000000-0005-0000-0000-0000CE180000}"/>
    <cellStyle name="Normal 2 2 2 2 11 2 2 4" xfId="22692" xr:uid="{00000000-0005-0000-0000-0000CF180000}"/>
    <cellStyle name="Normal 2 2 2 2 11 2 3" xfId="4134" xr:uid="{00000000-0005-0000-0000-0000D0180000}"/>
    <cellStyle name="Normal 2 2 2 2 11 2 3 2" xfId="8616" xr:uid="{00000000-0005-0000-0000-0000D1180000}"/>
    <cellStyle name="Normal 2 2 2 2 11 2 3 2 2" xfId="17646" xr:uid="{00000000-0005-0000-0000-0000D2180000}"/>
    <cellStyle name="Normal 2 2 2 2 11 2 3 2 2 2" xfId="37698" xr:uid="{00000000-0005-0000-0000-0000D3180000}"/>
    <cellStyle name="Normal 2 2 2 2 11 2 3 2 3" xfId="28668" xr:uid="{00000000-0005-0000-0000-0000D4180000}"/>
    <cellStyle name="Normal 2 2 2 2 11 2 3 3" xfId="13164" xr:uid="{00000000-0005-0000-0000-0000D5180000}"/>
    <cellStyle name="Normal 2 2 2 2 11 2 3 3 2" xfId="33216" xr:uid="{00000000-0005-0000-0000-0000D6180000}"/>
    <cellStyle name="Normal 2 2 2 2 11 2 3 4" xfId="24186" xr:uid="{00000000-0005-0000-0000-0000D7180000}"/>
    <cellStyle name="Normal 2 2 2 2 11 2 4" xfId="5628" xr:uid="{00000000-0005-0000-0000-0000D8180000}"/>
    <cellStyle name="Normal 2 2 2 2 11 2 4 2" xfId="14658" xr:uid="{00000000-0005-0000-0000-0000D9180000}"/>
    <cellStyle name="Normal 2 2 2 2 11 2 4 2 2" xfId="34710" xr:uid="{00000000-0005-0000-0000-0000DA180000}"/>
    <cellStyle name="Normal 2 2 2 2 11 2 4 3" xfId="25680" xr:uid="{00000000-0005-0000-0000-0000DB180000}"/>
    <cellStyle name="Normal 2 2 2 2 11 2 5" xfId="10176" xr:uid="{00000000-0005-0000-0000-0000DC180000}"/>
    <cellStyle name="Normal 2 2 2 2 11 2 5 2" xfId="30228" xr:uid="{00000000-0005-0000-0000-0000DD180000}"/>
    <cellStyle name="Normal 2 2 2 2 11 2 6" xfId="21198" xr:uid="{00000000-0005-0000-0000-0000DE180000}"/>
    <cellStyle name="Normal 2 2 2 2 11 3" xfId="1893" xr:uid="{00000000-0005-0000-0000-0000DF180000}"/>
    <cellStyle name="Normal 2 2 2 2 11 3 2" xfId="6375" xr:uid="{00000000-0005-0000-0000-0000E0180000}"/>
    <cellStyle name="Normal 2 2 2 2 11 3 2 2" xfId="15405" xr:uid="{00000000-0005-0000-0000-0000E1180000}"/>
    <cellStyle name="Normal 2 2 2 2 11 3 2 2 2" xfId="35457" xr:uid="{00000000-0005-0000-0000-0000E2180000}"/>
    <cellStyle name="Normal 2 2 2 2 11 3 2 3" xfId="26427" xr:uid="{00000000-0005-0000-0000-0000E3180000}"/>
    <cellStyle name="Normal 2 2 2 2 11 3 3" xfId="10923" xr:uid="{00000000-0005-0000-0000-0000E4180000}"/>
    <cellStyle name="Normal 2 2 2 2 11 3 3 2" xfId="30975" xr:uid="{00000000-0005-0000-0000-0000E5180000}"/>
    <cellStyle name="Normal 2 2 2 2 11 3 4" xfId="21945" xr:uid="{00000000-0005-0000-0000-0000E6180000}"/>
    <cellStyle name="Normal 2 2 2 2 11 4" xfId="3387" xr:uid="{00000000-0005-0000-0000-0000E7180000}"/>
    <cellStyle name="Normal 2 2 2 2 11 4 2" xfId="7869" xr:uid="{00000000-0005-0000-0000-0000E8180000}"/>
    <cellStyle name="Normal 2 2 2 2 11 4 2 2" xfId="16899" xr:uid="{00000000-0005-0000-0000-0000E9180000}"/>
    <cellStyle name="Normal 2 2 2 2 11 4 2 2 2" xfId="36951" xr:uid="{00000000-0005-0000-0000-0000EA180000}"/>
    <cellStyle name="Normal 2 2 2 2 11 4 2 3" xfId="27921" xr:uid="{00000000-0005-0000-0000-0000EB180000}"/>
    <cellStyle name="Normal 2 2 2 2 11 4 3" xfId="12417" xr:uid="{00000000-0005-0000-0000-0000EC180000}"/>
    <cellStyle name="Normal 2 2 2 2 11 4 3 2" xfId="32469" xr:uid="{00000000-0005-0000-0000-0000ED180000}"/>
    <cellStyle name="Normal 2 2 2 2 11 4 4" xfId="23439" xr:uid="{00000000-0005-0000-0000-0000EE180000}"/>
    <cellStyle name="Normal 2 2 2 2 11 5" xfId="4881" xr:uid="{00000000-0005-0000-0000-0000EF180000}"/>
    <cellStyle name="Normal 2 2 2 2 11 5 2" xfId="13911" xr:uid="{00000000-0005-0000-0000-0000F0180000}"/>
    <cellStyle name="Normal 2 2 2 2 11 5 2 2" xfId="33963" xr:uid="{00000000-0005-0000-0000-0000F1180000}"/>
    <cellStyle name="Normal 2 2 2 2 11 5 3" xfId="24933" xr:uid="{00000000-0005-0000-0000-0000F2180000}"/>
    <cellStyle name="Normal 2 2 2 2 11 6" xfId="9429" xr:uid="{00000000-0005-0000-0000-0000F3180000}"/>
    <cellStyle name="Normal 2 2 2 2 11 6 2" xfId="29481" xr:uid="{00000000-0005-0000-0000-0000F4180000}"/>
    <cellStyle name="Normal 2 2 2 2 11 7" xfId="20451" xr:uid="{00000000-0005-0000-0000-0000F5180000}"/>
    <cellStyle name="Normal 2 2 2 2 12" xfId="585" xr:uid="{00000000-0005-0000-0000-0000F6180000}"/>
    <cellStyle name="Normal 2 2 2 2 12 2" xfId="1332" xr:uid="{00000000-0005-0000-0000-0000F7180000}"/>
    <cellStyle name="Normal 2 2 2 2 12 2 2" xfId="2826" xr:uid="{00000000-0005-0000-0000-0000F8180000}"/>
    <cellStyle name="Normal 2 2 2 2 12 2 2 2" xfId="7308" xr:uid="{00000000-0005-0000-0000-0000F9180000}"/>
    <cellStyle name="Normal 2 2 2 2 12 2 2 2 2" xfId="16338" xr:uid="{00000000-0005-0000-0000-0000FA180000}"/>
    <cellStyle name="Normal 2 2 2 2 12 2 2 2 2 2" xfId="36390" xr:uid="{00000000-0005-0000-0000-0000FB180000}"/>
    <cellStyle name="Normal 2 2 2 2 12 2 2 2 3" xfId="27360" xr:uid="{00000000-0005-0000-0000-0000FC180000}"/>
    <cellStyle name="Normal 2 2 2 2 12 2 2 3" xfId="11856" xr:uid="{00000000-0005-0000-0000-0000FD180000}"/>
    <cellStyle name="Normal 2 2 2 2 12 2 2 3 2" xfId="31908" xr:uid="{00000000-0005-0000-0000-0000FE180000}"/>
    <cellStyle name="Normal 2 2 2 2 12 2 2 4" xfId="22878" xr:uid="{00000000-0005-0000-0000-0000FF180000}"/>
    <cellStyle name="Normal 2 2 2 2 12 2 3" xfId="4320" xr:uid="{00000000-0005-0000-0000-000000190000}"/>
    <cellStyle name="Normal 2 2 2 2 12 2 3 2" xfId="8802" xr:uid="{00000000-0005-0000-0000-000001190000}"/>
    <cellStyle name="Normal 2 2 2 2 12 2 3 2 2" xfId="17832" xr:uid="{00000000-0005-0000-0000-000002190000}"/>
    <cellStyle name="Normal 2 2 2 2 12 2 3 2 2 2" xfId="37884" xr:uid="{00000000-0005-0000-0000-000003190000}"/>
    <cellStyle name="Normal 2 2 2 2 12 2 3 2 3" xfId="28854" xr:uid="{00000000-0005-0000-0000-000004190000}"/>
    <cellStyle name="Normal 2 2 2 2 12 2 3 3" xfId="13350" xr:uid="{00000000-0005-0000-0000-000005190000}"/>
    <cellStyle name="Normal 2 2 2 2 12 2 3 3 2" xfId="33402" xr:uid="{00000000-0005-0000-0000-000006190000}"/>
    <cellStyle name="Normal 2 2 2 2 12 2 3 4" xfId="24372" xr:uid="{00000000-0005-0000-0000-000007190000}"/>
    <cellStyle name="Normal 2 2 2 2 12 2 4" xfId="5814" xr:uid="{00000000-0005-0000-0000-000008190000}"/>
    <cellStyle name="Normal 2 2 2 2 12 2 4 2" xfId="14844" xr:uid="{00000000-0005-0000-0000-000009190000}"/>
    <cellStyle name="Normal 2 2 2 2 12 2 4 2 2" xfId="34896" xr:uid="{00000000-0005-0000-0000-00000A190000}"/>
    <cellStyle name="Normal 2 2 2 2 12 2 4 3" xfId="25866" xr:uid="{00000000-0005-0000-0000-00000B190000}"/>
    <cellStyle name="Normal 2 2 2 2 12 2 5" xfId="10362" xr:uid="{00000000-0005-0000-0000-00000C190000}"/>
    <cellStyle name="Normal 2 2 2 2 12 2 5 2" xfId="30414" xr:uid="{00000000-0005-0000-0000-00000D190000}"/>
    <cellStyle name="Normal 2 2 2 2 12 2 6" xfId="21384" xr:uid="{00000000-0005-0000-0000-00000E190000}"/>
    <cellStyle name="Normal 2 2 2 2 12 3" xfId="2079" xr:uid="{00000000-0005-0000-0000-00000F190000}"/>
    <cellStyle name="Normal 2 2 2 2 12 3 2" xfId="6561" xr:uid="{00000000-0005-0000-0000-000010190000}"/>
    <cellStyle name="Normal 2 2 2 2 12 3 2 2" xfId="15591" xr:uid="{00000000-0005-0000-0000-000011190000}"/>
    <cellStyle name="Normal 2 2 2 2 12 3 2 2 2" xfId="35643" xr:uid="{00000000-0005-0000-0000-000012190000}"/>
    <cellStyle name="Normal 2 2 2 2 12 3 2 3" xfId="26613" xr:uid="{00000000-0005-0000-0000-000013190000}"/>
    <cellStyle name="Normal 2 2 2 2 12 3 3" xfId="11109" xr:uid="{00000000-0005-0000-0000-000014190000}"/>
    <cellStyle name="Normal 2 2 2 2 12 3 3 2" xfId="31161" xr:uid="{00000000-0005-0000-0000-000015190000}"/>
    <cellStyle name="Normal 2 2 2 2 12 3 4" xfId="22131" xr:uid="{00000000-0005-0000-0000-000016190000}"/>
    <cellStyle name="Normal 2 2 2 2 12 4" xfId="3573" xr:uid="{00000000-0005-0000-0000-000017190000}"/>
    <cellStyle name="Normal 2 2 2 2 12 4 2" xfId="8055" xr:uid="{00000000-0005-0000-0000-000018190000}"/>
    <cellStyle name="Normal 2 2 2 2 12 4 2 2" xfId="17085" xr:uid="{00000000-0005-0000-0000-000019190000}"/>
    <cellStyle name="Normal 2 2 2 2 12 4 2 2 2" xfId="37137" xr:uid="{00000000-0005-0000-0000-00001A190000}"/>
    <cellStyle name="Normal 2 2 2 2 12 4 2 3" xfId="28107" xr:uid="{00000000-0005-0000-0000-00001B190000}"/>
    <cellStyle name="Normal 2 2 2 2 12 4 3" xfId="12603" xr:uid="{00000000-0005-0000-0000-00001C190000}"/>
    <cellStyle name="Normal 2 2 2 2 12 4 3 2" xfId="32655" xr:uid="{00000000-0005-0000-0000-00001D190000}"/>
    <cellStyle name="Normal 2 2 2 2 12 4 4" xfId="23625" xr:uid="{00000000-0005-0000-0000-00001E190000}"/>
    <cellStyle name="Normal 2 2 2 2 12 5" xfId="5067" xr:uid="{00000000-0005-0000-0000-00001F190000}"/>
    <cellStyle name="Normal 2 2 2 2 12 5 2" xfId="14097" xr:uid="{00000000-0005-0000-0000-000020190000}"/>
    <cellStyle name="Normal 2 2 2 2 12 5 2 2" xfId="34149" xr:uid="{00000000-0005-0000-0000-000021190000}"/>
    <cellStyle name="Normal 2 2 2 2 12 5 3" xfId="25119" xr:uid="{00000000-0005-0000-0000-000022190000}"/>
    <cellStyle name="Normal 2 2 2 2 12 6" xfId="9615" xr:uid="{00000000-0005-0000-0000-000023190000}"/>
    <cellStyle name="Normal 2 2 2 2 12 6 2" xfId="29667" xr:uid="{00000000-0005-0000-0000-000024190000}"/>
    <cellStyle name="Normal 2 2 2 2 12 7" xfId="20637" xr:uid="{00000000-0005-0000-0000-000025190000}"/>
    <cellStyle name="Normal 2 2 2 2 13" xfId="772" xr:uid="{00000000-0005-0000-0000-000026190000}"/>
    <cellStyle name="Normal 2 2 2 2 13 2" xfId="2266" xr:uid="{00000000-0005-0000-0000-000027190000}"/>
    <cellStyle name="Normal 2 2 2 2 13 2 2" xfId="6748" xr:uid="{00000000-0005-0000-0000-000028190000}"/>
    <cellStyle name="Normal 2 2 2 2 13 2 2 2" xfId="15778" xr:uid="{00000000-0005-0000-0000-000029190000}"/>
    <cellStyle name="Normal 2 2 2 2 13 2 2 2 2" xfId="35830" xr:uid="{00000000-0005-0000-0000-00002A190000}"/>
    <cellStyle name="Normal 2 2 2 2 13 2 2 3" xfId="26800" xr:uid="{00000000-0005-0000-0000-00002B190000}"/>
    <cellStyle name="Normal 2 2 2 2 13 2 3" xfId="11296" xr:uid="{00000000-0005-0000-0000-00002C190000}"/>
    <cellStyle name="Normal 2 2 2 2 13 2 3 2" xfId="31348" xr:uid="{00000000-0005-0000-0000-00002D190000}"/>
    <cellStyle name="Normal 2 2 2 2 13 2 4" xfId="22318" xr:uid="{00000000-0005-0000-0000-00002E190000}"/>
    <cellStyle name="Normal 2 2 2 2 13 3" xfId="3760" xr:uid="{00000000-0005-0000-0000-00002F190000}"/>
    <cellStyle name="Normal 2 2 2 2 13 3 2" xfId="8242" xr:uid="{00000000-0005-0000-0000-000030190000}"/>
    <cellStyle name="Normal 2 2 2 2 13 3 2 2" xfId="17272" xr:uid="{00000000-0005-0000-0000-000031190000}"/>
    <cellStyle name="Normal 2 2 2 2 13 3 2 2 2" xfId="37324" xr:uid="{00000000-0005-0000-0000-000032190000}"/>
    <cellStyle name="Normal 2 2 2 2 13 3 2 3" xfId="28294" xr:uid="{00000000-0005-0000-0000-000033190000}"/>
    <cellStyle name="Normal 2 2 2 2 13 3 3" xfId="12790" xr:uid="{00000000-0005-0000-0000-000034190000}"/>
    <cellStyle name="Normal 2 2 2 2 13 3 3 2" xfId="32842" xr:uid="{00000000-0005-0000-0000-000035190000}"/>
    <cellStyle name="Normal 2 2 2 2 13 3 4" xfId="23812" xr:uid="{00000000-0005-0000-0000-000036190000}"/>
    <cellStyle name="Normal 2 2 2 2 13 4" xfId="5254" xr:uid="{00000000-0005-0000-0000-000037190000}"/>
    <cellStyle name="Normal 2 2 2 2 13 4 2" xfId="14284" xr:uid="{00000000-0005-0000-0000-000038190000}"/>
    <cellStyle name="Normal 2 2 2 2 13 4 2 2" xfId="34336" xr:uid="{00000000-0005-0000-0000-000039190000}"/>
    <cellStyle name="Normal 2 2 2 2 13 4 3" xfId="25306" xr:uid="{00000000-0005-0000-0000-00003A190000}"/>
    <cellStyle name="Normal 2 2 2 2 13 5" xfId="9802" xr:uid="{00000000-0005-0000-0000-00003B190000}"/>
    <cellStyle name="Normal 2 2 2 2 13 5 2" xfId="29854" xr:uid="{00000000-0005-0000-0000-00003C190000}"/>
    <cellStyle name="Normal 2 2 2 2 13 6" xfId="20824" xr:uid="{00000000-0005-0000-0000-00003D190000}"/>
    <cellStyle name="Normal 2 2 2 2 14" xfId="1521" xr:uid="{00000000-0005-0000-0000-00003E190000}"/>
    <cellStyle name="Normal 2 2 2 2 14 2" xfId="6003" xr:uid="{00000000-0005-0000-0000-00003F190000}"/>
    <cellStyle name="Normal 2 2 2 2 14 2 2" xfId="15033" xr:uid="{00000000-0005-0000-0000-000040190000}"/>
    <cellStyle name="Normal 2 2 2 2 14 2 2 2" xfId="35085" xr:uid="{00000000-0005-0000-0000-000041190000}"/>
    <cellStyle name="Normal 2 2 2 2 14 2 3" xfId="26055" xr:uid="{00000000-0005-0000-0000-000042190000}"/>
    <cellStyle name="Normal 2 2 2 2 14 3" xfId="10551" xr:uid="{00000000-0005-0000-0000-000043190000}"/>
    <cellStyle name="Normal 2 2 2 2 14 3 2" xfId="30603" xr:uid="{00000000-0005-0000-0000-000044190000}"/>
    <cellStyle name="Normal 2 2 2 2 14 4" xfId="21573" xr:uid="{00000000-0005-0000-0000-000045190000}"/>
    <cellStyle name="Normal 2 2 2 2 15" xfId="3015" xr:uid="{00000000-0005-0000-0000-000046190000}"/>
    <cellStyle name="Normal 2 2 2 2 15 2" xfId="7497" xr:uid="{00000000-0005-0000-0000-000047190000}"/>
    <cellStyle name="Normal 2 2 2 2 15 2 2" xfId="16527" xr:uid="{00000000-0005-0000-0000-000048190000}"/>
    <cellStyle name="Normal 2 2 2 2 15 2 2 2" xfId="36579" xr:uid="{00000000-0005-0000-0000-000049190000}"/>
    <cellStyle name="Normal 2 2 2 2 15 2 3" xfId="27549" xr:uid="{00000000-0005-0000-0000-00004A190000}"/>
    <cellStyle name="Normal 2 2 2 2 15 3" xfId="12045" xr:uid="{00000000-0005-0000-0000-00004B190000}"/>
    <cellStyle name="Normal 2 2 2 2 15 3 2" xfId="32097" xr:uid="{00000000-0005-0000-0000-00004C190000}"/>
    <cellStyle name="Normal 2 2 2 2 15 4" xfId="23067" xr:uid="{00000000-0005-0000-0000-00004D190000}"/>
    <cellStyle name="Normal 2 2 2 2 16" xfId="4509" xr:uid="{00000000-0005-0000-0000-00004E190000}"/>
    <cellStyle name="Normal 2 2 2 2 16 2" xfId="13539" xr:uid="{00000000-0005-0000-0000-00004F190000}"/>
    <cellStyle name="Normal 2 2 2 2 16 2 2" xfId="33591" xr:uid="{00000000-0005-0000-0000-000050190000}"/>
    <cellStyle name="Normal 2 2 2 2 16 3" xfId="24561" xr:uid="{00000000-0005-0000-0000-000051190000}"/>
    <cellStyle name="Normal 2 2 2 2 17" xfId="9057" xr:uid="{00000000-0005-0000-0000-000052190000}"/>
    <cellStyle name="Normal 2 2 2 2 17 2" xfId="29109" xr:uid="{00000000-0005-0000-0000-000053190000}"/>
    <cellStyle name="Normal 2 2 2 2 18" xfId="20079" xr:uid="{00000000-0005-0000-0000-000054190000}"/>
    <cellStyle name="Normal 2 2 2 2 2" xfId="30" xr:uid="{00000000-0005-0000-0000-000055190000}"/>
    <cellStyle name="Normal 2 2 2 2 2 10" xfId="402" xr:uid="{00000000-0005-0000-0000-000056190000}"/>
    <cellStyle name="Normal 2 2 2 2 2 10 2" xfId="1149" xr:uid="{00000000-0005-0000-0000-000057190000}"/>
    <cellStyle name="Normal 2 2 2 2 2 10 2 2" xfId="2643" xr:uid="{00000000-0005-0000-0000-000058190000}"/>
    <cellStyle name="Normal 2 2 2 2 2 10 2 2 2" xfId="7125" xr:uid="{00000000-0005-0000-0000-000059190000}"/>
    <cellStyle name="Normal 2 2 2 2 2 10 2 2 2 2" xfId="16155" xr:uid="{00000000-0005-0000-0000-00005A190000}"/>
    <cellStyle name="Normal 2 2 2 2 2 10 2 2 2 2 2" xfId="36207" xr:uid="{00000000-0005-0000-0000-00005B190000}"/>
    <cellStyle name="Normal 2 2 2 2 2 10 2 2 2 3" xfId="27177" xr:uid="{00000000-0005-0000-0000-00005C190000}"/>
    <cellStyle name="Normal 2 2 2 2 2 10 2 2 3" xfId="11673" xr:uid="{00000000-0005-0000-0000-00005D190000}"/>
    <cellStyle name="Normal 2 2 2 2 2 10 2 2 3 2" xfId="31725" xr:uid="{00000000-0005-0000-0000-00005E190000}"/>
    <cellStyle name="Normal 2 2 2 2 2 10 2 2 4" xfId="22695" xr:uid="{00000000-0005-0000-0000-00005F190000}"/>
    <cellStyle name="Normal 2 2 2 2 2 10 2 3" xfId="4137" xr:uid="{00000000-0005-0000-0000-000060190000}"/>
    <cellStyle name="Normal 2 2 2 2 2 10 2 3 2" xfId="8619" xr:uid="{00000000-0005-0000-0000-000061190000}"/>
    <cellStyle name="Normal 2 2 2 2 2 10 2 3 2 2" xfId="17649" xr:uid="{00000000-0005-0000-0000-000062190000}"/>
    <cellStyle name="Normal 2 2 2 2 2 10 2 3 2 2 2" xfId="37701" xr:uid="{00000000-0005-0000-0000-000063190000}"/>
    <cellStyle name="Normal 2 2 2 2 2 10 2 3 2 3" xfId="28671" xr:uid="{00000000-0005-0000-0000-000064190000}"/>
    <cellStyle name="Normal 2 2 2 2 2 10 2 3 3" xfId="13167" xr:uid="{00000000-0005-0000-0000-000065190000}"/>
    <cellStyle name="Normal 2 2 2 2 2 10 2 3 3 2" xfId="33219" xr:uid="{00000000-0005-0000-0000-000066190000}"/>
    <cellStyle name="Normal 2 2 2 2 2 10 2 3 4" xfId="24189" xr:uid="{00000000-0005-0000-0000-000067190000}"/>
    <cellStyle name="Normal 2 2 2 2 2 10 2 4" xfId="5631" xr:uid="{00000000-0005-0000-0000-000068190000}"/>
    <cellStyle name="Normal 2 2 2 2 2 10 2 4 2" xfId="14661" xr:uid="{00000000-0005-0000-0000-000069190000}"/>
    <cellStyle name="Normal 2 2 2 2 2 10 2 4 2 2" xfId="34713" xr:uid="{00000000-0005-0000-0000-00006A190000}"/>
    <cellStyle name="Normal 2 2 2 2 2 10 2 4 3" xfId="25683" xr:uid="{00000000-0005-0000-0000-00006B190000}"/>
    <cellStyle name="Normal 2 2 2 2 2 10 2 5" xfId="10179" xr:uid="{00000000-0005-0000-0000-00006C190000}"/>
    <cellStyle name="Normal 2 2 2 2 2 10 2 5 2" xfId="30231" xr:uid="{00000000-0005-0000-0000-00006D190000}"/>
    <cellStyle name="Normal 2 2 2 2 2 10 2 6" xfId="21201" xr:uid="{00000000-0005-0000-0000-00006E190000}"/>
    <cellStyle name="Normal 2 2 2 2 2 10 3" xfId="1896" xr:uid="{00000000-0005-0000-0000-00006F190000}"/>
    <cellStyle name="Normal 2 2 2 2 2 10 3 2" xfId="6378" xr:uid="{00000000-0005-0000-0000-000070190000}"/>
    <cellStyle name="Normal 2 2 2 2 2 10 3 2 2" xfId="15408" xr:uid="{00000000-0005-0000-0000-000071190000}"/>
    <cellStyle name="Normal 2 2 2 2 2 10 3 2 2 2" xfId="35460" xr:uid="{00000000-0005-0000-0000-000072190000}"/>
    <cellStyle name="Normal 2 2 2 2 2 10 3 2 3" xfId="26430" xr:uid="{00000000-0005-0000-0000-000073190000}"/>
    <cellStyle name="Normal 2 2 2 2 2 10 3 3" xfId="10926" xr:uid="{00000000-0005-0000-0000-000074190000}"/>
    <cellStyle name="Normal 2 2 2 2 2 10 3 3 2" xfId="30978" xr:uid="{00000000-0005-0000-0000-000075190000}"/>
    <cellStyle name="Normal 2 2 2 2 2 10 3 4" xfId="21948" xr:uid="{00000000-0005-0000-0000-000076190000}"/>
    <cellStyle name="Normal 2 2 2 2 2 10 4" xfId="3390" xr:uid="{00000000-0005-0000-0000-000077190000}"/>
    <cellStyle name="Normal 2 2 2 2 2 10 4 2" xfId="7872" xr:uid="{00000000-0005-0000-0000-000078190000}"/>
    <cellStyle name="Normal 2 2 2 2 2 10 4 2 2" xfId="16902" xr:uid="{00000000-0005-0000-0000-000079190000}"/>
    <cellStyle name="Normal 2 2 2 2 2 10 4 2 2 2" xfId="36954" xr:uid="{00000000-0005-0000-0000-00007A190000}"/>
    <cellStyle name="Normal 2 2 2 2 2 10 4 2 3" xfId="27924" xr:uid="{00000000-0005-0000-0000-00007B190000}"/>
    <cellStyle name="Normal 2 2 2 2 2 10 4 3" xfId="12420" xr:uid="{00000000-0005-0000-0000-00007C190000}"/>
    <cellStyle name="Normal 2 2 2 2 2 10 4 3 2" xfId="32472" xr:uid="{00000000-0005-0000-0000-00007D190000}"/>
    <cellStyle name="Normal 2 2 2 2 2 10 4 4" xfId="23442" xr:uid="{00000000-0005-0000-0000-00007E190000}"/>
    <cellStyle name="Normal 2 2 2 2 2 10 5" xfId="4884" xr:uid="{00000000-0005-0000-0000-00007F190000}"/>
    <cellStyle name="Normal 2 2 2 2 2 10 5 2" xfId="13914" xr:uid="{00000000-0005-0000-0000-000080190000}"/>
    <cellStyle name="Normal 2 2 2 2 2 10 5 2 2" xfId="33966" xr:uid="{00000000-0005-0000-0000-000081190000}"/>
    <cellStyle name="Normal 2 2 2 2 2 10 5 3" xfId="24936" xr:uid="{00000000-0005-0000-0000-000082190000}"/>
    <cellStyle name="Normal 2 2 2 2 2 10 6" xfId="9432" xr:uid="{00000000-0005-0000-0000-000083190000}"/>
    <cellStyle name="Normal 2 2 2 2 2 10 6 2" xfId="29484" xr:uid="{00000000-0005-0000-0000-000084190000}"/>
    <cellStyle name="Normal 2 2 2 2 2 10 7" xfId="20454" xr:uid="{00000000-0005-0000-0000-000085190000}"/>
    <cellStyle name="Normal 2 2 2 2 2 11" xfId="588" xr:uid="{00000000-0005-0000-0000-000086190000}"/>
    <cellStyle name="Normal 2 2 2 2 2 11 2" xfId="1335" xr:uid="{00000000-0005-0000-0000-000087190000}"/>
    <cellStyle name="Normal 2 2 2 2 2 11 2 2" xfId="2829" xr:uid="{00000000-0005-0000-0000-000088190000}"/>
    <cellStyle name="Normal 2 2 2 2 2 11 2 2 2" xfId="7311" xr:uid="{00000000-0005-0000-0000-000089190000}"/>
    <cellStyle name="Normal 2 2 2 2 2 11 2 2 2 2" xfId="16341" xr:uid="{00000000-0005-0000-0000-00008A190000}"/>
    <cellStyle name="Normal 2 2 2 2 2 11 2 2 2 2 2" xfId="36393" xr:uid="{00000000-0005-0000-0000-00008B190000}"/>
    <cellStyle name="Normal 2 2 2 2 2 11 2 2 2 3" xfId="27363" xr:uid="{00000000-0005-0000-0000-00008C190000}"/>
    <cellStyle name="Normal 2 2 2 2 2 11 2 2 3" xfId="11859" xr:uid="{00000000-0005-0000-0000-00008D190000}"/>
    <cellStyle name="Normal 2 2 2 2 2 11 2 2 3 2" xfId="31911" xr:uid="{00000000-0005-0000-0000-00008E190000}"/>
    <cellStyle name="Normal 2 2 2 2 2 11 2 2 4" xfId="22881" xr:uid="{00000000-0005-0000-0000-00008F190000}"/>
    <cellStyle name="Normal 2 2 2 2 2 11 2 3" xfId="4323" xr:uid="{00000000-0005-0000-0000-000090190000}"/>
    <cellStyle name="Normal 2 2 2 2 2 11 2 3 2" xfId="8805" xr:uid="{00000000-0005-0000-0000-000091190000}"/>
    <cellStyle name="Normal 2 2 2 2 2 11 2 3 2 2" xfId="17835" xr:uid="{00000000-0005-0000-0000-000092190000}"/>
    <cellStyle name="Normal 2 2 2 2 2 11 2 3 2 2 2" xfId="37887" xr:uid="{00000000-0005-0000-0000-000093190000}"/>
    <cellStyle name="Normal 2 2 2 2 2 11 2 3 2 3" xfId="28857" xr:uid="{00000000-0005-0000-0000-000094190000}"/>
    <cellStyle name="Normal 2 2 2 2 2 11 2 3 3" xfId="13353" xr:uid="{00000000-0005-0000-0000-000095190000}"/>
    <cellStyle name="Normal 2 2 2 2 2 11 2 3 3 2" xfId="33405" xr:uid="{00000000-0005-0000-0000-000096190000}"/>
    <cellStyle name="Normal 2 2 2 2 2 11 2 3 4" xfId="24375" xr:uid="{00000000-0005-0000-0000-000097190000}"/>
    <cellStyle name="Normal 2 2 2 2 2 11 2 4" xfId="5817" xr:uid="{00000000-0005-0000-0000-000098190000}"/>
    <cellStyle name="Normal 2 2 2 2 2 11 2 4 2" xfId="14847" xr:uid="{00000000-0005-0000-0000-000099190000}"/>
    <cellStyle name="Normal 2 2 2 2 2 11 2 4 2 2" xfId="34899" xr:uid="{00000000-0005-0000-0000-00009A190000}"/>
    <cellStyle name="Normal 2 2 2 2 2 11 2 4 3" xfId="25869" xr:uid="{00000000-0005-0000-0000-00009B190000}"/>
    <cellStyle name="Normal 2 2 2 2 2 11 2 5" xfId="10365" xr:uid="{00000000-0005-0000-0000-00009C190000}"/>
    <cellStyle name="Normal 2 2 2 2 2 11 2 5 2" xfId="30417" xr:uid="{00000000-0005-0000-0000-00009D190000}"/>
    <cellStyle name="Normal 2 2 2 2 2 11 2 6" xfId="21387" xr:uid="{00000000-0005-0000-0000-00009E190000}"/>
    <cellStyle name="Normal 2 2 2 2 2 11 3" xfId="2082" xr:uid="{00000000-0005-0000-0000-00009F190000}"/>
    <cellStyle name="Normal 2 2 2 2 2 11 3 2" xfId="6564" xr:uid="{00000000-0005-0000-0000-0000A0190000}"/>
    <cellStyle name="Normal 2 2 2 2 2 11 3 2 2" xfId="15594" xr:uid="{00000000-0005-0000-0000-0000A1190000}"/>
    <cellStyle name="Normal 2 2 2 2 2 11 3 2 2 2" xfId="35646" xr:uid="{00000000-0005-0000-0000-0000A2190000}"/>
    <cellStyle name="Normal 2 2 2 2 2 11 3 2 3" xfId="26616" xr:uid="{00000000-0005-0000-0000-0000A3190000}"/>
    <cellStyle name="Normal 2 2 2 2 2 11 3 3" xfId="11112" xr:uid="{00000000-0005-0000-0000-0000A4190000}"/>
    <cellStyle name="Normal 2 2 2 2 2 11 3 3 2" xfId="31164" xr:uid="{00000000-0005-0000-0000-0000A5190000}"/>
    <cellStyle name="Normal 2 2 2 2 2 11 3 4" xfId="22134" xr:uid="{00000000-0005-0000-0000-0000A6190000}"/>
    <cellStyle name="Normal 2 2 2 2 2 11 4" xfId="3576" xr:uid="{00000000-0005-0000-0000-0000A7190000}"/>
    <cellStyle name="Normal 2 2 2 2 2 11 4 2" xfId="8058" xr:uid="{00000000-0005-0000-0000-0000A8190000}"/>
    <cellStyle name="Normal 2 2 2 2 2 11 4 2 2" xfId="17088" xr:uid="{00000000-0005-0000-0000-0000A9190000}"/>
    <cellStyle name="Normal 2 2 2 2 2 11 4 2 2 2" xfId="37140" xr:uid="{00000000-0005-0000-0000-0000AA190000}"/>
    <cellStyle name="Normal 2 2 2 2 2 11 4 2 3" xfId="28110" xr:uid="{00000000-0005-0000-0000-0000AB190000}"/>
    <cellStyle name="Normal 2 2 2 2 2 11 4 3" xfId="12606" xr:uid="{00000000-0005-0000-0000-0000AC190000}"/>
    <cellStyle name="Normal 2 2 2 2 2 11 4 3 2" xfId="32658" xr:uid="{00000000-0005-0000-0000-0000AD190000}"/>
    <cellStyle name="Normal 2 2 2 2 2 11 4 4" xfId="23628" xr:uid="{00000000-0005-0000-0000-0000AE190000}"/>
    <cellStyle name="Normal 2 2 2 2 2 11 5" xfId="5070" xr:uid="{00000000-0005-0000-0000-0000AF190000}"/>
    <cellStyle name="Normal 2 2 2 2 2 11 5 2" xfId="14100" xr:uid="{00000000-0005-0000-0000-0000B0190000}"/>
    <cellStyle name="Normal 2 2 2 2 2 11 5 2 2" xfId="34152" xr:uid="{00000000-0005-0000-0000-0000B1190000}"/>
    <cellStyle name="Normal 2 2 2 2 2 11 5 3" xfId="25122" xr:uid="{00000000-0005-0000-0000-0000B2190000}"/>
    <cellStyle name="Normal 2 2 2 2 2 11 6" xfId="9618" xr:uid="{00000000-0005-0000-0000-0000B3190000}"/>
    <cellStyle name="Normal 2 2 2 2 2 11 6 2" xfId="29670" xr:uid="{00000000-0005-0000-0000-0000B4190000}"/>
    <cellStyle name="Normal 2 2 2 2 2 11 7" xfId="20640" xr:uid="{00000000-0005-0000-0000-0000B5190000}"/>
    <cellStyle name="Normal 2 2 2 2 2 12" xfId="775" xr:uid="{00000000-0005-0000-0000-0000B6190000}"/>
    <cellStyle name="Normal 2 2 2 2 2 12 2" xfId="2269" xr:uid="{00000000-0005-0000-0000-0000B7190000}"/>
    <cellStyle name="Normal 2 2 2 2 2 12 2 2" xfId="6751" xr:uid="{00000000-0005-0000-0000-0000B8190000}"/>
    <cellStyle name="Normal 2 2 2 2 2 12 2 2 2" xfId="15781" xr:uid="{00000000-0005-0000-0000-0000B9190000}"/>
    <cellStyle name="Normal 2 2 2 2 2 12 2 2 2 2" xfId="35833" xr:uid="{00000000-0005-0000-0000-0000BA190000}"/>
    <cellStyle name="Normal 2 2 2 2 2 12 2 2 3" xfId="26803" xr:uid="{00000000-0005-0000-0000-0000BB190000}"/>
    <cellStyle name="Normal 2 2 2 2 2 12 2 3" xfId="11299" xr:uid="{00000000-0005-0000-0000-0000BC190000}"/>
    <cellStyle name="Normal 2 2 2 2 2 12 2 3 2" xfId="31351" xr:uid="{00000000-0005-0000-0000-0000BD190000}"/>
    <cellStyle name="Normal 2 2 2 2 2 12 2 4" xfId="22321" xr:uid="{00000000-0005-0000-0000-0000BE190000}"/>
    <cellStyle name="Normal 2 2 2 2 2 12 3" xfId="3763" xr:uid="{00000000-0005-0000-0000-0000BF190000}"/>
    <cellStyle name="Normal 2 2 2 2 2 12 3 2" xfId="8245" xr:uid="{00000000-0005-0000-0000-0000C0190000}"/>
    <cellStyle name="Normal 2 2 2 2 2 12 3 2 2" xfId="17275" xr:uid="{00000000-0005-0000-0000-0000C1190000}"/>
    <cellStyle name="Normal 2 2 2 2 2 12 3 2 2 2" xfId="37327" xr:uid="{00000000-0005-0000-0000-0000C2190000}"/>
    <cellStyle name="Normal 2 2 2 2 2 12 3 2 3" xfId="28297" xr:uid="{00000000-0005-0000-0000-0000C3190000}"/>
    <cellStyle name="Normal 2 2 2 2 2 12 3 3" xfId="12793" xr:uid="{00000000-0005-0000-0000-0000C4190000}"/>
    <cellStyle name="Normal 2 2 2 2 2 12 3 3 2" xfId="32845" xr:uid="{00000000-0005-0000-0000-0000C5190000}"/>
    <cellStyle name="Normal 2 2 2 2 2 12 3 4" xfId="23815" xr:uid="{00000000-0005-0000-0000-0000C6190000}"/>
    <cellStyle name="Normal 2 2 2 2 2 12 4" xfId="5257" xr:uid="{00000000-0005-0000-0000-0000C7190000}"/>
    <cellStyle name="Normal 2 2 2 2 2 12 4 2" xfId="14287" xr:uid="{00000000-0005-0000-0000-0000C8190000}"/>
    <cellStyle name="Normal 2 2 2 2 2 12 4 2 2" xfId="34339" xr:uid="{00000000-0005-0000-0000-0000C9190000}"/>
    <cellStyle name="Normal 2 2 2 2 2 12 4 3" xfId="25309" xr:uid="{00000000-0005-0000-0000-0000CA190000}"/>
    <cellStyle name="Normal 2 2 2 2 2 12 5" xfId="9805" xr:uid="{00000000-0005-0000-0000-0000CB190000}"/>
    <cellStyle name="Normal 2 2 2 2 2 12 5 2" xfId="29857" xr:uid="{00000000-0005-0000-0000-0000CC190000}"/>
    <cellStyle name="Normal 2 2 2 2 2 12 6" xfId="20827" xr:uid="{00000000-0005-0000-0000-0000CD190000}"/>
    <cellStyle name="Normal 2 2 2 2 2 13" xfId="1524" xr:uid="{00000000-0005-0000-0000-0000CE190000}"/>
    <cellStyle name="Normal 2 2 2 2 2 13 2" xfId="6006" xr:uid="{00000000-0005-0000-0000-0000CF190000}"/>
    <cellStyle name="Normal 2 2 2 2 2 13 2 2" xfId="15036" xr:uid="{00000000-0005-0000-0000-0000D0190000}"/>
    <cellStyle name="Normal 2 2 2 2 2 13 2 2 2" xfId="35088" xr:uid="{00000000-0005-0000-0000-0000D1190000}"/>
    <cellStyle name="Normal 2 2 2 2 2 13 2 3" xfId="26058" xr:uid="{00000000-0005-0000-0000-0000D2190000}"/>
    <cellStyle name="Normal 2 2 2 2 2 13 3" xfId="10554" xr:uid="{00000000-0005-0000-0000-0000D3190000}"/>
    <cellStyle name="Normal 2 2 2 2 2 13 3 2" xfId="30606" xr:uid="{00000000-0005-0000-0000-0000D4190000}"/>
    <cellStyle name="Normal 2 2 2 2 2 13 4" xfId="21576" xr:uid="{00000000-0005-0000-0000-0000D5190000}"/>
    <cellStyle name="Normal 2 2 2 2 2 14" xfId="3018" xr:uid="{00000000-0005-0000-0000-0000D6190000}"/>
    <cellStyle name="Normal 2 2 2 2 2 14 2" xfId="7500" xr:uid="{00000000-0005-0000-0000-0000D7190000}"/>
    <cellStyle name="Normal 2 2 2 2 2 14 2 2" xfId="16530" xr:uid="{00000000-0005-0000-0000-0000D8190000}"/>
    <cellStyle name="Normal 2 2 2 2 2 14 2 2 2" xfId="36582" xr:uid="{00000000-0005-0000-0000-0000D9190000}"/>
    <cellStyle name="Normal 2 2 2 2 2 14 2 3" xfId="27552" xr:uid="{00000000-0005-0000-0000-0000DA190000}"/>
    <cellStyle name="Normal 2 2 2 2 2 14 3" xfId="12048" xr:uid="{00000000-0005-0000-0000-0000DB190000}"/>
    <cellStyle name="Normal 2 2 2 2 2 14 3 2" xfId="32100" xr:uid="{00000000-0005-0000-0000-0000DC190000}"/>
    <cellStyle name="Normal 2 2 2 2 2 14 4" xfId="23070" xr:uid="{00000000-0005-0000-0000-0000DD190000}"/>
    <cellStyle name="Normal 2 2 2 2 2 15" xfId="4512" xr:uid="{00000000-0005-0000-0000-0000DE190000}"/>
    <cellStyle name="Normal 2 2 2 2 2 15 2" xfId="13542" xr:uid="{00000000-0005-0000-0000-0000DF190000}"/>
    <cellStyle name="Normal 2 2 2 2 2 15 2 2" xfId="33594" xr:uid="{00000000-0005-0000-0000-0000E0190000}"/>
    <cellStyle name="Normal 2 2 2 2 2 15 3" xfId="24564" xr:uid="{00000000-0005-0000-0000-0000E1190000}"/>
    <cellStyle name="Normal 2 2 2 2 2 16" xfId="9060" xr:uid="{00000000-0005-0000-0000-0000E2190000}"/>
    <cellStyle name="Normal 2 2 2 2 2 16 2" xfId="29112" xr:uid="{00000000-0005-0000-0000-0000E3190000}"/>
    <cellStyle name="Normal 2 2 2 2 2 17" xfId="20082" xr:uid="{00000000-0005-0000-0000-0000E4190000}"/>
    <cellStyle name="Normal 2 2 2 2 2 2" xfId="53" xr:uid="{00000000-0005-0000-0000-0000E5190000}"/>
    <cellStyle name="Normal 2 2 2 2 2 2 10" xfId="20105" xr:uid="{00000000-0005-0000-0000-0000E6190000}"/>
    <cellStyle name="Normal 2 2 2 2 2 2 2" xfId="239" xr:uid="{00000000-0005-0000-0000-0000E7190000}"/>
    <cellStyle name="Normal 2 2 2 2 2 2 2 2" xfId="984" xr:uid="{00000000-0005-0000-0000-0000E8190000}"/>
    <cellStyle name="Normal 2 2 2 2 2 2 2 2 2" xfId="2478" xr:uid="{00000000-0005-0000-0000-0000E9190000}"/>
    <cellStyle name="Normal 2 2 2 2 2 2 2 2 2 2" xfId="6960" xr:uid="{00000000-0005-0000-0000-0000EA190000}"/>
    <cellStyle name="Normal 2 2 2 2 2 2 2 2 2 2 2" xfId="15990" xr:uid="{00000000-0005-0000-0000-0000EB190000}"/>
    <cellStyle name="Normal 2 2 2 2 2 2 2 2 2 2 2 2" xfId="36042" xr:uid="{00000000-0005-0000-0000-0000EC190000}"/>
    <cellStyle name="Normal 2 2 2 2 2 2 2 2 2 2 3" xfId="27012" xr:uid="{00000000-0005-0000-0000-0000ED190000}"/>
    <cellStyle name="Normal 2 2 2 2 2 2 2 2 2 3" xfId="11508" xr:uid="{00000000-0005-0000-0000-0000EE190000}"/>
    <cellStyle name="Normal 2 2 2 2 2 2 2 2 2 3 2" xfId="31560" xr:uid="{00000000-0005-0000-0000-0000EF190000}"/>
    <cellStyle name="Normal 2 2 2 2 2 2 2 2 2 4" xfId="22530" xr:uid="{00000000-0005-0000-0000-0000F0190000}"/>
    <cellStyle name="Normal 2 2 2 2 2 2 2 2 3" xfId="3972" xr:uid="{00000000-0005-0000-0000-0000F1190000}"/>
    <cellStyle name="Normal 2 2 2 2 2 2 2 2 3 2" xfId="8454" xr:uid="{00000000-0005-0000-0000-0000F2190000}"/>
    <cellStyle name="Normal 2 2 2 2 2 2 2 2 3 2 2" xfId="17484" xr:uid="{00000000-0005-0000-0000-0000F3190000}"/>
    <cellStyle name="Normal 2 2 2 2 2 2 2 2 3 2 2 2" xfId="37536" xr:uid="{00000000-0005-0000-0000-0000F4190000}"/>
    <cellStyle name="Normal 2 2 2 2 2 2 2 2 3 2 3" xfId="28506" xr:uid="{00000000-0005-0000-0000-0000F5190000}"/>
    <cellStyle name="Normal 2 2 2 2 2 2 2 2 3 3" xfId="13002" xr:uid="{00000000-0005-0000-0000-0000F6190000}"/>
    <cellStyle name="Normal 2 2 2 2 2 2 2 2 3 3 2" xfId="33054" xr:uid="{00000000-0005-0000-0000-0000F7190000}"/>
    <cellStyle name="Normal 2 2 2 2 2 2 2 2 3 4" xfId="24024" xr:uid="{00000000-0005-0000-0000-0000F8190000}"/>
    <cellStyle name="Normal 2 2 2 2 2 2 2 2 4" xfId="5466" xr:uid="{00000000-0005-0000-0000-0000F9190000}"/>
    <cellStyle name="Normal 2 2 2 2 2 2 2 2 4 2" xfId="14496" xr:uid="{00000000-0005-0000-0000-0000FA190000}"/>
    <cellStyle name="Normal 2 2 2 2 2 2 2 2 4 2 2" xfId="34548" xr:uid="{00000000-0005-0000-0000-0000FB190000}"/>
    <cellStyle name="Normal 2 2 2 2 2 2 2 2 4 3" xfId="25518" xr:uid="{00000000-0005-0000-0000-0000FC190000}"/>
    <cellStyle name="Normal 2 2 2 2 2 2 2 2 5" xfId="10014" xr:uid="{00000000-0005-0000-0000-0000FD190000}"/>
    <cellStyle name="Normal 2 2 2 2 2 2 2 2 5 2" xfId="30066" xr:uid="{00000000-0005-0000-0000-0000FE190000}"/>
    <cellStyle name="Normal 2 2 2 2 2 2 2 2 6" xfId="21036" xr:uid="{00000000-0005-0000-0000-0000FF190000}"/>
    <cellStyle name="Normal 2 2 2 2 2 2 2 3" xfId="1733" xr:uid="{00000000-0005-0000-0000-0000001A0000}"/>
    <cellStyle name="Normal 2 2 2 2 2 2 2 3 2" xfId="6215" xr:uid="{00000000-0005-0000-0000-0000011A0000}"/>
    <cellStyle name="Normal 2 2 2 2 2 2 2 3 2 2" xfId="15245" xr:uid="{00000000-0005-0000-0000-0000021A0000}"/>
    <cellStyle name="Normal 2 2 2 2 2 2 2 3 2 2 2" xfId="35297" xr:uid="{00000000-0005-0000-0000-0000031A0000}"/>
    <cellStyle name="Normal 2 2 2 2 2 2 2 3 2 3" xfId="26267" xr:uid="{00000000-0005-0000-0000-0000041A0000}"/>
    <cellStyle name="Normal 2 2 2 2 2 2 2 3 3" xfId="10763" xr:uid="{00000000-0005-0000-0000-0000051A0000}"/>
    <cellStyle name="Normal 2 2 2 2 2 2 2 3 3 2" xfId="30815" xr:uid="{00000000-0005-0000-0000-0000061A0000}"/>
    <cellStyle name="Normal 2 2 2 2 2 2 2 3 4" xfId="21785" xr:uid="{00000000-0005-0000-0000-0000071A0000}"/>
    <cellStyle name="Normal 2 2 2 2 2 2 2 4" xfId="3227" xr:uid="{00000000-0005-0000-0000-0000081A0000}"/>
    <cellStyle name="Normal 2 2 2 2 2 2 2 4 2" xfId="7709" xr:uid="{00000000-0005-0000-0000-0000091A0000}"/>
    <cellStyle name="Normal 2 2 2 2 2 2 2 4 2 2" xfId="16739" xr:uid="{00000000-0005-0000-0000-00000A1A0000}"/>
    <cellStyle name="Normal 2 2 2 2 2 2 2 4 2 2 2" xfId="36791" xr:uid="{00000000-0005-0000-0000-00000B1A0000}"/>
    <cellStyle name="Normal 2 2 2 2 2 2 2 4 2 3" xfId="27761" xr:uid="{00000000-0005-0000-0000-00000C1A0000}"/>
    <cellStyle name="Normal 2 2 2 2 2 2 2 4 3" xfId="12257" xr:uid="{00000000-0005-0000-0000-00000D1A0000}"/>
    <cellStyle name="Normal 2 2 2 2 2 2 2 4 3 2" xfId="32309" xr:uid="{00000000-0005-0000-0000-00000E1A0000}"/>
    <cellStyle name="Normal 2 2 2 2 2 2 2 4 4" xfId="23279" xr:uid="{00000000-0005-0000-0000-00000F1A0000}"/>
    <cellStyle name="Normal 2 2 2 2 2 2 2 5" xfId="4721" xr:uid="{00000000-0005-0000-0000-0000101A0000}"/>
    <cellStyle name="Normal 2 2 2 2 2 2 2 5 2" xfId="13751" xr:uid="{00000000-0005-0000-0000-0000111A0000}"/>
    <cellStyle name="Normal 2 2 2 2 2 2 2 5 2 2" xfId="33803" xr:uid="{00000000-0005-0000-0000-0000121A0000}"/>
    <cellStyle name="Normal 2 2 2 2 2 2 2 5 3" xfId="24773" xr:uid="{00000000-0005-0000-0000-0000131A0000}"/>
    <cellStyle name="Normal 2 2 2 2 2 2 2 6" xfId="9269" xr:uid="{00000000-0005-0000-0000-0000141A0000}"/>
    <cellStyle name="Normal 2 2 2 2 2 2 2 6 2" xfId="29321" xr:uid="{00000000-0005-0000-0000-0000151A0000}"/>
    <cellStyle name="Normal 2 2 2 2 2 2 2 7" xfId="20291" xr:uid="{00000000-0005-0000-0000-0000161A0000}"/>
    <cellStyle name="Normal 2 2 2 2 2 2 3" xfId="425" xr:uid="{00000000-0005-0000-0000-0000171A0000}"/>
    <cellStyle name="Normal 2 2 2 2 2 2 3 2" xfId="1172" xr:uid="{00000000-0005-0000-0000-0000181A0000}"/>
    <cellStyle name="Normal 2 2 2 2 2 2 3 2 2" xfId="2666" xr:uid="{00000000-0005-0000-0000-0000191A0000}"/>
    <cellStyle name="Normal 2 2 2 2 2 2 3 2 2 2" xfId="7148" xr:uid="{00000000-0005-0000-0000-00001A1A0000}"/>
    <cellStyle name="Normal 2 2 2 2 2 2 3 2 2 2 2" xfId="16178" xr:uid="{00000000-0005-0000-0000-00001B1A0000}"/>
    <cellStyle name="Normal 2 2 2 2 2 2 3 2 2 2 2 2" xfId="36230" xr:uid="{00000000-0005-0000-0000-00001C1A0000}"/>
    <cellStyle name="Normal 2 2 2 2 2 2 3 2 2 2 3" xfId="27200" xr:uid="{00000000-0005-0000-0000-00001D1A0000}"/>
    <cellStyle name="Normal 2 2 2 2 2 2 3 2 2 3" xfId="11696" xr:uid="{00000000-0005-0000-0000-00001E1A0000}"/>
    <cellStyle name="Normal 2 2 2 2 2 2 3 2 2 3 2" xfId="31748" xr:uid="{00000000-0005-0000-0000-00001F1A0000}"/>
    <cellStyle name="Normal 2 2 2 2 2 2 3 2 2 4" xfId="22718" xr:uid="{00000000-0005-0000-0000-0000201A0000}"/>
    <cellStyle name="Normal 2 2 2 2 2 2 3 2 3" xfId="4160" xr:uid="{00000000-0005-0000-0000-0000211A0000}"/>
    <cellStyle name="Normal 2 2 2 2 2 2 3 2 3 2" xfId="8642" xr:uid="{00000000-0005-0000-0000-0000221A0000}"/>
    <cellStyle name="Normal 2 2 2 2 2 2 3 2 3 2 2" xfId="17672" xr:uid="{00000000-0005-0000-0000-0000231A0000}"/>
    <cellStyle name="Normal 2 2 2 2 2 2 3 2 3 2 2 2" xfId="37724" xr:uid="{00000000-0005-0000-0000-0000241A0000}"/>
    <cellStyle name="Normal 2 2 2 2 2 2 3 2 3 2 3" xfId="28694" xr:uid="{00000000-0005-0000-0000-0000251A0000}"/>
    <cellStyle name="Normal 2 2 2 2 2 2 3 2 3 3" xfId="13190" xr:uid="{00000000-0005-0000-0000-0000261A0000}"/>
    <cellStyle name="Normal 2 2 2 2 2 2 3 2 3 3 2" xfId="33242" xr:uid="{00000000-0005-0000-0000-0000271A0000}"/>
    <cellStyle name="Normal 2 2 2 2 2 2 3 2 3 4" xfId="24212" xr:uid="{00000000-0005-0000-0000-0000281A0000}"/>
    <cellStyle name="Normal 2 2 2 2 2 2 3 2 4" xfId="5654" xr:uid="{00000000-0005-0000-0000-0000291A0000}"/>
    <cellStyle name="Normal 2 2 2 2 2 2 3 2 4 2" xfId="14684" xr:uid="{00000000-0005-0000-0000-00002A1A0000}"/>
    <cellStyle name="Normal 2 2 2 2 2 2 3 2 4 2 2" xfId="34736" xr:uid="{00000000-0005-0000-0000-00002B1A0000}"/>
    <cellStyle name="Normal 2 2 2 2 2 2 3 2 4 3" xfId="25706" xr:uid="{00000000-0005-0000-0000-00002C1A0000}"/>
    <cellStyle name="Normal 2 2 2 2 2 2 3 2 5" xfId="10202" xr:uid="{00000000-0005-0000-0000-00002D1A0000}"/>
    <cellStyle name="Normal 2 2 2 2 2 2 3 2 5 2" xfId="30254" xr:uid="{00000000-0005-0000-0000-00002E1A0000}"/>
    <cellStyle name="Normal 2 2 2 2 2 2 3 2 6" xfId="21224" xr:uid="{00000000-0005-0000-0000-00002F1A0000}"/>
    <cellStyle name="Normal 2 2 2 2 2 2 3 3" xfId="1919" xr:uid="{00000000-0005-0000-0000-0000301A0000}"/>
    <cellStyle name="Normal 2 2 2 2 2 2 3 3 2" xfId="6401" xr:uid="{00000000-0005-0000-0000-0000311A0000}"/>
    <cellStyle name="Normal 2 2 2 2 2 2 3 3 2 2" xfId="15431" xr:uid="{00000000-0005-0000-0000-0000321A0000}"/>
    <cellStyle name="Normal 2 2 2 2 2 2 3 3 2 2 2" xfId="35483" xr:uid="{00000000-0005-0000-0000-0000331A0000}"/>
    <cellStyle name="Normal 2 2 2 2 2 2 3 3 2 3" xfId="26453" xr:uid="{00000000-0005-0000-0000-0000341A0000}"/>
    <cellStyle name="Normal 2 2 2 2 2 2 3 3 3" xfId="10949" xr:uid="{00000000-0005-0000-0000-0000351A0000}"/>
    <cellStyle name="Normal 2 2 2 2 2 2 3 3 3 2" xfId="31001" xr:uid="{00000000-0005-0000-0000-0000361A0000}"/>
    <cellStyle name="Normal 2 2 2 2 2 2 3 3 4" xfId="21971" xr:uid="{00000000-0005-0000-0000-0000371A0000}"/>
    <cellStyle name="Normal 2 2 2 2 2 2 3 4" xfId="3413" xr:uid="{00000000-0005-0000-0000-0000381A0000}"/>
    <cellStyle name="Normal 2 2 2 2 2 2 3 4 2" xfId="7895" xr:uid="{00000000-0005-0000-0000-0000391A0000}"/>
    <cellStyle name="Normal 2 2 2 2 2 2 3 4 2 2" xfId="16925" xr:uid="{00000000-0005-0000-0000-00003A1A0000}"/>
    <cellStyle name="Normal 2 2 2 2 2 2 3 4 2 2 2" xfId="36977" xr:uid="{00000000-0005-0000-0000-00003B1A0000}"/>
    <cellStyle name="Normal 2 2 2 2 2 2 3 4 2 3" xfId="27947" xr:uid="{00000000-0005-0000-0000-00003C1A0000}"/>
    <cellStyle name="Normal 2 2 2 2 2 2 3 4 3" xfId="12443" xr:uid="{00000000-0005-0000-0000-00003D1A0000}"/>
    <cellStyle name="Normal 2 2 2 2 2 2 3 4 3 2" xfId="32495" xr:uid="{00000000-0005-0000-0000-00003E1A0000}"/>
    <cellStyle name="Normal 2 2 2 2 2 2 3 4 4" xfId="23465" xr:uid="{00000000-0005-0000-0000-00003F1A0000}"/>
    <cellStyle name="Normal 2 2 2 2 2 2 3 5" xfId="4907" xr:uid="{00000000-0005-0000-0000-0000401A0000}"/>
    <cellStyle name="Normal 2 2 2 2 2 2 3 5 2" xfId="13937" xr:uid="{00000000-0005-0000-0000-0000411A0000}"/>
    <cellStyle name="Normal 2 2 2 2 2 2 3 5 2 2" xfId="33989" xr:uid="{00000000-0005-0000-0000-0000421A0000}"/>
    <cellStyle name="Normal 2 2 2 2 2 2 3 5 3" xfId="24959" xr:uid="{00000000-0005-0000-0000-0000431A0000}"/>
    <cellStyle name="Normal 2 2 2 2 2 2 3 6" xfId="9455" xr:uid="{00000000-0005-0000-0000-0000441A0000}"/>
    <cellStyle name="Normal 2 2 2 2 2 2 3 6 2" xfId="29507" xr:uid="{00000000-0005-0000-0000-0000451A0000}"/>
    <cellStyle name="Normal 2 2 2 2 2 2 3 7" xfId="20477" xr:uid="{00000000-0005-0000-0000-0000461A0000}"/>
    <cellStyle name="Normal 2 2 2 2 2 2 4" xfId="611" xr:uid="{00000000-0005-0000-0000-0000471A0000}"/>
    <cellStyle name="Normal 2 2 2 2 2 2 4 2" xfId="1358" xr:uid="{00000000-0005-0000-0000-0000481A0000}"/>
    <cellStyle name="Normal 2 2 2 2 2 2 4 2 2" xfId="2852" xr:uid="{00000000-0005-0000-0000-0000491A0000}"/>
    <cellStyle name="Normal 2 2 2 2 2 2 4 2 2 2" xfId="7334" xr:uid="{00000000-0005-0000-0000-00004A1A0000}"/>
    <cellStyle name="Normal 2 2 2 2 2 2 4 2 2 2 2" xfId="16364" xr:uid="{00000000-0005-0000-0000-00004B1A0000}"/>
    <cellStyle name="Normal 2 2 2 2 2 2 4 2 2 2 2 2" xfId="36416" xr:uid="{00000000-0005-0000-0000-00004C1A0000}"/>
    <cellStyle name="Normal 2 2 2 2 2 2 4 2 2 2 3" xfId="27386" xr:uid="{00000000-0005-0000-0000-00004D1A0000}"/>
    <cellStyle name="Normal 2 2 2 2 2 2 4 2 2 3" xfId="11882" xr:uid="{00000000-0005-0000-0000-00004E1A0000}"/>
    <cellStyle name="Normal 2 2 2 2 2 2 4 2 2 3 2" xfId="31934" xr:uid="{00000000-0005-0000-0000-00004F1A0000}"/>
    <cellStyle name="Normal 2 2 2 2 2 2 4 2 2 4" xfId="22904" xr:uid="{00000000-0005-0000-0000-0000501A0000}"/>
    <cellStyle name="Normal 2 2 2 2 2 2 4 2 3" xfId="4346" xr:uid="{00000000-0005-0000-0000-0000511A0000}"/>
    <cellStyle name="Normal 2 2 2 2 2 2 4 2 3 2" xfId="8828" xr:uid="{00000000-0005-0000-0000-0000521A0000}"/>
    <cellStyle name="Normal 2 2 2 2 2 2 4 2 3 2 2" xfId="17858" xr:uid="{00000000-0005-0000-0000-0000531A0000}"/>
    <cellStyle name="Normal 2 2 2 2 2 2 4 2 3 2 2 2" xfId="37910" xr:uid="{00000000-0005-0000-0000-0000541A0000}"/>
    <cellStyle name="Normal 2 2 2 2 2 2 4 2 3 2 3" xfId="28880" xr:uid="{00000000-0005-0000-0000-0000551A0000}"/>
    <cellStyle name="Normal 2 2 2 2 2 2 4 2 3 3" xfId="13376" xr:uid="{00000000-0005-0000-0000-0000561A0000}"/>
    <cellStyle name="Normal 2 2 2 2 2 2 4 2 3 3 2" xfId="33428" xr:uid="{00000000-0005-0000-0000-0000571A0000}"/>
    <cellStyle name="Normal 2 2 2 2 2 2 4 2 3 4" xfId="24398" xr:uid="{00000000-0005-0000-0000-0000581A0000}"/>
    <cellStyle name="Normal 2 2 2 2 2 2 4 2 4" xfId="5840" xr:uid="{00000000-0005-0000-0000-0000591A0000}"/>
    <cellStyle name="Normal 2 2 2 2 2 2 4 2 4 2" xfId="14870" xr:uid="{00000000-0005-0000-0000-00005A1A0000}"/>
    <cellStyle name="Normal 2 2 2 2 2 2 4 2 4 2 2" xfId="34922" xr:uid="{00000000-0005-0000-0000-00005B1A0000}"/>
    <cellStyle name="Normal 2 2 2 2 2 2 4 2 4 3" xfId="25892" xr:uid="{00000000-0005-0000-0000-00005C1A0000}"/>
    <cellStyle name="Normal 2 2 2 2 2 2 4 2 5" xfId="10388" xr:uid="{00000000-0005-0000-0000-00005D1A0000}"/>
    <cellStyle name="Normal 2 2 2 2 2 2 4 2 5 2" xfId="30440" xr:uid="{00000000-0005-0000-0000-00005E1A0000}"/>
    <cellStyle name="Normal 2 2 2 2 2 2 4 2 6" xfId="21410" xr:uid="{00000000-0005-0000-0000-00005F1A0000}"/>
    <cellStyle name="Normal 2 2 2 2 2 2 4 3" xfId="2105" xr:uid="{00000000-0005-0000-0000-0000601A0000}"/>
    <cellStyle name="Normal 2 2 2 2 2 2 4 3 2" xfId="6587" xr:uid="{00000000-0005-0000-0000-0000611A0000}"/>
    <cellStyle name="Normal 2 2 2 2 2 2 4 3 2 2" xfId="15617" xr:uid="{00000000-0005-0000-0000-0000621A0000}"/>
    <cellStyle name="Normal 2 2 2 2 2 2 4 3 2 2 2" xfId="35669" xr:uid="{00000000-0005-0000-0000-0000631A0000}"/>
    <cellStyle name="Normal 2 2 2 2 2 2 4 3 2 3" xfId="26639" xr:uid="{00000000-0005-0000-0000-0000641A0000}"/>
    <cellStyle name="Normal 2 2 2 2 2 2 4 3 3" xfId="11135" xr:uid="{00000000-0005-0000-0000-0000651A0000}"/>
    <cellStyle name="Normal 2 2 2 2 2 2 4 3 3 2" xfId="31187" xr:uid="{00000000-0005-0000-0000-0000661A0000}"/>
    <cellStyle name="Normal 2 2 2 2 2 2 4 3 4" xfId="22157" xr:uid="{00000000-0005-0000-0000-0000671A0000}"/>
    <cellStyle name="Normal 2 2 2 2 2 2 4 4" xfId="3599" xr:uid="{00000000-0005-0000-0000-0000681A0000}"/>
    <cellStyle name="Normal 2 2 2 2 2 2 4 4 2" xfId="8081" xr:uid="{00000000-0005-0000-0000-0000691A0000}"/>
    <cellStyle name="Normal 2 2 2 2 2 2 4 4 2 2" xfId="17111" xr:uid="{00000000-0005-0000-0000-00006A1A0000}"/>
    <cellStyle name="Normal 2 2 2 2 2 2 4 4 2 2 2" xfId="37163" xr:uid="{00000000-0005-0000-0000-00006B1A0000}"/>
    <cellStyle name="Normal 2 2 2 2 2 2 4 4 2 3" xfId="28133" xr:uid="{00000000-0005-0000-0000-00006C1A0000}"/>
    <cellStyle name="Normal 2 2 2 2 2 2 4 4 3" xfId="12629" xr:uid="{00000000-0005-0000-0000-00006D1A0000}"/>
    <cellStyle name="Normal 2 2 2 2 2 2 4 4 3 2" xfId="32681" xr:uid="{00000000-0005-0000-0000-00006E1A0000}"/>
    <cellStyle name="Normal 2 2 2 2 2 2 4 4 4" xfId="23651" xr:uid="{00000000-0005-0000-0000-00006F1A0000}"/>
    <cellStyle name="Normal 2 2 2 2 2 2 4 5" xfId="5093" xr:uid="{00000000-0005-0000-0000-0000701A0000}"/>
    <cellStyle name="Normal 2 2 2 2 2 2 4 5 2" xfId="14123" xr:uid="{00000000-0005-0000-0000-0000711A0000}"/>
    <cellStyle name="Normal 2 2 2 2 2 2 4 5 2 2" xfId="34175" xr:uid="{00000000-0005-0000-0000-0000721A0000}"/>
    <cellStyle name="Normal 2 2 2 2 2 2 4 5 3" xfId="25145" xr:uid="{00000000-0005-0000-0000-0000731A0000}"/>
    <cellStyle name="Normal 2 2 2 2 2 2 4 6" xfId="9641" xr:uid="{00000000-0005-0000-0000-0000741A0000}"/>
    <cellStyle name="Normal 2 2 2 2 2 2 4 6 2" xfId="29693" xr:uid="{00000000-0005-0000-0000-0000751A0000}"/>
    <cellStyle name="Normal 2 2 2 2 2 2 4 7" xfId="20663" xr:uid="{00000000-0005-0000-0000-0000761A0000}"/>
    <cellStyle name="Normal 2 2 2 2 2 2 5" xfId="798" xr:uid="{00000000-0005-0000-0000-0000771A0000}"/>
    <cellStyle name="Normal 2 2 2 2 2 2 5 2" xfId="2292" xr:uid="{00000000-0005-0000-0000-0000781A0000}"/>
    <cellStyle name="Normal 2 2 2 2 2 2 5 2 2" xfId="6774" xr:uid="{00000000-0005-0000-0000-0000791A0000}"/>
    <cellStyle name="Normal 2 2 2 2 2 2 5 2 2 2" xfId="15804" xr:uid="{00000000-0005-0000-0000-00007A1A0000}"/>
    <cellStyle name="Normal 2 2 2 2 2 2 5 2 2 2 2" xfId="35856" xr:uid="{00000000-0005-0000-0000-00007B1A0000}"/>
    <cellStyle name="Normal 2 2 2 2 2 2 5 2 2 3" xfId="26826" xr:uid="{00000000-0005-0000-0000-00007C1A0000}"/>
    <cellStyle name="Normal 2 2 2 2 2 2 5 2 3" xfId="11322" xr:uid="{00000000-0005-0000-0000-00007D1A0000}"/>
    <cellStyle name="Normal 2 2 2 2 2 2 5 2 3 2" xfId="31374" xr:uid="{00000000-0005-0000-0000-00007E1A0000}"/>
    <cellStyle name="Normal 2 2 2 2 2 2 5 2 4" xfId="22344" xr:uid="{00000000-0005-0000-0000-00007F1A0000}"/>
    <cellStyle name="Normal 2 2 2 2 2 2 5 3" xfId="3786" xr:uid="{00000000-0005-0000-0000-0000801A0000}"/>
    <cellStyle name="Normal 2 2 2 2 2 2 5 3 2" xfId="8268" xr:uid="{00000000-0005-0000-0000-0000811A0000}"/>
    <cellStyle name="Normal 2 2 2 2 2 2 5 3 2 2" xfId="17298" xr:uid="{00000000-0005-0000-0000-0000821A0000}"/>
    <cellStyle name="Normal 2 2 2 2 2 2 5 3 2 2 2" xfId="37350" xr:uid="{00000000-0005-0000-0000-0000831A0000}"/>
    <cellStyle name="Normal 2 2 2 2 2 2 5 3 2 3" xfId="28320" xr:uid="{00000000-0005-0000-0000-0000841A0000}"/>
    <cellStyle name="Normal 2 2 2 2 2 2 5 3 3" xfId="12816" xr:uid="{00000000-0005-0000-0000-0000851A0000}"/>
    <cellStyle name="Normal 2 2 2 2 2 2 5 3 3 2" xfId="32868" xr:uid="{00000000-0005-0000-0000-0000861A0000}"/>
    <cellStyle name="Normal 2 2 2 2 2 2 5 3 4" xfId="23838" xr:uid="{00000000-0005-0000-0000-0000871A0000}"/>
    <cellStyle name="Normal 2 2 2 2 2 2 5 4" xfId="5280" xr:uid="{00000000-0005-0000-0000-0000881A0000}"/>
    <cellStyle name="Normal 2 2 2 2 2 2 5 4 2" xfId="14310" xr:uid="{00000000-0005-0000-0000-0000891A0000}"/>
    <cellStyle name="Normal 2 2 2 2 2 2 5 4 2 2" xfId="34362" xr:uid="{00000000-0005-0000-0000-00008A1A0000}"/>
    <cellStyle name="Normal 2 2 2 2 2 2 5 4 3" xfId="25332" xr:uid="{00000000-0005-0000-0000-00008B1A0000}"/>
    <cellStyle name="Normal 2 2 2 2 2 2 5 5" xfId="9828" xr:uid="{00000000-0005-0000-0000-00008C1A0000}"/>
    <cellStyle name="Normal 2 2 2 2 2 2 5 5 2" xfId="29880" xr:uid="{00000000-0005-0000-0000-00008D1A0000}"/>
    <cellStyle name="Normal 2 2 2 2 2 2 5 6" xfId="20850" xr:uid="{00000000-0005-0000-0000-00008E1A0000}"/>
    <cellStyle name="Normal 2 2 2 2 2 2 6" xfId="1547" xr:uid="{00000000-0005-0000-0000-00008F1A0000}"/>
    <cellStyle name="Normal 2 2 2 2 2 2 6 2" xfId="6029" xr:uid="{00000000-0005-0000-0000-0000901A0000}"/>
    <cellStyle name="Normal 2 2 2 2 2 2 6 2 2" xfId="15059" xr:uid="{00000000-0005-0000-0000-0000911A0000}"/>
    <cellStyle name="Normal 2 2 2 2 2 2 6 2 2 2" xfId="35111" xr:uid="{00000000-0005-0000-0000-0000921A0000}"/>
    <cellStyle name="Normal 2 2 2 2 2 2 6 2 3" xfId="26081" xr:uid="{00000000-0005-0000-0000-0000931A0000}"/>
    <cellStyle name="Normal 2 2 2 2 2 2 6 3" xfId="10577" xr:uid="{00000000-0005-0000-0000-0000941A0000}"/>
    <cellStyle name="Normal 2 2 2 2 2 2 6 3 2" xfId="30629" xr:uid="{00000000-0005-0000-0000-0000951A0000}"/>
    <cellStyle name="Normal 2 2 2 2 2 2 6 4" xfId="21599" xr:uid="{00000000-0005-0000-0000-0000961A0000}"/>
    <cellStyle name="Normal 2 2 2 2 2 2 7" xfId="3041" xr:uid="{00000000-0005-0000-0000-0000971A0000}"/>
    <cellStyle name="Normal 2 2 2 2 2 2 7 2" xfId="7523" xr:uid="{00000000-0005-0000-0000-0000981A0000}"/>
    <cellStyle name="Normal 2 2 2 2 2 2 7 2 2" xfId="16553" xr:uid="{00000000-0005-0000-0000-0000991A0000}"/>
    <cellStyle name="Normal 2 2 2 2 2 2 7 2 2 2" xfId="36605" xr:uid="{00000000-0005-0000-0000-00009A1A0000}"/>
    <cellStyle name="Normal 2 2 2 2 2 2 7 2 3" xfId="27575" xr:uid="{00000000-0005-0000-0000-00009B1A0000}"/>
    <cellStyle name="Normal 2 2 2 2 2 2 7 3" xfId="12071" xr:uid="{00000000-0005-0000-0000-00009C1A0000}"/>
    <cellStyle name="Normal 2 2 2 2 2 2 7 3 2" xfId="32123" xr:uid="{00000000-0005-0000-0000-00009D1A0000}"/>
    <cellStyle name="Normal 2 2 2 2 2 2 7 4" xfId="23093" xr:uid="{00000000-0005-0000-0000-00009E1A0000}"/>
    <cellStyle name="Normal 2 2 2 2 2 2 8" xfId="4535" xr:uid="{00000000-0005-0000-0000-00009F1A0000}"/>
    <cellStyle name="Normal 2 2 2 2 2 2 8 2" xfId="13565" xr:uid="{00000000-0005-0000-0000-0000A01A0000}"/>
    <cellStyle name="Normal 2 2 2 2 2 2 8 2 2" xfId="33617" xr:uid="{00000000-0005-0000-0000-0000A11A0000}"/>
    <cellStyle name="Normal 2 2 2 2 2 2 8 3" xfId="24587" xr:uid="{00000000-0005-0000-0000-0000A21A0000}"/>
    <cellStyle name="Normal 2 2 2 2 2 2 9" xfId="9083" xr:uid="{00000000-0005-0000-0000-0000A31A0000}"/>
    <cellStyle name="Normal 2 2 2 2 2 2 9 2" xfId="29135" xr:uid="{00000000-0005-0000-0000-0000A41A0000}"/>
    <cellStyle name="Normal 2 2 2 2 2 3" xfId="76" xr:uid="{00000000-0005-0000-0000-0000A51A0000}"/>
    <cellStyle name="Normal 2 2 2 2 2 3 10" xfId="20128" xr:uid="{00000000-0005-0000-0000-0000A61A0000}"/>
    <cellStyle name="Normal 2 2 2 2 2 3 2" xfId="262" xr:uid="{00000000-0005-0000-0000-0000A71A0000}"/>
    <cellStyle name="Normal 2 2 2 2 2 3 2 2" xfId="1007" xr:uid="{00000000-0005-0000-0000-0000A81A0000}"/>
    <cellStyle name="Normal 2 2 2 2 2 3 2 2 2" xfId="2501" xr:uid="{00000000-0005-0000-0000-0000A91A0000}"/>
    <cellStyle name="Normal 2 2 2 2 2 3 2 2 2 2" xfId="6983" xr:uid="{00000000-0005-0000-0000-0000AA1A0000}"/>
    <cellStyle name="Normal 2 2 2 2 2 3 2 2 2 2 2" xfId="16013" xr:uid="{00000000-0005-0000-0000-0000AB1A0000}"/>
    <cellStyle name="Normal 2 2 2 2 2 3 2 2 2 2 2 2" xfId="36065" xr:uid="{00000000-0005-0000-0000-0000AC1A0000}"/>
    <cellStyle name="Normal 2 2 2 2 2 3 2 2 2 2 3" xfId="27035" xr:uid="{00000000-0005-0000-0000-0000AD1A0000}"/>
    <cellStyle name="Normal 2 2 2 2 2 3 2 2 2 3" xfId="11531" xr:uid="{00000000-0005-0000-0000-0000AE1A0000}"/>
    <cellStyle name="Normal 2 2 2 2 2 3 2 2 2 3 2" xfId="31583" xr:uid="{00000000-0005-0000-0000-0000AF1A0000}"/>
    <cellStyle name="Normal 2 2 2 2 2 3 2 2 2 4" xfId="22553" xr:uid="{00000000-0005-0000-0000-0000B01A0000}"/>
    <cellStyle name="Normal 2 2 2 2 2 3 2 2 3" xfId="3995" xr:uid="{00000000-0005-0000-0000-0000B11A0000}"/>
    <cellStyle name="Normal 2 2 2 2 2 3 2 2 3 2" xfId="8477" xr:uid="{00000000-0005-0000-0000-0000B21A0000}"/>
    <cellStyle name="Normal 2 2 2 2 2 3 2 2 3 2 2" xfId="17507" xr:uid="{00000000-0005-0000-0000-0000B31A0000}"/>
    <cellStyle name="Normal 2 2 2 2 2 3 2 2 3 2 2 2" xfId="37559" xr:uid="{00000000-0005-0000-0000-0000B41A0000}"/>
    <cellStyle name="Normal 2 2 2 2 2 3 2 2 3 2 3" xfId="28529" xr:uid="{00000000-0005-0000-0000-0000B51A0000}"/>
    <cellStyle name="Normal 2 2 2 2 2 3 2 2 3 3" xfId="13025" xr:uid="{00000000-0005-0000-0000-0000B61A0000}"/>
    <cellStyle name="Normal 2 2 2 2 2 3 2 2 3 3 2" xfId="33077" xr:uid="{00000000-0005-0000-0000-0000B71A0000}"/>
    <cellStyle name="Normal 2 2 2 2 2 3 2 2 3 4" xfId="24047" xr:uid="{00000000-0005-0000-0000-0000B81A0000}"/>
    <cellStyle name="Normal 2 2 2 2 2 3 2 2 4" xfId="5489" xr:uid="{00000000-0005-0000-0000-0000B91A0000}"/>
    <cellStyle name="Normal 2 2 2 2 2 3 2 2 4 2" xfId="14519" xr:uid="{00000000-0005-0000-0000-0000BA1A0000}"/>
    <cellStyle name="Normal 2 2 2 2 2 3 2 2 4 2 2" xfId="34571" xr:uid="{00000000-0005-0000-0000-0000BB1A0000}"/>
    <cellStyle name="Normal 2 2 2 2 2 3 2 2 4 3" xfId="25541" xr:uid="{00000000-0005-0000-0000-0000BC1A0000}"/>
    <cellStyle name="Normal 2 2 2 2 2 3 2 2 5" xfId="10037" xr:uid="{00000000-0005-0000-0000-0000BD1A0000}"/>
    <cellStyle name="Normal 2 2 2 2 2 3 2 2 5 2" xfId="30089" xr:uid="{00000000-0005-0000-0000-0000BE1A0000}"/>
    <cellStyle name="Normal 2 2 2 2 2 3 2 2 6" xfId="21059" xr:uid="{00000000-0005-0000-0000-0000BF1A0000}"/>
    <cellStyle name="Normal 2 2 2 2 2 3 2 3" xfId="1756" xr:uid="{00000000-0005-0000-0000-0000C01A0000}"/>
    <cellStyle name="Normal 2 2 2 2 2 3 2 3 2" xfId="6238" xr:uid="{00000000-0005-0000-0000-0000C11A0000}"/>
    <cellStyle name="Normal 2 2 2 2 2 3 2 3 2 2" xfId="15268" xr:uid="{00000000-0005-0000-0000-0000C21A0000}"/>
    <cellStyle name="Normal 2 2 2 2 2 3 2 3 2 2 2" xfId="35320" xr:uid="{00000000-0005-0000-0000-0000C31A0000}"/>
    <cellStyle name="Normal 2 2 2 2 2 3 2 3 2 3" xfId="26290" xr:uid="{00000000-0005-0000-0000-0000C41A0000}"/>
    <cellStyle name="Normal 2 2 2 2 2 3 2 3 3" xfId="10786" xr:uid="{00000000-0005-0000-0000-0000C51A0000}"/>
    <cellStyle name="Normal 2 2 2 2 2 3 2 3 3 2" xfId="30838" xr:uid="{00000000-0005-0000-0000-0000C61A0000}"/>
    <cellStyle name="Normal 2 2 2 2 2 3 2 3 4" xfId="21808" xr:uid="{00000000-0005-0000-0000-0000C71A0000}"/>
    <cellStyle name="Normal 2 2 2 2 2 3 2 4" xfId="3250" xr:uid="{00000000-0005-0000-0000-0000C81A0000}"/>
    <cellStyle name="Normal 2 2 2 2 2 3 2 4 2" xfId="7732" xr:uid="{00000000-0005-0000-0000-0000C91A0000}"/>
    <cellStyle name="Normal 2 2 2 2 2 3 2 4 2 2" xfId="16762" xr:uid="{00000000-0005-0000-0000-0000CA1A0000}"/>
    <cellStyle name="Normal 2 2 2 2 2 3 2 4 2 2 2" xfId="36814" xr:uid="{00000000-0005-0000-0000-0000CB1A0000}"/>
    <cellStyle name="Normal 2 2 2 2 2 3 2 4 2 3" xfId="27784" xr:uid="{00000000-0005-0000-0000-0000CC1A0000}"/>
    <cellStyle name="Normal 2 2 2 2 2 3 2 4 3" xfId="12280" xr:uid="{00000000-0005-0000-0000-0000CD1A0000}"/>
    <cellStyle name="Normal 2 2 2 2 2 3 2 4 3 2" xfId="32332" xr:uid="{00000000-0005-0000-0000-0000CE1A0000}"/>
    <cellStyle name="Normal 2 2 2 2 2 3 2 4 4" xfId="23302" xr:uid="{00000000-0005-0000-0000-0000CF1A0000}"/>
    <cellStyle name="Normal 2 2 2 2 2 3 2 5" xfId="4744" xr:uid="{00000000-0005-0000-0000-0000D01A0000}"/>
    <cellStyle name="Normal 2 2 2 2 2 3 2 5 2" xfId="13774" xr:uid="{00000000-0005-0000-0000-0000D11A0000}"/>
    <cellStyle name="Normal 2 2 2 2 2 3 2 5 2 2" xfId="33826" xr:uid="{00000000-0005-0000-0000-0000D21A0000}"/>
    <cellStyle name="Normal 2 2 2 2 2 3 2 5 3" xfId="24796" xr:uid="{00000000-0005-0000-0000-0000D31A0000}"/>
    <cellStyle name="Normal 2 2 2 2 2 3 2 6" xfId="9292" xr:uid="{00000000-0005-0000-0000-0000D41A0000}"/>
    <cellStyle name="Normal 2 2 2 2 2 3 2 6 2" xfId="29344" xr:uid="{00000000-0005-0000-0000-0000D51A0000}"/>
    <cellStyle name="Normal 2 2 2 2 2 3 2 7" xfId="20314" xr:uid="{00000000-0005-0000-0000-0000D61A0000}"/>
    <cellStyle name="Normal 2 2 2 2 2 3 3" xfId="448" xr:uid="{00000000-0005-0000-0000-0000D71A0000}"/>
    <cellStyle name="Normal 2 2 2 2 2 3 3 2" xfId="1195" xr:uid="{00000000-0005-0000-0000-0000D81A0000}"/>
    <cellStyle name="Normal 2 2 2 2 2 3 3 2 2" xfId="2689" xr:uid="{00000000-0005-0000-0000-0000D91A0000}"/>
    <cellStyle name="Normal 2 2 2 2 2 3 3 2 2 2" xfId="7171" xr:uid="{00000000-0005-0000-0000-0000DA1A0000}"/>
    <cellStyle name="Normal 2 2 2 2 2 3 3 2 2 2 2" xfId="16201" xr:uid="{00000000-0005-0000-0000-0000DB1A0000}"/>
    <cellStyle name="Normal 2 2 2 2 2 3 3 2 2 2 2 2" xfId="36253" xr:uid="{00000000-0005-0000-0000-0000DC1A0000}"/>
    <cellStyle name="Normal 2 2 2 2 2 3 3 2 2 2 3" xfId="27223" xr:uid="{00000000-0005-0000-0000-0000DD1A0000}"/>
    <cellStyle name="Normal 2 2 2 2 2 3 3 2 2 3" xfId="11719" xr:uid="{00000000-0005-0000-0000-0000DE1A0000}"/>
    <cellStyle name="Normal 2 2 2 2 2 3 3 2 2 3 2" xfId="31771" xr:uid="{00000000-0005-0000-0000-0000DF1A0000}"/>
    <cellStyle name="Normal 2 2 2 2 2 3 3 2 2 4" xfId="22741" xr:uid="{00000000-0005-0000-0000-0000E01A0000}"/>
    <cellStyle name="Normal 2 2 2 2 2 3 3 2 3" xfId="4183" xr:uid="{00000000-0005-0000-0000-0000E11A0000}"/>
    <cellStyle name="Normal 2 2 2 2 2 3 3 2 3 2" xfId="8665" xr:uid="{00000000-0005-0000-0000-0000E21A0000}"/>
    <cellStyle name="Normal 2 2 2 2 2 3 3 2 3 2 2" xfId="17695" xr:uid="{00000000-0005-0000-0000-0000E31A0000}"/>
    <cellStyle name="Normal 2 2 2 2 2 3 3 2 3 2 2 2" xfId="37747" xr:uid="{00000000-0005-0000-0000-0000E41A0000}"/>
    <cellStyle name="Normal 2 2 2 2 2 3 3 2 3 2 3" xfId="28717" xr:uid="{00000000-0005-0000-0000-0000E51A0000}"/>
    <cellStyle name="Normal 2 2 2 2 2 3 3 2 3 3" xfId="13213" xr:uid="{00000000-0005-0000-0000-0000E61A0000}"/>
    <cellStyle name="Normal 2 2 2 2 2 3 3 2 3 3 2" xfId="33265" xr:uid="{00000000-0005-0000-0000-0000E71A0000}"/>
    <cellStyle name="Normal 2 2 2 2 2 3 3 2 3 4" xfId="24235" xr:uid="{00000000-0005-0000-0000-0000E81A0000}"/>
    <cellStyle name="Normal 2 2 2 2 2 3 3 2 4" xfId="5677" xr:uid="{00000000-0005-0000-0000-0000E91A0000}"/>
    <cellStyle name="Normal 2 2 2 2 2 3 3 2 4 2" xfId="14707" xr:uid="{00000000-0005-0000-0000-0000EA1A0000}"/>
    <cellStyle name="Normal 2 2 2 2 2 3 3 2 4 2 2" xfId="34759" xr:uid="{00000000-0005-0000-0000-0000EB1A0000}"/>
    <cellStyle name="Normal 2 2 2 2 2 3 3 2 4 3" xfId="25729" xr:uid="{00000000-0005-0000-0000-0000EC1A0000}"/>
    <cellStyle name="Normal 2 2 2 2 2 3 3 2 5" xfId="10225" xr:uid="{00000000-0005-0000-0000-0000ED1A0000}"/>
    <cellStyle name="Normal 2 2 2 2 2 3 3 2 5 2" xfId="30277" xr:uid="{00000000-0005-0000-0000-0000EE1A0000}"/>
    <cellStyle name="Normal 2 2 2 2 2 3 3 2 6" xfId="21247" xr:uid="{00000000-0005-0000-0000-0000EF1A0000}"/>
    <cellStyle name="Normal 2 2 2 2 2 3 3 3" xfId="1942" xr:uid="{00000000-0005-0000-0000-0000F01A0000}"/>
    <cellStyle name="Normal 2 2 2 2 2 3 3 3 2" xfId="6424" xr:uid="{00000000-0005-0000-0000-0000F11A0000}"/>
    <cellStyle name="Normal 2 2 2 2 2 3 3 3 2 2" xfId="15454" xr:uid="{00000000-0005-0000-0000-0000F21A0000}"/>
    <cellStyle name="Normal 2 2 2 2 2 3 3 3 2 2 2" xfId="35506" xr:uid="{00000000-0005-0000-0000-0000F31A0000}"/>
    <cellStyle name="Normal 2 2 2 2 2 3 3 3 2 3" xfId="26476" xr:uid="{00000000-0005-0000-0000-0000F41A0000}"/>
    <cellStyle name="Normal 2 2 2 2 2 3 3 3 3" xfId="10972" xr:uid="{00000000-0005-0000-0000-0000F51A0000}"/>
    <cellStyle name="Normal 2 2 2 2 2 3 3 3 3 2" xfId="31024" xr:uid="{00000000-0005-0000-0000-0000F61A0000}"/>
    <cellStyle name="Normal 2 2 2 2 2 3 3 3 4" xfId="21994" xr:uid="{00000000-0005-0000-0000-0000F71A0000}"/>
    <cellStyle name="Normal 2 2 2 2 2 3 3 4" xfId="3436" xr:uid="{00000000-0005-0000-0000-0000F81A0000}"/>
    <cellStyle name="Normal 2 2 2 2 2 3 3 4 2" xfId="7918" xr:uid="{00000000-0005-0000-0000-0000F91A0000}"/>
    <cellStyle name="Normal 2 2 2 2 2 3 3 4 2 2" xfId="16948" xr:uid="{00000000-0005-0000-0000-0000FA1A0000}"/>
    <cellStyle name="Normal 2 2 2 2 2 3 3 4 2 2 2" xfId="37000" xr:uid="{00000000-0005-0000-0000-0000FB1A0000}"/>
    <cellStyle name="Normal 2 2 2 2 2 3 3 4 2 3" xfId="27970" xr:uid="{00000000-0005-0000-0000-0000FC1A0000}"/>
    <cellStyle name="Normal 2 2 2 2 2 3 3 4 3" xfId="12466" xr:uid="{00000000-0005-0000-0000-0000FD1A0000}"/>
    <cellStyle name="Normal 2 2 2 2 2 3 3 4 3 2" xfId="32518" xr:uid="{00000000-0005-0000-0000-0000FE1A0000}"/>
    <cellStyle name="Normal 2 2 2 2 2 3 3 4 4" xfId="23488" xr:uid="{00000000-0005-0000-0000-0000FF1A0000}"/>
    <cellStyle name="Normal 2 2 2 2 2 3 3 5" xfId="4930" xr:uid="{00000000-0005-0000-0000-0000001B0000}"/>
    <cellStyle name="Normal 2 2 2 2 2 3 3 5 2" xfId="13960" xr:uid="{00000000-0005-0000-0000-0000011B0000}"/>
    <cellStyle name="Normal 2 2 2 2 2 3 3 5 2 2" xfId="34012" xr:uid="{00000000-0005-0000-0000-0000021B0000}"/>
    <cellStyle name="Normal 2 2 2 2 2 3 3 5 3" xfId="24982" xr:uid="{00000000-0005-0000-0000-0000031B0000}"/>
    <cellStyle name="Normal 2 2 2 2 2 3 3 6" xfId="9478" xr:uid="{00000000-0005-0000-0000-0000041B0000}"/>
    <cellStyle name="Normal 2 2 2 2 2 3 3 6 2" xfId="29530" xr:uid="{00000000-0005-0000-0000-0000051B0000}"/>
    <cellStyle name="Normal 2 2 2 2 2 3 3 7" xfId="20500" xr:uid="{00000000-0005-0000-0000-0000061B0000}"/>
    <cellStyle name="Normal 2 2 2 2 2 3 4" xfId="634" xr:uid="{00000000-0005-0000-0000-0000071B0000}"/>
    <cellStyle name="Normal 2 2 2 2 2 3 4 2" xfId="1381" xr:uid="{00000000-0005-0000-0000-0000081B0000}"/>
    <cellStyle name="Normal 2 2 2 2 2 3 4 2 2" xfId="2875" xr:uid="{00000000-0005-0000-0000-0000091B0000}"/>
    <cellStyle name="Normal 2 2 2 2 2 3 4 2 2 2" xfId="7357" xr:uid="{00000000-0005-0000-0000-00000A1B0000}"/>
    <cellStyle name="Normal 2 2 2 2 2 3 4 2 2 2 2" xfId="16387" xr:uid="{00000000-0005-0000-0000-00000B1B0000}"/>
    <cellStyle name="Normal 2 2 2 2 2 3 4 2 2 2 2 2" xfId="36439" xr:uid="{00000000-0005-0000-0000-00000C1B0000}"/>
    <cellStyle name="Normal 2 2 2 2 2 3 4 2 2 2 3" xfId="27409" xr:uid="{00000000-0005-0000-0000-00000D1B0000}"/>
    <cellStyle name="Normal 2 2 2 2 2 3 4 2 2 3" xfId="11905" xr:uid="{00000000-0005-0000-0000-00000E1B0000}"/>
    <cellStyle name="Normal 2 2 2 2 2 3 4 2 2 3 2" xfId="31957" xr:uid="{00000000-0005-0000-0000-00000F1B0000}"/>
    <cellStyle name="Normal 2 2 2 2 2 3 4 2 2 4" xfId="22927" xr:uid="{00000000-0005-0000-0000-0000101B0000}"/>
    <cellStyle name="Normal 2 2 2 2 2 3 4 2 3" xfId="4369" xr:uid="{00000000-0005-0000-0000-0000111B0000}"/>
    <cellStyle name="Normal 2 2 2 2 2 3 4 2 3 2" xfId="8851" xr:uid="{00000000-0005-0000-0000-0000121B0000}"/>
    <cellStyle name="Normal 2 2 2 2 2 3 4 2 3 2 2" xfId="17881" xr:uid="{00000000-0005-0000-0000-0000131B0000}"/>
    <cellStyle name="Normal 2 2 2 2 2 3 4 2 3 2 2 2" xfId="37933" xr:uid="{00000000-0005-0000-0000-0000141B0000}"/>
    <cellStyle name="Normal 2 2 2 2 2 3 4 2 3 2 3" xfId="28903" xr:uid="{00000000-0005-0000-0000-0000151B0000}"/>
    <cellStyle name="Normal 2 2 2 2 2 3 4 2 3 3" xfId="13399" xr:uid="{00000000-0005-0000-0000-0000161B0000}"/>
    <cellStyle name="Normal 2 2 2 2 2 3 4 2 3 3 2" xfId="33451" xr:uid="{00000000-0005-0000-0000-0000171B0000}"/>
    <cellStyle name="Normal 2 2 2 2 2 3 4 2 3 4" xfId="24421" xr:uid="{00000000-0005-0000-0000-0000181B0000}"/>
    <cellStyle name="Normal 2 2 2 2 2 3 4 2 4" xfId="5863" xr:uid="{00000000-0005-0000-0000-0000191B0000}"/>
    <cellStyle name="Normal 2 2 2 2 2 3 4 2 4 2" xfId="14893" xr:uid="{00000000-0005-0000-0000-00001A1B0000}"/>
    <cellStyle name="Normal 2 2 2 2 2 3 4 2 4 2 2" xfId="34945" xr:uid="{00000000-0005-0000-0000-00001B1B0000}"/>
    <cellStyle name="Normal 2 2 2 2 2 3 4 2 4 3" xfId="25915" xr:uid="{00000000-0005-0000-0000-00001C1B0000}"/>
    <cellStyle name="Normal 2 2 2 2 2 3 4 2 5" xfId="10411" xr:uid="{00000000-0005-0000-0000-00001D1B0000}"/>
    <cellStyle name="Normal 2 2 2 2 2 3 4 2 5 2" xfId="30463" xr:uid="{00000000-0005-0000-0000-00001E1B0000}"/>
    <cellStyle name="Normal 2 2 2 2 2 3 4 2 6" xfId="21433" xr:uid="{00000000-0005-0000-0000-00001F1B0000}"/>
    <cellStyle name="Normal 2 2 2 2 2 3 4 3" xfId="2128" xr:uid="{00000000-0005-0000-0000-0000201B0000}"/>
    <cellStyle name="Normal 2 2 2 2 2 3 4 3 2" xfId="6610" xr:uid="{00000000-0005-0000-0000-0000211B0000}"/>
    <cellStyle name="Normal 2 2 2 2 2 3 4 3 2 2" xfId="15640" xr:uid="{00000000-0005-0000-0000-0000221B0000}"/>
    <cellStyle name="Normal 2 2 2 2 2 3 4 3 2 2 2" xfId="35692" xr:uid="{00000000-0005-0000-0000-0000231B0000}"/>
    <cellStyle name="Normal 2 2 2 2 2 3 4 3 2 3" xfId="26662" xr:uid="{00000000-0005-0000-0000-0000241B0000}"/>
    <cellStyle name="Normal 2 2 2 2 2 3 4 3 3" xfId="11158" xr:uid="{00000000-0005-0000-0000-0000251B0000}"/>
    <cellStyle name="Normal 2 2 2 2 2 3 4 3 3 2" xfId="31210" xr:uid="{00000000-0005-0000-0000-0000261B0000}"/>
    <cellStyle name="Normal 2 2 2 2 2 3 4 3 4" xfId="22180" xr:uid="{00000000-0005-0000-0000-0000271B0000}"/>
    <cellStyle name="Normal 2 2 2 2 2 3 4 4" xfId="3622" xr:uid="{00000000-0005-0000-0000-0000281B0000}"/>
    <cellStyle name="Normal 2 2 2 2 2 3 4 4 2" xfId="8104" xr:uid="{00000000-0005-0000-0000-0000291B0000}"/>
    <cellStyle name="Normal 2 2 2 2 2 3 4 4 2 2" xfId="17134" xr:uid="{00000000-0005-0000-0000-00002A1B0000}"/>
    <cellStyle name="Normal 2 2 2 2 2 3 4 4 2 2 2" xfId="37186" xr:uid="{00000000-0005-0000-0000-00002B1B0000}"/>
    <cellStyle name="Normal 2 2 2 2 2 3 4 4 2 3" xfId="28156" xr:uid="{00000000-0005-0000-0000-00002C1B0000}"/>
    <cellStyle name="Normal 2 2 2 2 2 3 4 4 3" xfId="12652" xr:uid="{00000000-0005-0000-0000-00002D1B0000}"/>
    <cellStyle name="Normal 2 2 2 2 2 3 4 4 3 2" xfId="32704" xr:uid="{00000000-0005-0000-0000-00002E1B0000}"/>
    <cellStyle name="Normal 2 2 2 2 2 3 4 4 4" xfId="23674" xr:uid="{00000000-0005-0000-0000-00002F1B0000}"/>
    <cellStyle name="Normal 2 2 2 2 2 3 4 5" xfId="5116" xr:uid="{00000000-0005-0000-0000-0000301B0000}"/>
    <cellStyle name="Normal 2 2 2 2 2 3 4 5 2" xfId="14146" xr:uid="{00000000-0005-0000-0000-0000311B0000}"/>
    <cellStyle name="Normal 2 2 2 2 2 3 4 5 2 2" xfId="34198" xr:uid="{00000000-0005-0000-0000-0000321B0000}"/>
    <cellStyle name="Normal 2 2 2 2 2 3 4 5 3" xfId="25168" xr:uid="{00000000-0005-0000-0000-0000331B0000}"/>
    <cellStyle name="Normal 2 2 2 2 2 3 4 6" xfId="9664" xr:uid="{00000000-0005-0000-0000-0000341B0000}"/>
    <cellStyle name="Normal 2 2 2 2 2 3 4 6 2" xfId="29716" xr:uid="{00000000-0005-0000-0000-0000351B0000}"/>
    <cellStyle name="Normal 2 2 2 2 2 3 4 7" xfId="20686" xr:uid="{00000000-0005-0000-0000-0000361B0000}"/>
    <cellStyle name="Normal 2 2 2 2 2 3 5" xfId="821" xr:uid="{00000000-0005-0000-0000-0000371B0000}"/>
    <cellStyle name="Normal 2 2 2 2 2 3 5 2" xfId="2315" xr:uid="{00000000-0005-0000-0000-0000381B0000}"/>
    <cellStyle name="Normal 2 2 2 2 2 3 5 2 2" xfId="6797" xr:uid="{00000000-0005-0000-0000-0000391B0000}"/>
    <cellStyle name="Normal 2 2 2 2 2 3 5 2 2 2" xfId="15827" xr:uid="{00000000-0005-0000-0000-00003A1B0000}"/>
    <cellStyle name="Normal 2 2 2 2 2 3 5 2 2 2 2" xfId="35879" xr:uid="{00000000-0005-0000-0000-00003B1B0000}"/>
    <cellStyle name="Normal 2 2 2 2 2 3 5 2 2 3" xfId="26849" xr:uid="{00000000-0005-0000-0000-00003C1B0000}"/>
    <cellStyle name="Normal 2 2 2 2 2 3 5 2 3" xfId="11345" xr:uid="{00000000-0005-0000-0000-00003D1B0000}"/>
    <cellStyle name="Normal 2 2 2 2 2 3 5 2 3 2" xfId="31397" xr:uid="{00000000-0005-0000-0000-00003E1B0000}"/>
    <cellStyle name="Normal 2 2 2 2 2 3 5 2 4" xfId="22367" xr:uid="{00000000-0005-0000-0000-00003F1B0000}"/>
    <cellStyle name="Normal 2 2 2 2 2 3 5 3" xfId="3809" xr:uid="{00000000-0005-0000-0000-0000401B0000}"/>
    <cellStyle name="Normal 2 2 2 2 2 3 5 3 2" xfId="8291" xr:uid="{00000000-0005-0000-0000-0000411B0000}"/>
    <cellStyle name="Normal 2 2 2 2 2 3 5 3 2 2" xfId="17321" xr:uid="{00000000-0005-0000-0000-0000421B0000}"/>
    <cellStyle name="Normal 2 2 2 2 2 3 5 3 2 2 2" xfId="37373" xr:uid="{00000000-0005-0000-0000-0000431B0000}"/>
    <cellStyle name="Normal 2 2 2 2 2 3 5 3 2 3" xfId="28343" xr:uid="{00000000-0005-0000-0000-0000441B0000}"/>
    <cellStyle name="Normal 2 2 2 2 2 3 5 3 3" xfId="12839" xr:uid="{00000000-0005-0000-0000-0000451B0000}"/>
    <cellStyle name="Normal 2 2 2 2 2 3 5 3 3 2" xfId="32891" xr:uid="{00000000-0005-0000-0000-0000461B0000}"/>
    <cellStyle name="Normal 2 2 2 2 2 3 5 3 4" xfId="23861" xr:uid="{00000000-0005-0000-0000-0000471B0000}"/>
    <cellStyle name="Normal 2 2 2 2 2 3 5 4" xfId="5303" xr:uid="{00000000-0005-0000-0000-0000481B0000}"/>
    <cellStyle name="Normal 2 2 2 2 2 3 5 4 2" xfId="14333" xr:uid="{00000000-0005-0000-0000-0000491B0000}"/>
    <cellStyle name="Normal 2 2 2 2 2 3 5 4 2 2" xfId="34385" xr:uid="{00000000-0005-0000-0000-00004A1B0000}"/>
    <cellStyle name="Normal 2 2 2 2 2 3 5 4 3" xfId="25355" xr:uid="{00000000-0005-0000-0000-00004B1B0000}"/>
    <cellStyle name="Normal 2 2 2 2 2 3 5 5" xfId="9851" xr:uid="{00000000-0005-0000-0000-00004C1B0000}"/>
    <cellStyle name="Normal 2 2 2 2 2 3 5 5 2" xfId="29903" xr:uid="{00000000-0005-0000-0000-00004D1B0000}"/>
    <cellStyle name="Normal 2 2 2 2 2 3 5 6" xfId="20873" xr:uid="{00000000-0005-0000-0000-00004E1B0000}"/>
    <cellStyle name="Normal 2 2 2 2 2 3 6" xfId="1570" xr:uid="{00000000-0005-0000-0000-00004F1B0000}"/>
    <cellStyle name="Normal 2 2 2 2 2 3 6 2" xfId="6052" xr:uid="{00000000-0005-0000-0000-0000501B0000}"/>
    <cellStyle name="Normal 2 2 2 2 2 3 6 2 2" xfId="15082" xr:uid="{00000000-0005-0000-0000-0000511B0000}"/>
    <cellStyle name="Normal 2 2 2 2 2 3 6 2 2 2" xfId="35134" xr:uid="{00000000-0005-0000-0000-0000521B0000}"/>
    <cellStyle name="Normal 2 2 2 2 2 3 6 2 3" xfId="26104" xr:uid="{00000000-0005-0000-0000-0000531B0000}"/>
    <cellStyle name="Normal 2 2 2 2 2 3 6 3" xfId="10600" xr:uid="{00000000-0005-0000-0000-0000541B0000}"/>
    <cellStyle name="Normal 2 2 2 2 2 3 6 3 2" xfId="30652" xr:uid="{00000000-0005-0000-0000-0000551B0000}"/>
    <cellStyle name="Normal 2 2 2 2 2 3 6 4" xfId="21622" xr:uid="{00000000-0005-0000-0000-0000561B0000}"/>
    <cellStyle name="Normal 2 2 2 2 2 3 7" xfId="3064" xr:uid="{00000000-0005-0000-0000-0000571B0000}"/>
    <cellStyle name="Normal 2 2 2 2 2 3 7 2" xfId="7546" xr:uid="{00000000-0005-0000-0000-0000581B0000}"/>
    <cellStyle name="Normal 2 2 2 2 2 3 7 2 2" xfId="16576" xr:uid="{00000000-0005-0000-0000-0000591B0000}"/>
    <cellStyle name="Normal 2 2 2 2 2 3 7 2 2 2" xfId="36628" xr:uid="{00000000-0005-0000-0000-00005A1B0000}"/>
    <cellStyle name="Normal 2 2 2 2 2 3 7 2 3" xfId="27598" xr:uid="{00000000-0005-0000-0000-00005B1B0000}"/>
    <cellStyle name="Normal 2 2 2 2 2 3 7 3" xfId="12094" xr:uid="{00000000-0005-0000-0000-00005C1B0000}"/>
    <cellStyle name="Normal 2 2 2 2 2 3 7 3 2" xfId="32146" xr:uid="{00000000-0005-0000-0000-00005D1B0000}"/>
    <cellStyle name="Normal 2 2 2 2 2 3 7 4" xfId="23116" xr:uid="{00000000-0005-0000-0000-00005E1B0000}"/>
    <cellStyle name="Normal 2 2 2 2 2 3 8" xfId="4558" xr:uid="{00000000-0005-0000-0000-00005F1B0000}"/>
    <cellStyle name="Normal 2 2 2 2 2 3 8 2" xfId="13588" xr:uid="{00000000-0005-0000-0000-0000601B0000}"/>
    <cellStyle name="Normal 2 2 2 2 2 3 8 2 2" xfId="33640" xr:uid="{00000000-0005-0000-0000-0000611B0000}"/>
    <cellStyle name="Normal 2 2 2 2 2 3 8 3" xfId="24610" xr:uid="{00000000-0005-0000-0000-0000621B0000}"/>
    <cellStyle name="Normal 2 2 2 2 2 3 9" xfId="9106" xr:uid="{00000000-0005-0000-0000-0000631B0000}"/>
    <cellStyle name="Normal 2 2 2 2 2 3 9 2" xfId="29158" xr:uid="{00000000-0005-0000-0000-0000641B0000}"/>
    <cellStyle name="Normal 2 2 2 2 2 4" xfId="100" xr:uid="{00000000-0005-0000-0000-0000651B0000}"/>
    <cellStyle name="Normal 2 2 2 2 2 4 10" xfId="20152" xr:uid="{00000000-0005-0000-0000-0000661B0000}"/>
    <cellStyle name="Normal 2 2 2 2 2 4 2" xfId="286" xr:uid="{00000000-0005-0000-0000-0000671B0000}"/>
    <cellStyle name="Normal 2 2 2 2 2 4 2 2" xfId="1030" xr:uid="{00000000-0005-0000-0000-0000681B0000}"/>
    <cellStyle name="Normal 2 2 2 2 2 4 2 2 2" xfId="2524" xr:uid="{00000000-0005-0000-0000-0000691B0000}"/>
    <cellStyle name="Normal 2 2 2 2 2 4 2 2 2 2" xfId="7006" xr:uid="{00000000-0005-0000-0000-00006A1B0000}"/>
    <cellStyle name="Normal 2 2 2 2 2 4 2 2 2 2 2" xfId="16036" xr:uid="{00000000-0005-0000-0000-00006B1B0000}"/>
    <cellStyle name="Normal 2 2 2 2 2 4 2 2 2 2 2 2" xfId="36088" xr:uid="{00000000-0005-0000-0000-00006C1B0000}"/>
    <cellStyle name="Normal 2 2 2 2 2 4 2 2 2 2 3" xfId="27058" xr:uid="{00000000-0005-0000-0000-00006D1B0000}"/>
    <cellStyle name="Normal 2 2 2 2 2 4 2 2 2 3" xfId="11554" xr:uid="{00000000-0005-0000-0000-00006E1B0000}"/>
    <cellStyle name="Normal 2 2 2 2 2 4 2 2 2 3 2" xfId="31606" xr:uid="{00000000-0005-0000-0000-00006F1B0000}"/>
    <cellStyle name="Normal 2 2 2 2 2 4 2 2 2 4" xfId="22576" xr:uid="{00000000-0005-0000-0000-0000701B0000}"/>
    <cellStyle name="Normal 2 2 2 2 2 4 2 2 3" xfId="4018" xr:uid="{00000000-0005-0000-0000-0000711B0000}"/>
    <cellStyle name="Normal 2 2 2 2 2 4 2 2 3 2" xfId="8500" xr:uid="{00000000-0005-0000-0000-0000721B0000}"/>
    <cellStyle name="Normal 2 2 2 2 2 4 2 2 3 2 2" xfId="17530" xr:uid="{00000000-0005-0000-0000-0000731B0000}"/>
    <cellStyle name="Normal 2 2 2 2 2 4 2 2 3 2 2 2" xfId="37582" xr:uid="{00000000-0005-0000-0000-0000741B0000}"/>
    <cellStyle name="Normal 2 2 2 2 2 4 2 2 3 2 3" xfId="28552" xr:uid="{00000000-0005-0000-0000-0000751B0000}"/>
    <cellStyle name="Normal 2 2 2 2 2 4 2 2 3 3" xfId="13048" xr:uid="{00000000-0005-0000-0000-0000761B0000}"/>
    <cellStyle name="Normal 2 2 2 2 2 4 2 2 3 3 2" xfId="33100" xr:uid="{00000000-0005-0000-0000-0000771B0000}"/>
    <cellStyle name="Normal 2 2 2 2 2 4 2 2 3 4" xfId="24070" xr:uid="{00000000-0005-0000-0000-0000781B0000}"/>
    <cellStyle name="Normal 2 2 2 2 2 4 2 2 4" xfId="5512" xr:uid="{00000000-0005-0000-0000-0000791B0000}"/>
    <cellStyle name="Normal 2 2 2 2 2 4 2 2 4 2" xfId="14542" xr:uid="{00000000-0005-0000-0000-00007A1B0000}"/>
    <cellStyle name="Normal 2 2 2 2 2 4 2 2 4 2 2" xfId="34594" xr:uid="{00000000-0005-0000-0000-00007B1B0000}"/>
    <cellStyle name="Normal 2 2 2 2 2 4 2 2 4 3" xfId="25564" xr:uid="{00000000-0005-0000-0000-00007C1B0000}"/>
    <cellStyle name="Normal 2 2 2 2 2 4 2 2 5" xfId="10060" xr:uid="{00000000-0005-0000-0000-00007D1B0000}"/>
    <cellStyle name="Normal 2 2 2 2 2 4 2 2 5 2" xfId="30112" xr:uid="{00000000-0005-0000-0000-00007E1B0000}"/>
    <cellStyle name="Normal 2 2 2 2 2 4 2 2 6" xfId="21082" xr:uid="{00000000-0005-0000-0000-00007F1B0000}"/>
    <cellStyle name="Normal 2 2 2 2 2 4 2 3" xfId="1780" xr:uid="{00000000-0005-0000-0000-0000801B0000}"/>
    <cellStyle name="Normal 2 2 2 2 2 4 2 3 2" xfId="6262" xr:uid="{00000000-0005-0000-0000-0000811B0000}"/>
    <cellStyle name="Normal 2 2 2 2 2 4 2 3 2 2" xfId="15292" xr:uid="{00000000-0005-0000-0000-0000821B0000}"/>
    <cellStyle name="Normal 2 2 2 2 2 4 2 3 2 2 2" xfId="35344" xr:uid="{00000000-0005-0000-0000-0000831B0000}"/>
    <cellStyle name="Normal 2 2 2 2 2 4 2 3 2 3" xfId="26314" xr:uid="{00000000-0005-0000-0000-0000841B0000}"/>
    <cellStyle name="Normal 2 2 2 2 2 4 2 3 3" xfId="10810" xr:uid="{00000000-0005-0000-0000-0000851B0000}"/>
    <cellStyle name="Normal 2 2 2 2 2 4 2 3 3 2" xfId="30862" xr:uid="{00000000-0005-0000-0000-0000861B0000}"/>
    <cellStyle name="Normal 2 2 2 2 2 4 2 3 4" xfId="21832" xr:uid="{00000000-0005-0000-0000-0000871B0000}"/>
    <cellStyle name="Normal 2 2 2 2 2 4 2 4" xfId="3274" xr:uid="{00000000-0005-0000-0000-0000881B0000}"/>
    <cellStyle name="Normal 2 2 2 2 2 4 2 4 2" xfId="7756" xr:uid="{00000000-0005-0000-0000-0000891B0000}"/>
    <cellStyle name="Normal 2 2 2 2 2 4 2 4 2 2" xfId="16786" xr:uid="{00000000-0005-0000-0000-00008A1B0000}"/>
    <cellStyle name="Normal 2 2 2 2 2 4 2 4 2 2 2" xfId="36838" xr:uid="{00000000-0005-0000-0000-00008B1B0000}"/>
    <cellStyle name="Normal 2 2 2 2 2 4 2 4 2 3" xfId="27808" xr:uid="{00000000-0005-0000-0000-00008C1B0000}"/>
    <cellStyle name="Normal 2 2 2 2 2 4 2 4 3" xfId="12304" xr:uid="{00000000-0005-0000-0000-00008D1B0000}"/>
    <cellStyle name="Normal 2 2 2 2 2 4 2 4 3 2" xfId="32356" xr:uid="{00000000-0005-0000-0000-00008E1B0000}"/>
    <cellStyle name="Normal 2 2 2 2 2 4 2 4 4" xfId="23326" xr:uid="{00000000-0005-0000-0000-00008F1B0000}"/>
    <cellStyle name="Normal 2 2 2 2 2 4 2 5" xfId="4768" xr:uid="{00000000-0005-0000-0000-0000901B0000}"/>
    <cellStyle name="Normal 2 2 2 2 2 4 2 5 2" xfId="13798" xr:uid="{00000000-0005-0000-0000-0000911B0000}"/>
    <cellStyle name="Normal 2 2 2 2 2 4 2 5 2 2" xfId="33850" xr:uid="{00000000-0005-0000-0000-0000921B0000}"/>
    <cellStyle name="Normal 2 2 2 2 2 4 2 5 3" xfId="24820" xr:uid="{00000000-0005-0000-0000-0000931B0000}"/>
    <cellStyle name="Normal 2 2 2 2 2 4 2 6" xfId="9316" xr:uid="{00000000-0005-0000-0000-0000941B0000}"/>
    <cellStyle name="Normal 2 2 2 2 2 4 2 6 2" xfId="29368" xr:uid="{00000000-0005-0000-0000-0000951B0000}"/>
    <cellStyle name="Normal 2 2 2 2 2 4 2 7" xfId="20338" xr:uid="{00000000-0005-0000-0000-0000961B0000}"/>
    <cellStyle name="Normal 2 2 2 2 2 4 3" xfId="472" xr:uid="{00000000-0005-0000-0000-0000971B0000}"/>
    <cellStyle name="Normal 2 2 2 2 2 4 3 2" xfId="1219" xr:uid="{00000000-0005-0000-0000-0000981B0000}"/>
    <cellStyle name="Normal 2 2 2 2 2 4 3 2 2" xfId="2713" xr:uid="{00000000-0005-0000-0000-0000991B0000}"/>
    <cellStyle name="Normal 2 2 2 2 2 4 3 2 2 2" xfId="7195" xr:uid="{00000000-0005-0000-0000-00009A1B0000}"/>
    <cellStyle name="Normal 2 2 2 2 2 4 3 2 2 2 2" xfId="16225" xr:uid="{00000000-0005-0000-0000-00009B1B0000}"/>
    <cellStyle name="Normal 2 2 2 2 2 4 3 2 2 2 2 2" xfId="36277" xr:uid="{00000000-0005-0000-0000-00009C1B0000}"/>
    <cellStyle name="Normal 2 2 2 2 2 4 3 2 2 2 3" xfId="27247" xr:uid="{00000000-0005-0000-0000-00009D1B0000}"/>
    <cellStyle name="Normal 2 2 2 2 2 4 3 2 2 3" xfId="11743" xr:uid="{00000000-0005-0000-0000-00009E1B0000}"/>
    <cellStyle name="Normal 2 2 2 2 2 4 3 2 2 3 2" xfId="31795" xr:uid="{00000000-0005-0000-0000-00009F1B0000}"/>
    <cellStyle name="Normal 2 2 2 2 2 4 3 2 2 4" xfId="22765" xr:uid="{00000000-0005-0000-0000-0000A01B0000}"/>
    <cellStyle name="Normal 2 2 2 2 2 4 3 2 3" xfId="4207" xr:uid="{00000000-0005-0000-0000-0000A11B0000}"/>
    <cellStyle name="Normal 2 2 2 2 2 4 3 2 3 2" xfId="8689" xr:uid="{00000000-0005-0000-0000-0000A21B0000}"/>
    <cellStyle name="Normal 2 2 2 2 2 4 3 2 3 2 2" xfId="17719" xr:uid="{00000000-0005-0000-0000-0000A31B0000}"/>
    <cellStyle name="Normal 2 2 2 2 2 4 3 2 3 2 2 2" xfId="37771" xr:uid="{00000000-0005-0000-0000-0000A41B0000}"/>
    <cellStyle name="Normal 2 2 2 2 2 4 3 2 3 2 3" xfId="28741" xr:uid="{00000000-0005-0000-0000-0000A51B0000}"/>
    <cellStyle name="Normal 2 2 2 2 2 4 3 2 3 3" xfId="13237" xr:uid="{00000000-0005-0000-0000-0000A61B0000}"/>
    <cellStyle name="Normal 2 2 2 2 2 4 3 2 3 3 2" xfId="33289" xr:uid="{00000000-0005-0000-0000-0000A71B0000}"/>
    <cellStyle name="Normal 2 2 2 2 2 4 3 2 3 4" xfId="24259" xr:uid="{00000000-0005-0000-0000-0000A81B0000}"/>
    <cellStyle name="Normal 2 2 2 2 2 4 3 2 4" xfId="5701" xr:uid="{00000000-0005-0000-0000-0000A91B0000}"/>
    <cellStyle name="Normal 2 2 2 2 2 4 3 2 4 2" xfId="14731" xr:uid="{00000000-0005-0000-0000-0000AA1B0000}"/>
    <cellStyle name="Normal 2 2 2 2 2 4 3 2 4 2 2" xfId="34783" xr:uid="{00000000-0005-0000-0000-0000AB1B0000}"/>
    <cellStyle name="Normal 2 2 2 2 2 4 3 2 4 3" xfId="25753" xr:uid="{00000000-0005-0000-0000-0000AC1B0000}"/>
    <cellStyle name="Normal 2 2 2 2 2 4 3 2 5" xfId="10249" xr:uid="{00000000-0005-0000-0000-0000AD1B0000}"/>
    <cellStyle name="Normal 2 2 2 2 2 4 3 2 5 2" xfId="30301" xr:uid="{00000000-0005-0000-0000-0000AE1B0000}"/>
    <cellStyle name="Normal 2 2 2 2 2 4 3 2 6" xfId="21271" xr:uid="{00000000-0005-0000-0000-0000AF1B0000}"/>
    <cellStyle name="Normal 2 2 2 2 2 4 3 3" xfId="1966" xr:uid="{00000000-0005-0000-0000-0000B01B0000}"/>
    <cellStyle name="Normal 2 2 2 2 2 4 3 3 2" xfId="6448" xr:uid="{00000000-0005-0000-0000-0000B11B0000}"/>
    <cellStyle name="Normal 2 2 2 2 2 4 3 3 2 2" xfId="15478" xr:uid="{00000000-0005-0000-0000-0000B21B0000}"/>
    <cellStyle name="Normal 2 2 2 2 2 4 3 3 2 2 2" xfId="35530" xr:uid="{00000000-0005-0000-0000-0000B31B0000}"/>
    <cellStyle name="Normal 2 2 2 2 2 4 3 3 2 3" xfId="26500" xr:uid="{00000000-0005-0000-0000-0000B41B0000}"/>
    <cellStyle name="Normal 2 2 2 2 2 4 3 3 3" xfId="10996" xr:uid="{00000000-0005-0000-0000-0000B51B0000}"/>
    <cellStyle name="Normal 2 2 2 2 2 4 3 3 3 2" xfId="31048" xr:uid="{00000000-0005-0000-0000-0000B61B0000}"/>
    <cellStyle name="Normal 2 2 2 2 2 4 3 3 4" xfId="22018" xr:uid="{00000000-0005-0000-0000-0000B71B0000}"/>
    <cellStyle name="Normal 2 2 2 2 2 4 3 4" xfId="3460" xr:uid="{00000000-0005-0000-0000-0000B81B0000}"/>
    <cellStyle name="Normal 2 2 2 2 2 4 3 4 2" xfId="7942" xr:uid="{00000000-0005-0000-0000-0000B91B0000}"/>
    <cellStyle name="Normal 2 2 2 2 2 4 3 4 2 2" xfId="16972" xr:uid="{00000000-0005-0000-0000-0000BA1B0000}"/>
    <cellStyle name="Normal 2 2 2 2 2 4 3 4 2 2 2" xfId="37024" xr:uid="{00000000-0005-0000-0000-0000BB1B0000}"/>
    <cellStyle name="Normal 2 2 2 2 2 4 3 4 2 3" xfId="27994" xr:uid="{00000000-0005-0000-0000-0000BC1B0000}"/>
    <cellStyle name="Normal 2 2 2 2 2 4 3 4 3" xfId="12490" xr:uid="{00000000-0005-0000-0000-0000BD1B0000}"/>
    <cellStyle name="Normal 2 2 2 2 2 4 3 4 3 2" xfId="32542" xr:uid="{00000000-0005-0000-0000-0000BE1B0000}"/>
    <cellStyle name="Normal 2 2 2 2 2 4 3 4 4" xfId="23512" xr:uid="{00000000-0005-0000-0000-0000BF1B0000}"/>
    <cellStyle name="Normal 2 2 2 2 2 4 3 5" xfId="4954" xr:uid="{00000000-0005-0000-0000-0000C01B0000}"/>
    <cellStyle name="Normal 2 2 2 2 2 4 3 5 2" xfId="13984" xr:uid="{00000000-0005-0000-0000-0000C11B0000}"/>
    <cellStyle name="Normal 2 2 2 2 2 4 3 5 2 2" xfId="34036" xr:uid="{00000000-0005-0000-0000-0000C21B0000}"/>
    <cellStyle name="Normal 2 2 2 2 2 4 3 5 3" xfId="25006" xr:uid="{00000000-0005-0000-0000-0000C31B0000}"/>
    <cellStyle name="Normal 2 2 2 2 2 4 3 6" xfId="9502" xr:uid="{00000000-0005-0000-0000-0000C41B0000}"/>
    <cellStyle name="Normal 2 2 2 2 2 4 3 6 2" xfId="29554" xr:uid="{00000000-0005-0000-0000-0000C51B0000}"/>
    <cellStyle name="Normal 2 2 2 2 2 4 3 7" xfId="20524" xr:uid="{00000000-0005-0000-0000-0000C61B0000}"/>
    <cellStyle name="Normal 2 2 2 2 2 4 4" xfId="658" xr:uid="{00000000-0005-0000-0000-0000C71B0000}"/>
    <cellStyle name="Normal 2 2 2 2 2 4 4 2" xfId="1405" xr:uid="{00000000-0005-0000-0000-0000C81B0000}"/>
    <cellStyle name="Normal 2 2 2 2 2 4 4 2 2" xfId="2899" xr:uid="{00000000-0005-0000-0000-0000C91B0000}"/>
    <cellStyle name="Normal 2 2 2 2 2 4 4 2 2 2" xfId="7381" xr:uid="{00000000-0005-0000-0000-0000CA1B0000}"/>
    <cellStyle name="Normal 2 2 2 2 2 4 4 2 2 2 2" xfId="16411" xr:uid="{00000000-0005-0000-0000-0000CB1B0000}"/>
    <cellStyle name="Normal 2 2 2 2 2 4 4 2 2 2 2 2" xfId="36463" xr:uid="{00000000-0005-0000-0000-0000CC1B0000}"/>
    <cellStyle name="Normal 2 2 2 2 2 4 4 2 2 2 3" xfId="27433" xr:uid="{00000000-0005-0000-0000-0000CD1B0000}"/>
    <cellStyle name="Normal 2 2 2 2 2 4 4 2 2 3" xfId="11929" xr:uid="{00000000-0005-0000-0000-0000CE1B0000}"/>
    <cellStyle name="Normal 2 2 2 2 2 4 4 2 2 3 2" xfId="31981" xr:uid="{00000000-0005-0000-0000-0000CF1B0000}"/>
    <cellStyle name="Normal 2 2 2 2 2 4 4 2 2 4" xfId="22951" xr:uid="{00000000-0005-0000-0000-0000D01B0000}"/>
    <cellStyle name="Normal 2 2 2 2 2 4 4 2 3" xfId="4393" xr:uid="{00000000-0005-0000-0000-0000D11B0000}"/>
    <cellStyle name="Normal 2 2 2 2 2 4 4 2 3 2" xfId="8875" xr:uid="{00000000-0005-0000-0000-0000D21B0000}"/>
    <cellStyle name="Normal 2 2 2 2 2 4 4 2 3 2 2" xfId="17905" xr:uid="{00000000-0005-0000-0000-0000D31B0000}"/>
    <cellStyle name="Normal 2 2 2 2 2 4 4 2 3 2 2 2" xfId="37957" xr:uid="{00000000-0005-0000-0000-0000D41B0000}"/>
    <cellStyle name="Normal 2 2 2 2 2 4 4 2 3 2 3" xfId="28927" xr:uid="{00000000-0005-0000-0000-0000D51B0000}"/>
    <cellStyle name="Normal 2 2 2 2 2 4 4 2 3 3" xfId="13423" xr:uid="{00000000-0005-0000-0000-0000D61B0000}"/>
    <cellStyle name="Normal 2 2 2 2 2 4 4 2 3 3 2" xfId="33475" xr:uid="{00000000-0005-0000-0000-0000D71B0000}"/>
    <cellStyle name="Normal 2 2 2 2 2 4 4 2 3 4" xfId="24445" xr:uid="{00000000-0005-0000-0000-0000D81B0000}"/>
    <cellStyle name="Normal 2 2 2 2 2 4 4 2 4" xfId="5887" xr:uid="{00000000-0005-0000-0000-0000D91B0000}"/>
    <cellStyle name="Normal 2 2 2 2 2 4 4 2 4 2" xfId="14917" xr:uid="{00000000-0005-0000-0000-0000DA1B0000}"/>
    <cellStyle name="Normal 2 2 2 2 2 4 4 2 4 2 2" xfId="34969" xr:uid="{00000000-0005-0000-0000-0000DB1B0000}"/>
    <cellStyle name="Normal 2 2 2 2 2 4 4 2 4 3" xfId="25939" xr:uid="{00000000-0005-0000-0000-0000DC1B0000}"/>
    <cellStyle name="Normal 2 2 2 2 2 4 4 2 5" xfId="10435" xr:uid="{00000000-0005-0000-0000-0000DD1B0000}"/>
    <cellStyle name="Normal 2 2 2 2 2 4 4 2 5 2" xfId="30487" xr:uid="{00000000-0005-0000-0000-0000DE1B0000}"/>
    <cellStyle name="Normal 2 2 2 2 2 4 4 2 6" xfId="21457" xr:uid="{00000000-0005-0000-0000-0000DF1B0000}"/>
    <cellStyle name="Normal 2 2 2 2 2 4 4 3" xfId="2152" xr:uid="{00000000-0005-0000-0000-0000E01B0000}"/>
    <cellStyle name="Normal 2 2 2 2 2 4 4 3 2" xfId="6634" xr:uid="{00000000-0005-0000-0000-0000E11B0000}"/>
    <cellStyle name="Normal 2 2 2 2 2 4 4 3 2 2" xfId="15664" xr:uid="{00000000-0005-0000-0000-0000E21B0000}"/>
    <cellStyle name="Normal 2 2 2 2 2 4 4 3 2 2 2" xfId="35716" xr:uid="{00000000-0005-0000-0000-0000E31B0000}"/>
    <cellStyle name="Normal 2 2 2 2 2 4 4 3 2 3" xfId="26686" xr:uid="{00000000-0005-0000-0000-0000E41B0000}"/>
    <cellStyle name="Normal 2 2 2 2 2 4 4 3 3" xfId="11182" xr:uid="{00000000-0005-0000-0000-0000E51B0000}"/>
    <cellStyle name="Normal 2 2 2 2 2 4 4 3 3 2" xfId="31234" xr:uid="{00000000-0005-0000-0000-0000E61B0000}"/>
    <cellStyle name="Normal 2 2 2 2 2 4 4 3 4" xfId="22204" xr:uid="{00000000-0005-0000-0000-0000E71B0000}"/>
    <cellStyle name="Normal 2 2 2 2 2 4 4 4" xfId="3646" xr:uid="{00000000-0005-0000-0000-0000E81B0000}"/>
    <cellStyle name="Normal 2 2 2 2 2 4 4 4 2" xfId="8128" xr:uid="{00000000-0005-0000-0000-0000E91B0000}"/>
    <cellStyle name="Normal 2 2 2 2 2 4 4 4 2 2" xfId="17158" xr:uid="{00000000-0005-0000-0000-0000EA1B0000}"/>
    <cellStyle name="Normal 2 2 2 2 2 4 4 4 2 2 2" xfId="37210" xr:uid="{00000000-0005-0000-0000-0000EB1B0000}"/>
    <cellStyle name="Normal 2 2 2 2 2 4 4 4 2 3" xfId="28180" xr:uid="{00000000-0005-0000-0000-0000EC1B0000}"/>
    <cellStyle name="Normal 2 2 2 2 2 4 4 4 3" xfId="12676" xr:uid="{00000000-0005-0000-0000-0000ED1B0000}"/>
    <cellStyle name="Normal 2 2 2 2 2 4 4 4 3 2" xfId="32728" xr:uid="{00000000-0005-0000-0000-0000EE1B0000}"/>
    <cellStyle name="Normal 2 2 2 2 2 4 4 4 4" xfId="23698" xr:uid="{00000000-0005-0000-0000-0000EF1B0000}"/>
    <cellStyle name="Normal 2 2 2 2 2 4 4 5" xfId="5140" xr:uid="{00000000-0005-0000-0000-0000F01B0000}"/>
    <cellStyle name="Normal 2 2 2 2 2 4 4 5 2" xfId="14170" xr:uid="{00000000-0005-0000-0000-0000F11B0000}"/>
    <cellStyle name="Normal 2 2 2 2 2 4 4 5 2 2" xfId="34222" xr:uid="{00000000-0005-0000-0000-0000F21B0000}"/>
    <cellStyle name="Normal 2 2 2 2 2 4 4 5 3" xfId="25192" xr:uid="{00000000-0005-0000-0000-0000F31B0000}"/>
    <cellStyle name="Normal 2 2 2 2 2 4 4 6" xfId="9688" xr:uid="{00000000-0005-0000-0000-0000F41B0000}"/>
    <cellStyle name="Normal 2 2 2 2 2 4 4 6 2" xfId="29740" xr:uid="{00000000-0005-0000-0000-0000F51B0000}"/>
    <cellStyle name="Normal 2 2 2 2 2 4 4 7" xfId="20710" xr:uid="{00000000-0005-0000-0000-0000F61B0000}"/>
    <cellStyle name="Normal 2 2 2 2 2 4 5" xfId="845" xr:uid="{00000000-0005-0000-0000-0000F71B0000}"/>
    <cellStyle name="Normal 2 2 2 2 2 4 5 2" xfId="2339" xr:uid="{00000000-0005-0000-0000-0000F81B0000}"/>
    <cellStyle name="Normal 2 2 2 2 2 4 5 2 2" xfId="6821" xr:uid="{00000000-0005-0000-0000-0000F91B0000}"/>
    <cellStyle name="Normal 2 2 2 2 2 4 5 2 2 2" xfId="15851" xr:uid="{00000000-0005-0000-0000-0000FA1B0000}"/>
    <cellStyle name="Normal 2 2 2 2 2 4 5 2 2 2 2" xfId="35903" xr:uid="{00000000-0005-0000-0000-0000FB1B0000}"/>
    <cellStyle name="Normal 2 2 2 2 2 4 5 2 2 3" xfId="26873" xr:uid="{00000000-0005-0000-0000-0000FC1B0000}"/>
    <cellStyle name="Normal 2 2 2 2 2 4 5 2 3" xfId="11369" xr:uid="{00000000-0005-0000-0000-0000FD1B0000}"/>
    <cellStyle name="Normal 2 2 2 2 2 4 5 2 3 2" xfId="31421" xr:uid="{00000000-0005-0000-0000-0000FE1B0000}"/>
    <cellStyle name="Normal 2 2 2 2 2 4 5 2 4" xfId="22391" xr:uid="{00000000-0005-0000-0000-0000FF1B0000}"/>
    <cellStyle name="Normal 2 2 2 2 2 4 5 3" xfId="3833" xr:uid="{00000000-0005-0000-0000-0000001C0000}"/>
    <cellStyle name="Normal 2 2 2 2 2 4 5 3 2" xfId="8315" xr:uid="{00000000-0005-0000-0000-0000011C0000}"/>
    <cellStyle name="Normal 2 2 2 2 2 4 5 3 2 2" xfId="17345" xr:uid="{00000000-0005-0000-0000-0000021C0000}"/>
    <cellStyle name="Normal 2 2 2 2 2 4 5 3 2 2 2" xfId="37397" xr:uid="{00000000-0005-0000-0000-0000031C0000}"/>
    <cellStyle name="Normal 2 2 2 2 2 4 5 3 2 3" xfId="28367" xr:uid="{00000000-0005-0000-0000-0000041C0000}"/>
    <cellStyle name="Normal 2 2 2 2 2 4 5 3 3" xfId="12863" xr:uid="{00000000-0005-0000-0000-0000051C0000}"/>
    <cellStyle name="Normal 2 2 2 2 2 4 5 3 3 2" xfId="32915" xr:uid="{00000000-0005-0000-0000-0000061C0000}"/>
    <cellStyle name="Normal 2 2 2 2 2 4 5 3 4" xfId="23885" xr:uid="{00000000-0005-0000-0000-0000071C0000}"/>
    <cellStyle name="Normal 2 2 2 2 2 4 5 4" xfId="5327" xr:uid="{00000000-0005-0000-0000-0000081C0000}"/>
    <cellStyle name="Normal 2 2 2 2 2 4 5 4 2" xfId="14357" xr:uid="{00000000-0005-0000-0000-0000091C0000}"/>
    <cellStyle name="Normal 2 2 2 2 2 4 5 4 2 2" xfId="34409" xr:uid="{00000000-0005-0000-0000-00000A1C0000}"/>
    <cellStyle name="Normal 2 2 2 2 2 4 5 4 3" xfId="25379" xr:uid="{00000000-0005-0000-0000-00000B1C0000}"/>
    <cellStyle name="Normal 2 2 2 2 2 4 5 5" xfId="9875" xr:uid="{00000000-0005-0000-0000-00000C1C0000}"/>
    <cellStyle name="Normal 2 2 2 2 2 4 5 5 2" xfId="29927" xr:uid="{00000000-0005-0000-0000-00000D1C0000}"/>
    <cellStyle name="Normal 2 2 2 2 2 4 5 6" xfId="20897" xr:uid="{00000000-0005-0000-0000-00000E1C0000}"/>
    <cellStyle name="Normal 2 2 2 2 2 4 6" xfId="1594" xr:uid="{00000000-0005-0000-0000-00000F1C0000}"/>
    <cellStyle name="Normal 2 2 2 2 2 4 6 2" xfId="6076" xr:uid="{00000000-0005-0000-0000-0000101C0000}"/>
    <cellStyle name="Normal 2 2 2 2 2 4 6 2 2" xfId="15106" xr:uid="{00000000-0005-0000-0000-0000111C0000}"/>
    <cellStyle name="Normal 2 2 2 2 2 4 6 2 2 2" xfId="35158" xr:uid="{00000000-0005-0000-0000-0000121C0000}"/>
    <cellStyle name="Normal 2 2 2 2 2 4 6 2 3" xfId="26128" xr:uid="{00000000-0005-0000-0000-0000131C0000}"/>
    <cellStyle name="Normal 2 2 2 2 2 4 6 3" xfId="10624" xr:uid="{00000000-0005-0000-0000-0000141C0000}"/>
    <cellStyle name="Normal 2 2 2 2 2 4 6 3 2" xfId="30676" xr:uid="{00000000-0005-0000-0000-0000151C0000}"/>
    <cellStyle name="Normal 2 2 2 2 2 4 6 4" xfId="21646" xr:uid="{00000000-0005-0000-0000-0000161C0000}"/>
    <cellStyle name="Normal 2 2 2 2 2 4 7" xfId="3088" xr:uid="{00000000-0005-0000-0000-0000171C0000}"/>
    <cellStyle name="Normal 2 2 2 2 2 4 7 2" xfId="7570" xr:uid="{00000000-0005-0000-0000-0000181C0000}"/>
    <cellStyle name="Normal 2 2 2 2 2 4 7 2 2" xfId="16600" xr:uid="{00000000-0005-0000-0000-0000191C0000}"/>
    <cellStyle name="Normal 2 2 2 2 2 4 7 2 2 2" xfId="36652" xr:uid="{00000000-0005-0000-0000-00001A1C0000}"/>
    <cellStyle name="Normal 2 2 2 2 2 4 7 2 3" xfId="27622" xr:uid="{00000000-0005-0000-0000-00001B1C0000}"/>
    <cellStyle name="Normal 2 2 2 2 2 4 7 3" xfId="12118" xr:uid="{00000000-0005-0000-0000-00001C1C0000}"/>
    <cellStyle name="Normal 2 2 2 2 2 4 7 3 2" xfId="32170" xr:uid="{00000000-0005-0000-0000-00001D1C0000}"/>
    <cellStyle name="Normal 2 2 2 2 2 4 7 4" xfId="23140" xr:uid="{00000000-0005-0000-0000-00001E1C0000}"/>
    <cellStyle name="Normal 2 2 2 2 2 4 8" xfId="4582" xr:uid="{00000000-0005-0000-0000-00001F1C0000}"/>
    <cellStyle name="Normal 2 2 2 2 2 4 8 2" xfId="13612" xr:uid="{00000000-0005-0000-0000-0000201C0000}"/>
    <cellStyle name="Normal 2 2 2 2 2 4 8 2 2" xfId="33664" xr:uid="{00000000-0005-0000-0000-0000211C0000}"/>
    <cellStyle name="Normal 2 2 2 2 2 4 8 3" xfId="24634" xr:uid="{00000000-0005-0000-0000-0000221C0000}"/>
    <cellStyle name="Normal 2 2 2 2 2 4 9" xfId="9130" xr:uid="{00000000-0005-0000-0000-0000231C0000}"/>
    <cellStyle name="Normal 2 2 2 2 2 4 9 2" xfId="29182" xr:uid="{00000000-0005-0000-0000-0000241C0000}"/>
    <cellStyle name="Normal 2 2 2 2 2 5" xfId="106" xr:uid="{00000000-0005-0000-0000-0000251C0000}"/>
    <cellStyle name="Normal 2 2 2 2 2 5 10" xfId="20158" xr:uid="{00000000-0005-0000-0000-0000261C0000}"/>
    <cellStyle name="Normal 2 2 2 2 2 5 2" xfId="292" xr:uid="{00000000-0005-0000-0000-0000271C0000}"/>
    <cellStyle name="Normal 2 2 2 2 2 5 2 2" xfId="1035" xr:uid="{00000000-0005-0000-0000-0000281C0000}"/>
    <cellStyle name="Normal 2 2 2 2 2 5 2 2 2" xfId="2529" xr:uid="{00000000-0005-0000-0000-0000291C0000}"/>
    <cellStyle name="Normal 2 2 2 2 2 5 2 2 2 2" xfId="7011" xr:uid="{00000000-0005-0000-0000-00002A1C0000}"/>
    <cellStyle name="Normal 2 2 2 2 2 5 2 2 2 2 2" xfId="16041" xr:uid="{00000000-0005-0000-0000-00002B1C0000}"/>
    <cellStyle name="Normal 2 2 2 2 2 5 2 2 2 2 2 2" xfId="36093" xr:uid="{00000000-0005-0000-0000-00002C1C0000}"/>
    <cellStyle name="Normal 2 2 2 2 2 5 2 2 2 2 3" xfId="27063" xr:uid="{00000000-0005-0000-0000-00002D1C0000}"/>
    <cellStyle name="Normal 2 2 2 2 2 5 2 2 2 3" xfId="11559" xr:uid="{00000000-0005-0000-0000-00002E1C0000}"/>
    <cellStyle name="Normal 2 2 2 2 2 5 2 2 2 3 2" xfId="31611" xr:uid="{00000000-0005-0000-0000-00002F1C0000}"/>
    <cellStyle name="Normal 2 2 2 2 2 5 2 2 2 4" xfId="22581" xr:uid="{00000000-0005-0000-0000-0000301C0000}"/>
    <cellStyle name="Normal 2 2 2 2 2 5 2 2 3" xfId="4023" xr:uid="{00000000-0005-0000-0000-0000311C0000}"/>
    <cellStyle name="Normal 2 2 2 2 2 5 2 2 3 2" xfId="8505" xr:uid="{00000000-0005-0000-0000-0000321C0000}"/>
    <cellStyle name="Normal 2 2 2 2 2 5 2 2 3 2 2" xfId="17535" xr:uid="{00000000-0005-0000-0000-0000331C0000}"/>
    <cellStyle name="Normal 2 2 2 2 2 5 2 2 3 2 2 2" xfId="37587" xr:uid="{00000000-0005-0000-0000-0000341C0000}"/>
    <cellStyle name="Normal 2 2 2 2 2 5 2 2 3 2 3" xfId="28557" xr:uid="{00000000-0005-0000-0000-0000351C0000}"/>
    <cellStyle name="Normal 2 2 2 2 2 5 2 2 3 3" xfId="13053" xr:uid="{00000000-0005-0000-0000-0000361C0000}"/>
    <cellStyle name="Normal 2 2 2 2 2 5 2 2 3 3 2" xfId="33105" xr:uid="{00000000-0005-0000-0000-0000371C0000}"/>
    <cellStyle name="Normal 2 2 2 2 2 5 2 2 3 4" xfId="24075" xr:uid="{00000000-0005-0000-0000-0000381C0000}"/>
    <cellStyle name="Normal 2 2 2 2 2 5 2 2 4" xfId="5517" xr:uid="{00000000-0005-0000-0000-0000391C0000}"/>
    <cellStyle name="Normal 2 2 2 2 2 5 2 2 4 2" xfId="14547" xr:uid="{00000000-0005-0000-0000-00003A1C0000}"/>
    <cellStyle name="Normal 2 2 2 2 2 5 2 2 4 2 2" xfId="34599" xr:uid="{00000000-0005-0000-0000-00003B1C0000}"/>
    <cellStyle name="Normal 2 2 2 2 2 5 2 2 4 3" xfId="25569" xr:uid="{00000000-0005-0000-0000-00003C1C0000}"/>
    <cellStyle name="Normal 2 2 2 2 2 5 2 2 5" xfId="10065" xr:uid="{00000000-0005-0000-0000-00003D1C0000}"/>
    <cellStyle name="Normal 2 2 2 2 2 5 2 2 5 2" xfId="30117" xr:uid="{00000000-0005-0000-0000-00003E1C0000}"/>
    <cellStyle name="Normal 2 2 2 2 2 5 2 2 6" xfId="21087" xr:uid="{00000000-0005-0000-0000-00003F1C0000}"/>
    <cellStyle name="Normal 2 2 2 2 2 5 2 3" xfId="1786" xr:uid="{00000000-0005-0000-0000-0000401C0000}"/>
    <cellStyle name="Normal 2 2 2 2 2 5 2 3 2" xfId="6268" xr:uid="{00000000-0005-0000-0000-0000411C0000}"/>
    <cellStyle name="Normal 2 2 2 2 2 5 2 3 2 2" xfId="15298" xr:uid="{00000000-0005-0000-0000-0000421C0000}"/>
    <cellStyle name="Normal 2 2 2 2 2 5 2 3 2 2 2" xfId="35350" xr:uid="{00000000-0005-0000-0000-0000431C0000}"/>
    <cellStyle name="Normal 2 2 2 2 2 5 2 3 2 3" xfId="26320" xr:uid="{00000000-0005-0000-0000-0000441C0000}"/>
    <cellStyle name="Normal 2 2 2 2 2 5 2 3 3" xfId="10816" xr:uid="{00000000-0005-0000-0000-0000451C0000}"/>
    <cellStyle name="Normal 2 2 2 2 2 5 2 3 3 2" xfId="30868" xr:uid="{00000000-0005-0000-0000-0000461C0000}"/>
    <cellStyle name="Normal 2 2 2 2 2 5 2 3 4" xfId="21838" xr:uid="{00000000-0005-0000-0000-0000471C0000}"/>
    <cellStyle name="Normal 2 2 2 2 2 5 2 4" xfId="3280" xr:uid="{00000000-0005-0000-0000-0000481C0000}"/>
    <cellStyle name="Normal 2 2 2 2 2 5 2 4 2" xfId="7762" xr:uid="{00000000-0005-0000-0000-0000491C0000}"/>
    <cellStyle name="Normal 2 2 2 2 2 5 2 4 2 2" xfId="16792" xr:uid="{00000000-0005-0000-0000-00004A1C0000}"/>
    <cellStyle name="Normal 2 2 2 2 2 5 2 4 2 2 2" xfId="36844" xr:uid="{00000000-0005-0000-0000-00004B1C0000}"/>
    <cellStyle name="Normal 2 2 2 2 2 5 2 4 2 3" xfId="27814" xr:uid="{00000000-0005-0000-0000-00004C1C0000}"/>
    <cellStyle name="Normal 2 2 2 2 2 5 2 4 3" xfId="12310" xr:uid="{00000000-0005-0000-0000-00004D1C0000}"/>
    <cellStyle name="Normal 2 2 2 2 2 5 2 4 3 2" xfId="32362" xr:uid="{00000000-0005-0000-0000-00004E1C0000}"/>
    <cellStyle name="Normal 2 2 2 2 2 5 2 4 4" xfId="23332" xr:uid="{00000000-0005-0000-0000-00004F1C0000}"/>
    <cellStyle name="Normal 2 2 2 2 2 5 2 5" xfId="4774" xr:uid="{00000000-0005-0000-0000-0000501C0000}"/>
    <cellStyle name="Normal 2 2 2 2 2 5 2 5 2" xfId="13804" xr:uid="{00000000-0005-0000-0000-0000511C0000}"/>
    <cellStyle name="Normal 2 2 2 2 2 5 2 5 2 2" xfId="33856" xr:uid="{00000000-0005-0000-0000-0000521C0000}"/>
    <cellStyle name="Normal 2 2 2 2 2 5 2 5 3" xfId="24826" xr:uid="{00000000-0005-0000-0000-0000531C0000}"/>
    <cellStyle name="Normal 2 2 2 2 2 5 2 6" xfId="9322" xr:uid="{00000000-0005-0000-0000-0000541C0000}"/>
    <cellStyle name="Normal 2 2 2 2 2 5 2 6 2" xfId="29374" xr:uid="{00000000-0005-0000-0000-0000551C0000}"/>
    <cellStyle name="Normal 2 2 2 2 2 5 2 7" xfId="20344" xr:uid="{00000000-0005-0000-0000-0000561C0000}"/>
    <cellStyle name="Normal 2 2 2 2 2 5 3" xfId="478" xr:uid="{00000000-0005-0000-0000-0000571C0000}"/>
    <cellStyle name="Normal 2 2 2 2 2 5 3 2" xfId="1225" xr:uid="{00000000-0005-0000-0000-0000581C0000}"/>
    <cellStyle name="Normal 2 2 2 2 2 5 3 2 2" xfId="2719" xr:uid="{00000000-0005-0000-0000-0000591C0000}"/>
    <cellStyle name="Normal 2 2 2 2 2 5 3 2 2 2" xfId="7201" xr:uid="{00000000-0005-0000-0000-00005A1C0000}"/>
    <cellStyle name="Normal 2 2 2 2 2 5 3 2 2 2 2" xfId="16231" xr:uid="{00000000-0005-0000-0000-00005B1C0000}"/>
    <cellStyle name="Normal 2 2 2 2 2 5 3 2 2 2 2 2" xfId="36283" xr:uid="{00000000-0005-0000-0000-00005C1C0000}"/>
    <cellStyle name="Normal 2 2 2 2 2 5 3 2 2 2 3" xfId="27253" xr:uid="{00000000-0005-0000-0000-00005D1C0000}"/>
    <cellStyle name="Normal 2 2 2 2 2 5 3 2 2 3" xfId="11749" xr:uid="{00000000-0005-0000-0000-00005E1C0000}"/>
    <cellStyle name="Normal 2 2 2 2 2 5 3 2 2 3 2" xfId="31801" xr:uid="{00000000-0005-0000-0000-00005F1C0000}"/>
    <cellStyle name="Normal 2 2 2 2 2 5 3 2 2 4" xfId="22771" xr:uid="{00000000-0005-0000-0000-0000601C0000}"/>
    <cellStyle name="Normal 2 2 2 2 2 5 3 2 3" xfId="4213" xr:uid="{00000000-0005-0000-0000-0000611C0000}"/>
    <cellStyle name="Normal 2 2 2 2 2 5 3 2 3 2" xfId="8695" xr:uid="{00000000-0005-0000-0000-0000621C0000}"/>
    <cellStyle name="Normal 2 2 2 2 2 5 3 2 3 2 2" xfId="17725" xr:uid="{00000000-0005-0000-0000-0000631C0000}"/>
    <cellStyle name="Normal 2 2 2 2 2 5 3 2 3 2 2 2" xfId="37777" xr:uid="{00000000-0005-0000-0000-0000641C0000}"/>
    <cellStyle name="Normal 2 2 2 2 2 5 3 2 3 2 3" xfId="28747" xr:uid="{00000000-0005-0000-0000-0000651C0000}"/>
    <cellStyle name="Normal 2 2 2 2 2 5 3 2 3 3" xfId="13243" xr:uid="{00000000-0005-0000-0000-0000661C0000}"/>
    <cellStyle name="Normal 2 2 2 2 2 5 3 2 3 3 2" xfId="33295" xr:uid="{00000000-0005-0000-0000-0000671C0000}"/>
    <cellStyle name="Normal 2 2 2 2 2 5 3 2 3 4" xfId="24265" xr:uid="{00000000-0005-0000-0000-0000681C0000}"/>
    <cellStyle name="Normal 2 2 2 2 2 5 3 2 4" xfId="5707" xr:uid="{00000000-0005-0000-0000-0000691C0000}"/>
    <cellStyle name="Normal 2 2 2 2 2 5 3 2 4 2" xfId="14737" xr:uid="{00000000-0005-0000-0000-00006A1C0000}"/>
    <cellStyle name="Normal 2 2 2 2 2 5 3 2 4 2 2" xfId="34789" xr:uid="{00000000-0005-0000-0000-00006B1C0000}"/>
    <cellStyle name="Normal 2 2 2 2 2 5 3 2 4 3" xfId="25759" xr:uid="{00000000-0005-0000-0000-00006C1C0000}"/>
    <cellStyle name="Normal 2 2 2 2 2 5 3 2 5" xfId="10255" xr:uid="{00000000-0005-0000-0000-00006D1C0000}"/>
    <cellStyle name="Normal 2 2 2 2 2 5 3 2 5 2" xfId="30307" xr:uid="{00000000-0005-0000-0000-00006E1C0000}"/>
    <cellStyle name="Normal 2 2 2 2 2 5 3 2 6" xfId="21277" xr:uid="{00000000-0005-0000-0000-00006F1C0000}"/>
    <cellStyle name="Normal 2 2 2 2 2 5 3 3" xfId="1972" xr:uid="{00000000-0005-0000-0000-0000701C0000}"/>
    <cellStyle name="Normal 2 2 2 2 2 5 3 3 2" xfId="6454" xr:uid="{00000000-0005-0000-0000-0000711C0000}"/>
    <cellStyle name="Normal 2 2 2 2 2 5 3 3 2 2" xfId="15484" xr:uid="{00000000-0005-0000-0000-0000721C0000}"/>
    <cellStyle name="Normal 2 2 2 2 2 5 3 3 2 2 2" xfId="35536" xr:uid="{00000000-0005-0000-0000-0000731C0000}"/>
    <cellStyle name="Normal 2 2 2 2 2 5 3 3 2 3" xfId="26506" xr:uid="{00000000-0005-0000-0000-0000741C0000}"/>
    <cellStyle name="Normal 2 2 2 2 2 5 3 3 3" xfId="11002" xr:uid="{00000000-0005-0000-0000-0000751C0000}"/>
    <cellStyle name="Normal 2 2 2 2 2 5 3 3 3 2" xfId="31054" xr:uid="{00000000-0005-0000-0000-0000761C0000}"/>
    <cellStyle name="Normal 2 2 2 2 2 5 3 3 4" xfId="22024" xr:uid="{00000000-0005-0000-0000-0000771C0000}"/>
    <cellStyle name="Normal 2 2 2 2 2 5 3 4" xfId="3466" xr:uid="{00000000-0005-0000-0000-0000781C0000}"/>
    <cellStyle name="Normal 2 2 2 2 2 5 3 4 2" xfId="7948" xr:uid="{00000000-0005-0000-0000-0000791C0000}"/>
    <cellStyle name="Normal 2 2 2 2 2 5 3 4 2 2" xfId="16978" xr:uid="{00000000-0005-0000-0000-00007A1C0000}"/>
    <cellStyle name="Normal 2 2 2 2 2 5 3 4 2 2 2" xfId="37030" xr:uid="{00000000-0005-0000-0000-00007B1C0000}"/>
    <cellStyle name="Normal 2 2 2 2 2 5 3 4 2 3" xfId="28000" xr:uid="{00000000-0005-0000-0000-00007C1C0000}"/>
    <cellStyle name="Normal 2 2 2 2 2 5 3 4 3" xfId="12496" xr:uid="{00000000-0005-0000-0000-00007D1C0000}"/>
    <cellStyle name="Normal 2 2 2 2 2 5 3 4 3 2" xfId="32548" xr:uid="{00000000-0005-0000-0000-00007E1C0000}"/>
    <cellStyle name="Normal 2 2 2 2 2 5 3 4 4" xfId="23518" xr:uid="{00000000-0005-0000-0000-00007F1C0000}"/>
    <cellStyle name="Normal 2 2 2 2 2 5 3 5" xfId="4960" xr:uid="{00000000-0005-0000-0000-0000801C0000}"/>
    <cellStyle name="Normal 2 2 2 2 2 5 3 5 2" xfId="13990" xr:uid="{00000000-0005-0000-0000-0000811C0000}"/>
    <cellStyle name="Normal 2 2 2 2 2 5 3 5 2 2" xfId="34042" xr:uid="{00000000-0005-0000-0000-0000821C0000}"/>
    <cellStyle name="Normal 2 2 2 2 2 5 3 5 3" xfId="25012" xr:uid="{00000000-0005-0000-0000-0000831C0000}"/>
    <cellStyle name="Normal 2 2 2 2 2 5 3 6" xfId="9508" xr:uid="{00000000-0005-0000-0000-0000841C0000}"/>
    <cellStyle name="Normal 2 2 2 2 2 5 3 6 2" xfId="29560" xr:uid="{00000000-0005-0000-0000-0000851C0000}"/>
    <cellStyle name="Normal 2 2 2 2 2 5 3 7" xfId="20530" xr:uid="{00000000-0005-0000-0000-0000861C0000}"/>
    <cellStyle name="Normal 2 2 2 2 2 5 4" xfId="664" xr:uid="{00000000-0005-0000-0000-0000871C0000}"/>
    <cellStyle name="Normal 2 2 2 2 2 5 4 2" xfId="1411" xr:uid="{00000000-0005-0000-0000-0000881C0000}"/>
    <cellStyle name="Normal 2 2 2 2 2 5 4 2 2" xfId="2905" xr:uid="{00000000-0005-0000-0000-0000891C0000}"/>
    <cellStyle name="Normal 2 2 2 2 2 5 4 2 2 2" xfId="7387" xr:uid="{00000000-0005-0000-0000-00008A1C0000}"/>
    <cellStyle name="Normal 2 2 2 2 2 5 4 2 2 2 2" xfId="16417" xr:uid="{00000000-0005-0000-0000-00008B1C0000}"/>
    <cellStyle name="Normal 2 2 2 2 2 5 4 2 2 2 2 2" xfId="36469" xr:uid="{00000000-0005-0000-0000-00008C1C0000}"/>
    <cellStyle name="Normal 2 2 2 2 2 5 4 2 2 2 3" xfId="27439" xr:uid="{00000000-0005-0000-0000-00008D1C0000}"/>
    <cellStyle name="Normal 2 2 2 2 2 5 4 2 2 3" xfId="11935" xr:uid="{00000000-0005-0000-0000-00008E1C0000}"/>
    <cellStyle name="Normal 2 2 2 2 2 5 4 2 2 3 2" xfId="31987" xr:uid="{00000000-0005-0000-0000-00008F1C0000}"/>
    <cellStyle name="Normal 2 2 2 2 2 5 4 2 2 4" xfId="22957" xr:uid="{00000000-0005-0000-0000-0000901C0000}"/>
    <cellStyle name="Normal 2 2 2 2 2 5 4 2 3" xfId="4399" xr:uid="{00000000-0005-0000-0000-0000911C0000}"/>
    <cellStyle name="Normal 2 2 2 2 2 5 4 2 3 2" xfId="8881" xr:uid="{00000000-0005-0000-0000-0000921C0000}"/>
    <cellStyle name="Normal 2 2 2 2 2 5 4 2 3 2 2" xfId="17911" xr:uid="{00000000-0005-0000-0000-0000931C0000}"/>
    <cellStyle name="Normal 2 2 2 2 2 5 4 2 3 2 2 2" xfId="37963" xr:uid="{00000000-0005-0000-0000-0000941C0000}"/>
    <cellStyle name="Normal 2 2 2 2 2 5 4 2 3 2 3" xfId="28933" xr:uid="{00000000-0005-0000-0000-0000951C0000}"/>
    <cellStyle name="Normal 2 2 2 2 2 5 4 2 3 3" xfId="13429" xr:uid="{00000000-0005-0000-0000-0000961C0000}"/>
    <cellStyle name="Normal 2 2 2 2 2 5 4 2 3 3 2" xfId="33481" xr:uid="{00000000-0005-0000-0000-0000971C0000}"/>
    <cellStyle name="Normal 2 2 2 2 2 5 4 2 3 4" xfId="24451" xr:uid="{00000000-0005-0000-0000-0000981C0000}"/>
    <cellStyle name="Normal 2 2 2 2 2 5 4 2 4" xfId="5893" xr:uid="{00000000-0005-0000-0000-0000991C0000}"/>
    <cellStyle name="Normal 2 2 2 2 2 5 4 2 4 2" xfId="14923" xr:uid="{00000000-0005-0000-0000-00009A1C0000}"/>
    <cellStyle name="Normal 2 2 2 2 2 5 4 2 4 2 2" xfId="34975" xr:uid="{00000000-0005-0000-0000-00009B1C0000}"/>
    <cellStyle name="Normal 2 2 2 2 2 5 4 2 4 3" xfId="25945" xr:uid="{00000000-0005-0000-0000-00009C1C0000}"/>
    <cellStyle name="Normal 2 2 2 2 2 5 4 2 5" xfId="10441" xr:uid="{00000000-0005-0000-0000-00009D1C0000}"/>
    <cellStyle name="Normal 2 2 2 2 2 5 4 2 5 2" xfId="30493" xr:uid="{00000000-0005-0000-0000-00009E1C0000}"/>
    <cellStyle name="Normal 2 2 2 2 2 5 4 2 6" xfId="21463" xr:uid="{00000000-0005-0000-0000-00009F1C0000}"/>
    <cellStyle name="Normal 2 2 2 2 2 5 4 3" xfId="2158" xr:uid="{00000000-0005-0000-0000-0000A01C0000}"/>
    <cellStyle name="Normal 2 2 2 2 2 5 4 3 2" xfId="6640" xr:uid="{00000000-0005-0000-0000-0000A11C0000}"/>
    <cellStyle name="Normal 2 2 2 2 2 5 4 3 2 2" xfId="15670" xr:uid="{00000000-0005-0000-0000-0000A21C0000}"/>
    <cellStyle name="Normal 2 2 2 2 2 5 4 3 2 2 2" xfId="35722" xr:uid="{00000000-0005-0000-0000-0000A31C0000}"/>
    <cellStyle name="Normal 2 2 2 2 2 5 4 3 2 3" xfId="26692" xr:uid="{00000000-0005-0000-0000-0000A41C0000}"/>
    <cellStyle name="Normal 2 2 2 2 2 5 4 3 3" xfId="11188" xr:uid="{00000000-0005-0000-0000-0000A51C0000}"/>
    <cellStyle name="Normal 2 2 2 2 2 5 4 3 3 2" xfId="31240" xr:uid="{00000000-0005-0000-0000-0000A61C0000}"/>
    <cellStyle name="Normal 2 2 2 2 2 5 4 3 4" xfId="22210" xr:uid="{00000000-0005-0000-0000-0000A71C0000}"/>
    <cellStyle name="Normal 2 2 2 2 2 5 4 4" xfId="3652" xr:uid="{00000000-0005-0000-0000-0000A81C0000}"/>
    <cellStyle name="Normal 2 2 2 2 2 5 4 4 2" xfId="8134" xr:uid="{00000000-0005-0000-0000-0000A91C0000}"/>
    <cellStyle name="Normal 2 2 2 2 2 5 4 4 2 2" xfId="17164" xr:uid="{00000000-0005-0000-0000-0000AA1C0000}"/>
    <cellStyle name="Normal 2 2 2 2 2 5 4 4 2 2 2" xfId="37216" xr:uid="{00000000-0005-0000-0000-0000AB1C0000}"/>
    <cellStyle name="Normal 2 2 2 2 2 5 4 4 2 3" xfId="28186" xr:uid="{00000000-0005-0000-0000-0000AC1C0000}"/>
    <cellStyle name="Normal 2 2 2 2 2 5 4 4 3" xfId="12682" xr:uid="{00000000-0005-0000-0000-0000AD1C0000}"/>
    <cellStyle name="Normal 2 2 2 2 2 5 4 4 3 2" xfId="32734" xr:uid="{00000000-0005-0000-0000-0000AE1C0000}"/>
    <cellStyle name="Normal 2 2 2 2 2 5 4 4 4" xfId="23704" xr:uid="{00000000-0005-0000-0000-0000AF1C0000}"/>
    <cellStyle name="Normal 2 2 2 2 2 5 4 5" xfId="5146" xr:uid="{00000000-0005-0000-0000-0000B01C0000}"/>
    <cellStyle name="Normal 2 2 2 2 2 5 4 5 2" xfId="14176" xr:uid="{00000000-0005-0000-0000-0000B11C0000}"/>
    <cellStyle name="Normal 2 2 2 2 2 5 4 5 2 2" xfId="34228" xr:uid="{00000000-0005-0000-0000-0000B21C0000}"/>
    <cellStyle name="Normal 2 2 2 2 2 5 4 5 3" xfId="25198" xr:uid="{00000000-0005-0000-0000-0000B31C0000}"/>
    <cellStyle name="Normal 2 2 2 2 2 5 4 6" xfId="9694" xr:uid="{00000000-0005-0000-0000-0000B41C0000}"/>
    <cellStyle name="Normal 2 2 2 2 2 5 4 6 2" xfId="29746" xr:uid="{00000000-0005-0000-0000-0000B51C0000}"/>
    <cellStyle name="Normal 2 2 2 2 2 5 4 7" xfId="20716" xr:uid="{00000000-0005-0000-0000-0000B61C0000}"/>
    <cellStyle name="Normal 2 2 2 2 2 5 5" xfId="851" xr:uid="{00000000-0005-0000-0000-0000B71C0000}"/>
    <cellStyle name="Normal 2 2 2 2 2 5 5 2" xfId="2345" xr:uid="{00000000-0005-0000-0000-0000B81C0000}"/>
    <cellStyle name="Normal 2 2 2 2 2 5 5 2 2" xfId="6827" xr:uid="{00000000-0005-0000-0000-0000B91C0000}"/>
    <cellStyle name="Normal 2 2 2 2 2 5 5 2 2 2" xfId="15857" xr:uid="{00000000-0005-0000-0000-0000BA1C0000}"/>
    <cellStyle name="Normal 2 2 2 2 2 5 5 2 2 2 2" xfId="35909" xr:uid="{00000000-0005-0000-0000-0000BB1C0000}"/>
    <cellStyle name="Normal 2 2 2 2 2 5 5 2 2 3" xfId="26879" xr:uid="{00000000-0005-0000-0000-0000BC1C0000}"/>
    <cellStyle name="Normal 2 2 2 2 2 5 5 2 3" xfId="11375" xr:uid="{00000000-0005-0000-0000-0000BD1C0000}"/>
    <cellStyle name="Normal 2 2 2 2 2 5 5 2 3 2" xfId="31427" xr:uid="{00000000-0005-0000-0000-0000BE1C0000}"/>
    <cellStyle name="Normal 2 2 2 2 2 5 5 2 4" xfId="22397" xr:uid="{00000000-0005-0000-0000-0000BF1C0000}"/>
    <cellStyle name="Normal 2 2 2 2 2 5 5 3" xfId="3839" xr:uid="{00000000-0005-0000-0000-0000C01C0000}"/>
    <cellStyle name="Normal 2 2 2 2 2 5 5 3 2" xfId="8321" xr:uid="{00000000-0005-0000-0000-0000C11C0000}"/>
    <cellStyle name="Normal 2 2 2 2 2 5 5 3 2 2" xfId="17351" xr:uid="{00000000-0005-0000-0000-0000C21C0000}"/>
    <cellStyle name="Normal 2 2 2 2 2 5 5 3 2 2 2" xfId="37403" xr:uid="{00000000-0005-0000-0000-0000C31C0000}"/>
    <cellStyle name="Normal 2 2 2 2 2 5 5 3 2 3" xfId="28373" xr:uid="{00000000-0005-0000-0000-0000C41C0000}"/>
    <cellStyle name="Normal 2 2 2 2 2 5 5 3 3" xfId="12869" xr:uid="{00000000-0005-0000-0000-0000C51C0000}"/>
    <cellStyle name="Normal 2 2 2 2 2 5 5 3 3 2" xfId="32921" xr:uid="{00000000-0005-0000-0000-0000C61C0000}"/>
    <cellStyle name="Normal 2 2 2 2 2 5 5 3 4" xfId="23891" xr:uid="{00000000-0005-0000-0000-0000C71C0000}"/>
    <cellStyle name="Normal 2 2 2 2 2 5 5 4" xfId="5333" xr:uid="{00000000-0005-0000-0000-0000C81C0000}"/>
    <cellStyle name="Normal 2 2 2 2 2 5 5 4 2" xfId="14363" xr:uid="{00000000-0005-0000-0000-0000C91C0000}"/>
    <cellStyle name="Normal 2 2 2 2 2 5 5 4 2 2" xfId="34415" xr:uid="{00000000-0005-0000-0000-0000CA1C0000}"/>
    <cellStyle name="Normal 2 2 2 2 2 5 5 4 3" xfId="25385" xr:uid="{00000000-0005-0000-0000-0000CB1C0000}"/>
    <cellStyle name="Normal 2 2 2 2 2 5 5 5" xfId="9881" xr:uid="{00000000-0005-0000-0000-0000CC1C0000}"/>
    <cellStyle name="Normal 2 2 2 2 2 5 5 5 2" xfId="29933" xr:uid="{00000000-0005-0000-0000-0000CD1C0000}"/>
    <cellStyle name="Normal 2 2 2 2 2 5 5 6" xfId="20903" xr:uid="{00000000-0005-0000-0000-0000CE1C0000}"/>
    <cellStyle name="Normal 2 2 2 2 2 5 6" xfId="1600" xr:uid="{00000000-0005-0000-0000-0000CF1C0000}"/>
    <cellStyle name="Normal 2 2 2 2 2 5 6 2" xfId="6082" xr:uid="{00000000-0005-0000-0000-0000D01C0000}"/>
    <cellStyle name="Normal 2 2 2 2 2 5 6 2 2" xfId="15112" xr:uid="{00000000-0005-0000-0000-0000D11C0000}"/>
    <cellStyle name="Normal 2 2 2 2 2 5 6 2 2 2" xfId="35164" xr:uid="{00000000-0005-0000-0000-0000D21C0000}"/>
    <cellStyle name="Normal 2 2 2 2 2 5 6 2 3" xfId="26134" xr:uid="{00000000-0005-0000-0000-0000D31C0000}"/>
    <cellStyle name="Normal 2 2 2 2 2 5 6 3" xfId="10630" xr:uid="{00000000-0005-0000-0000-0000D41C0000}"/>
    <cellStyle name="Normal 2 2 2 2 2 5 6 3 2" xfId="30682" xr:uid="{00000000-0005-0000-0000-0000D51C0000}"/>
    <cellStyle name="Normal 2 2 2 2 2 5 6 4" xfId="21652" xr:uid="{00000000-0005-0000-0000-0000D61C0000}"/>
    <cellStyle name="Normal 2 2 2 2 2 5 7" xfId="3094" xr:uid="{00000000-0005-0000-0000-0000D71C0000}"/>
    <cellStyle name="Normal 2 2 2 2 2 5 7 2" xfId="7576" xr:uid="{00000000-0005-0000-0000-0000D81C0000}"/>
    <cellStyle name="Normal 2 2 2 2 2 5 7 2 2" xfId="16606" xr:uid="{00000000-0005-0000-0000-0000D91C0000}"/>
    <cellStyle name="Normal 2 2 2 2 2 5 7 2 2 2" xfId="36658" xr:uid="{00000000-0005-0000-0000-0000DA1C0000}"/>
    <cellStyle name="Normal 2 2 2 2 2 5 7 2 3" xfId="27628" xr:uid="{00000000-0005-0000-0000-0000DB1C0000}"/>
    <cellStyle name="Normal 2 2 2 2 2 5 7 3" xfId="12124" xr:uid="{00000000-0005-0000-0000-0000DC1C0000}"/>
    <cellStyle name="Normal 2 2 2 2 2 5 7 3 2" xfId="32176" xr:uid="{00000000-0005-0000-0000-0000DD1C0000}"/>
    <cellStyle name="Normal 2 2 2 2 2 5 7 4" xfId="23146" xr:uid="{00000000-0005-0000-0000-0000DE1C0000}"/>
    <cellStyle name="Normal 2 2 2 2 2 5 8" xfId="4588" xr:uid="{00000000-0005-0000-0000-0000DF1C0000}"/>
    <cellStyle name="Normal 2 2 2 2 2 5 8 2" xfId="13618" xr:uid="{00000000-0005-0000-0000-0000E01C0000}"/>
    <cellStyle name="Normal 2 2 2 2 2 5 8 2 2" xfId="33670" xr:uid="{00000000-0005-0000-0000-0000E11C0000}"/>
    <cellStyle name="Normal 2 2 2 2 2 5 8 3" xfId="24640" xr:uid="{00000000-0005-0000-0000-0000E21C0000}"/>
    <cellStyle name="Normal 2 2 2 2 2 5 9" xfId="9136" xr:uid="{00000000-0005-0000-0000-0000E31C0000}"/>
    <cellStyle name="Normal 2 2 2 2 2 5 9 2" xfId="29188" xr:uid="{00000000-0005-0000-0000-0000E41C0000}"/>
    <cellStyle name="Normal 2 2 2 2 2 6" xfId="147" xr:uid="{00000000-0005-0000-0000-0000E51C0000}"/>
    <cellStyle name="Normal 2 2 2 2 2 6 10" xfId="20199" xr:uid="{00000000-0005-0000-0000-0000E61C0000}"/>
    <cellStyle name="Normal 2 2 2 2 2 6 2" xfId="333" xr:uid="{00000000-0005-0000-0000-0000E71C0000}"/>
    <cellStyle name="Normal 2 2 2 2 2 6 2 2" xfId="1076" xr:uid="{00000000-0005-0000-0000-0000E81C0000}"/>
    <cellStyle name="Normal 2 2 2 2 2 6 2 2 2" xfId="2570" xr:uid="{00000000-0005-0000-0000-0000E91C0000}"/>
    <cellStyle name="Normal 2 2 2 2 2 6 2 2 2 2" xfId="7052" xr:uid="{00000000-0005-0000-0000-0000EA1C0000}"/>
    <cellStyle name="Normal 2 2 2 2 2 6 2 2 2 2 2" xfId="16082" xr:uid="{00000000-0005-0000-0000-0000EB1C0000}"/>
    <cellStyle name="Normal 2 2 2 2 2 6 2 2 2 2 2 2" xfId="36134" xr:uid="{00000000-0005-0000-0000-0000EC1C0000}"/>
    <cellStyle name="Normal 2 2 2 2 2 6 2 2 2 2 3" xfId="27104" xr:uid="{00000000-0005-0000-0000-0000ED1C0000}"/>
    <cellStyle name="Normal 2 2 2 2 2 6 2 2 2 3" xfId="11600" xr:uid="{00000000-0005-0000-0000-0000EE1C0000}"/>
    <cellStyle name="Normal 2 2 2 2 2 6 2 2 2 3 2" xfId="31652" xr:uid="{00000000-0005-0000-0000-0000EF1C0000}"/>
    <cellStyle name="Normal 2 2 2 2 2 6 2 2 2 4" xfId="22622" xr:uid="{00000000-0005-0000-0000-0000F01C0000}"/>
    <cellStyle name="Normal 2 2 2 2 2 6 2 2 3" xfId="4064" xr:uid="{00000000-0005-0000-0000-0000F11C0000}"/>
    <cellStyle name="Normal 2 2 2 2 2 6 2 2 3 2" xfId="8546" xr:uid="{00000000-0005-0000-0000-0000F21C0000}"/>
    <cellStyle name="Normal 2 2 2 2 2 6 2 2 3 2 2" xfId="17576" xr:uid="{00000000-0005-0000-0000-0000F31C0000}"/>
    <cellStyle name="Normal 2 2 2 2 2 6 2 2 3 2 2 2" xfId="37628" xr:uid="{00000000-0005-0000-0000-0000F41C0000}"/>
    <cellStyle name="Normal 2 2 2 2 2 6 2 2 3 2 3" xfId="28598" xr:uid="{00000000-0005-0000-0000-0000F51C0000}"/>
    <cellStyle name="Normal 2 2 2 2 2 6 2 2 3 3" xfId="13094" xr:uid="{00000000-0005-0000-0000-0000F61C0000}"/>
    <cellStyle name="Normal 2 2 2 2 2 6 2 2 3 3 2" xfId="33146" xr:uid="{00000000-0005-0000-0000-0000F71C0000}"/>
    <cellStyle name="Normal 2 2 2 2 2 6 2 2 3 4" xfId="24116" xr:uid="{00000000-0005-0000-0000-0000F81C0000}"/>
    <cellStyle name="Normal 2 2 2 2 2 6 2 2 4" xfId="5558" xr:uid="{00000000-0005-0000-0000-0000F91C0000}"/>
    <cellStyle name="Normal 2 2 2 2 2 6 2 2 4 2" xfId="14588" xr:uid="{00000000-0005-0000-0000-0000FA1C0000}"/>
    <cellStyle name="Normal 2 2 2 2 2 6 2 2 4 2 2" xfId="34640" xr:uid="{00000000-0005-0000-0000-0000FB1C0000}"/>
    <cellStyle name="Normal 2 2 2 2 2 6 2 2 4 3" xfId="25610" xr:uid="{00000000-0005-0000-0000-0000FC1C0000}"/>
    <cellStyle name="Normal 2 2 2 2 2 6 2 2 5" xfId="10106" xr:uid="{00000000-0005-0000-0000-0000FD1C0000}"/>
    <cellStyle name="Normal 2 2 2 2 2 6 2 2 5 2" xfId="30158" xr:uid="{00000000-0005-0000-0000-0000FE1C0000}"/>
    <cellStyle name="Normal 2 2 2 2 2 6 2 2 6" xfId="21128" xr:uid="{00000000-0005-0000-0000-0000FF1C0000}"/>
    <cellStyle name="Normal 2 2 2 2 2 6 2 3" xfId="1827" xr:uid="{00000000-0005-0000-0000-0000001D0000}"/>
    <cellStyle name="Normal 2 2 2 2 2 6 2 3 2" xfId="6309" xr:uid="{00000000-0005-0000-0000-0000011D0000}"/>
    <cellStyle name="Normal 2 2 2 2 2 6 2 3 2 2" xfId="15339" xr:uid="{00000000-0005-0000-0000-0000021D0000}"/>
    <cellStyle name="Normal 2 2 2 2 2 6 2 3 2 2 2" xfId="35391" xr:uid="{00000000-0005-0000-0000-0000031D0000}"/>
    <cellStyle name="Normal 2 2 2 2 2 6 2 3 2 3" xfId="26361" xr:uid="{00000000-0005-0000-0000-0000041D0000}"/>
    <cellStyle name="Normal 2 2 2 2 2 6 2 3 3" xfId="10857" xr:uid="{00000000-0005-0000-0000-0000051D0000}"/>
    <cellStyle name="Normal 2 2 2 2 2 6 2 3 3 2" xfId="30909" xr:uid="{00000000-0005-0000-0000-0000061D0000}"/>
    <cellStyle name="Normal 2 2 2 2 2 6 2 3 4" xfId="21879" xr:uid="{00000000-0005-0000-0000-0000071D0000}"/>
    <cellStyle name="Normal 2 2 2 2 2 6 2 4" xfId="3321" xr:uid="{00000000-0005-0000-0000-0000081D0000}"/>
    <cellStyle name="Normal 2 2 2 2 2 6 2 4 2" xfId="7803" xr:uid="{00000000-0005-0000-0000-0000091D0000}"/>
    <cellStyle name="Normal 2 2 2 2 2 6 2 4 2 2" xfId="16833" xr:uid="{00000000-0005-0000-0000-00000A1D0000}"/>
    <cellStyle name="Normal 2 2 2 2 2 6 2 4 2 2 2" xfId="36885" xr:uid="{00000000-0005-0000-0000-00000B1D0000}"/>
    <cellStyle name="Normal 2 2 2 2 2 6 2 4 2 3" xfId="27855" xr:uid="{00000000-0005-0000-0000-00000C1D0000}"/>
    <cellStyle name="Normal 2 2 2 2 2 6 2 4 3" xfId="12351" xr:uid="{00000000-0005-0000-0000-00000D1D0000}"/>
    <cellStyle name="Normal 2 2 2 2 2 6 2 4 3 2" xfId="32403" xr:uid="{00000000-0005-0000-0000-00000E1D0000}"/>
    <cellStyle name="Normal 2 2 2 2 2 6 2 4 4" xfId="23373" xr:uid="{00000000-0005-0000-0000-00000F1D0000}"/>
    <cellStyle name="Normal 2 2 2 2 2 6 2 5" xfId="4815" xr:uid="{00000000-0005-0000-0000-0000101D0000}"/>
    <cellStyle name="Normal 2 2 2 2 2 6 2 5 2" xfId="13845" xr:uid="{00000000-0005-0000-0000-0000111D0000}"/>
    <cellStyle name="Normal 2 2 2 2 2 6 2 5 2 2" xfId="33897" xr:uid="{00000000-0005-0000-0000-0000121D0000}"/>
    <cellStyle name="Normal 2 2 2 2 2 6 2 5 3" xfId="24867" xr:uid="{00000000-0005-0000-0000-0000131D0000}"/>
    <cellStyle name="Normal 2 2 2 2 2 6 2 6" xfId="9363" xr:uid="{00000000-0005-0000-0000-0000141D0000}"/>
    <cellStyle name="Normal 2 2 2 2 2 6 2 6 2" xfId="29415" xr:uid="{00000000-0005-0000-0000-0000151D0000}"/>
    <cellStyle name="Normal 2 2 2 2 2 6 2 7" xfId="20385" xr:uid="{00000000-0005-0000-0000-0000161D0000}"/>
    <cellStyle name="Normal 2 2 2 2 2 6 3" xfId="519" xr:uid="{00000000-0005-0000-0000-0000171D0000}"/>
    <cellStyle name="Normal 2 2 2 2 2 6 3 2" xfId="1266" xr:uid="{00000000-0005-0000-0000-0000181D0000}"/>
    <cellStyle name="Normal 2 2 2 2 2 6 3 2 2" xfId="2760" xr:uid="{00000000-0005-0000-0000-0000191D0000}"/>
    <cellStyle name="Normal 2 2 2 2 2 6 3 2 2 2" xfId="7242" xr:uid="{00000000-0005-0000-0000-00001A1D0000}"/>
    <cellStyle name="Normal 2 2 2 2 2 6 3 2 2 2 2" xfId="16272" xr:uid="{00000000-0005-0000-0000-00001B1D0000}"/>
    <cellStyle name="Normal 2 2 2 2 2 6 3 2 2 2 2 2" xfId="36324" xr:uid="{00000000-0005-0000-0000-00001C1D0000}"/>
    <cellStyle name="Normal 2 2 2 2 2 6 3 2 2 2 3" xfId="27294" xr:uid="{00000000-0005-0000-0000-00001D1D0000}"/>
    <cellStyle name="Normal 2 2 2 2 2 6 3 2 2 3" xfId="11790" xr:uid="{00000000-0005-0000-0000-00001E1D0000}"/>
    <cellStyle name="Normal 2 2 2 2 2 6 3 2 2 3 2" xfId="31842" xr:uid="{00000000-0005-0000-0000-00001F1D0000}"/>
    <cellStyle name="Normal 2 2 2 2 2 6 3 2 2 4" xfId="22812" xr:uid="{00000000-0005-0000-0000-0000201D0000}"/>
    <cellStyle name="Normal 2 2 2 2 2 6 3 2 3" xfId="4254" xr:uid="{00000000-0005-0000-0000-0000211D0000}"/>
    <cellStyle name="Normal 2 2 2 2 2 6 3 2 3 2" xfId="8736" xr:uid="{00000000-0005-0000-0000-0000221D0000}"/>
    <cellStyle name="Normal 2 2 2 2 2 6 3 2 3 2 2" xfId="17766" xr:uid="{00000000-0005-0000-0000-0000231D0000}"/>
    <cellStyle name="Normal 2 2 2 2 2 6 3 2 3 2 2 2" xfId="37818" xr:uid="{00000000-0005-0000-0000-0000241D0000}"/>
    <cellStyle name="Normal 2 2 2 2 2 6 3 2 3 2 3" xfId="28788" xr:uid="{00000000-0005-0000-0000-0000251D0000}"/>
    <cellStyle name="Normal 2 2 2 2 2 6 3 2 3 3" xfId="13284" xr:uid="{00000000-0005-0000-0000-0000261D0000}"/>
    <cellStyle name="Normal 2 2 2 2 2 6 3 2 3 3 2" xfId="33336" xr:uid="{00000000-0005-0000-0000-0000271D0000}"/>
    <cellStyle name="Normal 2 2 2 2 2 6 3 2 3 4" xfId="24306" xr:uid="{00000000-0005-0000-0000-0000281D0000}"/>
    <cellStyle name="Normal 2 2 2 2 2 6 3 2 4" xfId="5748" xr:uid="{00000000-0005-0000-0000-0000291D0000}"/>
    <cellStyle name="Normal 2 2 2 2 2 6 3 2 4 2" xfId="14778" xr:uid="{00000000-0005-0000-0000-00002A1D0000}"/>
    <cellStyle name="Normal 2 2 2 2 2 6 3 2 4 2 2" xfId="34830" xr:uid="{00000000-0005-0000-0000-00002B1D0000}"/>
    <cellStyle name="Normal 2 2 2 2 2 6 3 2 4 3" xfId="25800" xr:uid="{00000000-0005-0000-0000-00002C1D0000}"/>
    <cellStyle name="Normal 2 2 2 2 2 6 3 2 5" xfId="10296" xr:uid="{00000000-0005-0000-0000-00002D1D0000}"/>
    <cellStyle name="Normal 2 2 2 2 2 6 3 2 5 2" xfId="30348" xr:uid="{00000000-0005-0000-0000-00002E1D0000}"/>
    <cellStyle name="Normal 2 2 2 2 2 6 3 2 6" xfId="21318" xr:uid="{00000000-0005-0000-0000-00002F1D0000}"/>
    <cellStyle name="Normal 2 2 2 2 2 6 3 3" xfId="2013" xr:uid="{00000000-0005-0000-0000-0000301D0000}"/>
    <cellStyle name="Normal 2 2 2 2 2 6 3 3 2" xfId="6495" xr:uid="{00000000-0005-0000-0000-0000311D0000}"/>
    <cellStyle name="Normal 2 2 2 2 2 6 3 3 2 2" xfId="15525" xr:uid="{00000000-0005-0000-0000-0000321D0000}"/>
    <cellStyle name="Normal 2 2 2 2 2 6 3 3 2 2 2" xfId="35577" xr:uid="{00000000-0005-0000-0000-0000331D0000}"/>
    <cellStyle name="Normal 2 2 2 2 2 6 3 3 2 3" xfId="26547" xr:uid="{00000000-0005-0000-0000-0000341D0000}"/>
    <cellStyle name="Normal 2 2 2 2 2 6 3 3 3" xfId="11043" xr:uid="{00000000-0005-0000-0000-0000351D0000}"/>
    <cellStyle name="Normal 2 2 2 2 2 6 3 3 3 2" xfId="31095" xr:uid="{00000000-0005-0000-0000-0000361D0000}"/>
    <cellStyle name="Normal 2 2 2 2 2 6 3 3 4" xfId="22065" xr:uid="{00000000-0005-0000-0000-0000371D0000}"/>
    <cellStyle name="Normal 2 2 2 2 2 6 3 4" xfId="3507" xr:uid="{00000000-0005-0000-0000-0000381D0000}"/>
    <cellStyle name="Normal 2 2 2 2 2 6 3 4 2" xfId="7989" xr:uid="{00000000-0005-0000-0000-0000391D0000}"/>
    <cellStyle name="Normal 2 2 2 2 2 6 3 4 2 2" xfId="17019" xr:uid="{00000000-0005-0000-0000-00003A1D0000}"/>
    <cellStyle name="Normal 2 2 2 2 2 6 3 4 2 2 2" xfId="37071" xr:uid="{00000000-0005-0000-0000-00003B1D0000}"/>
    <cellStyle name="Normal 2 2 2 2 2 6 3 4 2 3" xfId="28041" xr:uid="{00000000-0005-0000-0000-00003C1D0000}"/>
    <cellStyle name="Normal 2 2 2 2 2 6 3 4 3" xfId="12537" xr:uid="{00000000-0005-0000-0000-00003D1D0000}"/>
    <cellStyle name="Normal 2 2 2 2 2 6 3 4 3 2" xfId="32589" xr:uid="{00000000-0005-0000-0000-00003E1D0000}"/>
    <cellStyle name="Normal 2 2 2 2 2 6 3 4 4" xfId="23559" xr:uid="{00000000-0005-0000-0000-00003F1D0000}"/>
    <cellStyle name="Normal 2 2 2 2 2 6 3 5" xfId="5001" xr:uid="{00000000-0005-0000-0000-0000401D0000}"/>
    <cellStyle name="Normal 2 2 2 2 2 6 3 5 2" xfId="14031" xr:uid="{00000000-0005-0000-0000-0000411D0000}"/>
    <cellStyle name="Normal 2 2 2 2 2 6 3 5 2 2" xfId="34083" xr:uid="{00000000-0005-0000-0000-0000421D0000}"/>
    <cellStyle name="Normal 2 2 2 2 2 6 3 5 3" xfId="25053" xr:uid="{00000000-0005-0000-0000-0000431D0000}"/>
    <cellStyle name="Normal 2 2 2 2 2 6 3 6" xfId="9549" xr:uid="{00000000-0005-0000-0000-0000441D0000}"/>
    <cellStyle name="Normal 2 2 2 2 2 6 3 6 2" xfId="29601" xr:uid="{00000000-0005-0000-0000-0000451D0000}"/>
    <cellStyle name="Normal 2 2 2 2 2 6 3 7" xfId="20571" xr:uid="{00000000-0005-0000-0000-0000461D0000}"/>
    <cellStyle name="Normal 2 2 2 2 2 6 4" xfId="705" xr:uid="{00000000-0005-0000-0000-0000471D0000}"/>
    <cellStyle name="Normal 2 2 2 2 2 6 4 2" xfId="1452" xr:uid="{00000000-0005-0000-0000-0000481D0000}"/>
    <cellStyle name="Normal 2 2 2 2 2 6 4 2 2" xfId="2946" xr:uid="{00000000-0005-0000-0000-0000491D0000}"/>
    <cellStyle name="Normal 2 2 2 2 2 6 4 2 2 2" xfId="7428" xr:uid="{00000000-0005-0000-0000-00004A1D0000}"/>
    <cellStyle name="Normal 2 2 2 2 2 6 4 2 2 2 2" xfId="16458" xr:uid="{00000000-0005-0000-0000-00004B1D0000}"/>
    <cellStyle name="Normal 2 2 2 2 2 6 4 2 2 2 2 2" xfId="36510" xr:uid="{00000000-0005-0000-0000-00004C1D0000}"/>
    <cellStyle name="Normal 2 2 2 2 2 6 4 2 2 2 3" xfId="27480" xr:uid="{00000000-0005-0000-0000-00004D1D0000}"/>
    <cellStyle name="Normal 2 2 2 2 2 6 4 2 2 3" xfId="11976" xr:uid="{00000000-0005-0000-0000-00004E1D0000}"/>
    <cellStyle name="Normal 2 2 2 2 2 6 4 2 2 3 2" xfId="32028" xr:uid="{00000000-0005-0000-0000-00004F1D0000}"/>
    <cellStyle name="Normal 2 2 2 2 2 6 4 2 2 4" xfId="22998" xr:uid="{00000000-0005-0000-0000-0000501D0000}"/>
    <cellStyle name="Normal 2 2 2 2 2 6 4 2 3" xfId="4440" xr:uid="{00000000-0005-0000-0000-0000511D0000}"/>
    <cellStyle name="Normal 2 2 2 2 2 6 4 2 3 2" xfId="8922" xr:uid="{00000000-0005-0000-0000-0000521D0000}"/>
    <cellStyle name="Normal 2 2 2 2 2 6 4 2 3 2 2" xfId="17952" xr:uid="{00000000-0005-0000-0000-0000531D0000}"/>
    <cellStyle name="Normal 2 2 2 2 2 6 4 2 3 2 2 2" xfId="38004" xr:uid="{00000000-0005-0000-0000-0000541D0000}"/>
    <cellStyle name="Normal 2 2 2 2 2 6 4 2 3 2 3" xfId="28974" xr:uid="{00000000-0005-0000-0000-0000551D0000}"/>
    <cellStyle name="Normal 2 2 2 2 2 6 4 2 3 3" xfId="13470" xr:uid="{00000000-0005-0000-0000-0000561D0000}"/>
    <cellStyle name="Normal 2 2 2 2 2 6 4 2 3 3 2" xfId="33522" xr:uid="{00000000-0005-0000-0000-0000571D0000}"/>
    <cellStyle name="Normal 2 2 2 2 2 6 4 2 3 4" xfId="24492" xr:uid="{00000000-0005-0000-0000-0000581D0000}"/>
    <cellStyle name="Normal 2 2 2 2 2 6 4 2 4" xfId="5934" xr:uid="{00000000-0005-0000-0000-0000591D0000}"/>
    <cellStyle name="Normal 2 2 2 2 2 6 4 2 4 2" xfId="14964" xr:uid="{00000000-0005-0000-0000-00005A1D0000}"/>
    <cellStyle name="Normal 2 2 2 2 2 6 4 2 4 2 2" xfId="35016" xr:uid="{00000000-0005-0000-0000-00005B1D0000}"/>
    <cellStyle name="Normal 2 2 2 2 2 6 4 2 4 3" xfId="25986" xr:uid="{00000000-0005-0000-0000-00005C1D0000}"/>
    <cellStyle name="Normal 2 2 2 2 2 6 4 2 5" xfId="10482" xr:uid="{00000000-0005-0000-0000-00005D1D0000}"/>
    <cellStyle name="Normal 2 2 2 2 2 6 4 2 5 2" xfId="30534" xr:uid="{00000000-0005-0000-0000-00005E1D0000}"/>
    <cellStyle name="Normal 2 2 2 2 2 6 4 2 6" xfId="21504" xr:uid="{00000000-0005-0000-0000-00005F1D0000}"/>
    <cellStyle name="Normal 2 2 2 2 2 6 4 3" xfId="2199" xr:uid="{00000000-0005-0000-0000-0000601D0000}"/>
    <cellStyle name="Normal 2 2 2 2 2 6 4 3 2" xfId="6681" xr:uid="{00000000-0005-0000-0000-0000611D0000}"/>
    <cellStyle name="Normal 2 2 2 2 2 6 4 3 2 2" xfId="15711" xr:uid="{00000000-0005-0000-0000-0000621D0000}"/>
    <cellStyle name="Normal 2 2 2 2 2 6 4 3 2 2 2" xfId="35763" xr:uid="{00000000-0005-0000-0000-0000631D0000}"/>
    <cellStyle name="Normal 2 2 2 2 2 6 4 3 2 3" xfId="26733" xr:uid="{00000000-0005-0000-0000-0000641D0000}"/>
    <cellStyle name="Normal 2 2 2 2 2 6 4 3 3" xfId="11229" xr:uid="{00000000-0005-0000-0000-0000651D0000}"/>
    <cellStyle name="Normal 2 2 2 2 2 6 4 3 3 2" xfId="31281" xr:uid="{00000000-0005-0000-0000-0000661D0000}"/>
    <cellStyle name="Normal 2 2 2 2 2 6 4 3 4" xfId="22251" xr:uid="{00000000-0005-0000-0000-0000671D0000}"/>
    <cellStyle name="Normal 2 2 2 2 2 6 4 4" xfId="3693" xr:uid="{00000000-0005-0000-0000-0000681D0000}"/>
    <cellStyle name="Normal 2 2 2 2 2 6 4 4 2" xfId="8175" xr:uid="{00000000-0005-0000-0000-0000691D0000}"/>
    <cellStyle name="Normal 2 2 2 2 2 6 4 4 2 2" xfId="17205" xr:uid="{00000000-0005-0000-0000-00006A1D0000}"/>
    <cellStyle name="Normal 2 2 2 2 2 6 4 4 2 2 2" xfId="37257" xr:uid="{00000000-0005-0000-0000-00006B1D0000}"/>
    <cellStyle name="Normal 2 2 2 2 2 6 4 4 2 3" xfId="28227" xr:uid="{00000000-0005-0000-0000-00006C1D0000}"/>
    <cellStyle name="Normal 2 2 2 2 2 6 4 4 3" xfId="12723" xr:uid="{00000000-0005-0000-0000-00006D1D0000}"/>
    <cellStyle name="Normal 2 2 2 2 2 6 4 4 3 2" xfId="32775" xr:uid="{00000000-0005-0000-0000-00006E1D0000}"/>
    <cellStyle name="Normal 2 2 2 2 2 6 4 4 4" xfId="23745" xr:uid="{00000000-0005-0000-0000-00006F1D0000}"/>
    <cellStyle name="Normal 2 2 2 2 2 6 4 5" xfId="5187" xr:uid="{00000000-0005-0000-0000-0000701D0000}"/>
    <cellStyle name="Normal 2 2 2 2 2 6 4 5 2" xfId="14217" xr:uid="{00000000-0005-0000-0000-0000711D0000}"/>
    <cellStyle name="Normal 2 2 2 2 2 6 4 5 2 2" xfId="34269" xr:uid="{00000000-0005-0000-0000-0000721D0000}"/>
    <cellStyle name="Normal 2 2 2 2 2 6 4 5 3" xfId="25239" xr:uid="{00000000-0005-0000-0000-0000731D0000}"/>
    <cellStyle name="Normal 2 2 2 2 2 6 4 6" xfId="9735" xr:uid="{00000000-0005-0000-0000-0000741D0000}"/>
    <cellStyle name="Normal 2 2 2 2 2 6 4 6 2" xfId="29787" xr:uid="{00000000-0005-0000-0000-0000751D0000}"/>
    <cellStyle name="Normal 2 2 2 2 2 6 4 7" xfId="20757" xr:uid="{00000000-0005-0000-0000-0000761D0000}"/>
    <cellStyle name="Normal 2 2 2 2 2 6 5" xfId="892" xr:uid="{00000000-0005-0000-0000-0000771D0000}"/>
    <cellStyle name="Normal 2 2 2 2 2 6 5 2" xfId="2386" xr:uid="{00000000-0005-0000-0000-0000781D0000}"/>
    <cellStyle name="Normal 2 2 2 2 2 6 5 2 2" xfId="6868" xr:uid="{00000000-0005-0000-0000-0000791D0000}"/>
    <cellStyle name="Normal 2 2 2 2 2 6 5 2 2 2" xfId="15898" xr:uid="{00000000-0005-0000-0000-00007A1D0000}"/>
    <cellStyle name="Normal 2 2 2 2 2 6 5 2 2 2 2" xfId="35950" xr:uid="{00000000-0005-0000-0000-00007B1D0000}"/>
    <cellStyle name="Normal 2 2 2 2 2 6 5 2 2 3" xfId="26920" xr:uid="{00000000-0005-0000-0000-00007C1D0000}"/>
    <cellStyle name="Normal 2 2 2 2 2 6 5 2 3" xfId="11416" xr:uid="{00000000-0005-0000-0000-00007D1D0000}"/>
    <cellStyle name="Normal 2 2 2 2 2 6 5 2 3 2" xfId="31468" xr:uid="{00000000-0005-0000-0000-00007E1D0000}"/>
    <cellStyle name="Normal 2 2 2 2 2 6 5 2 4" xfId="22438" xr:uid="{00000000-0005-0000-0000-00007F1D0000}"/>
    <cellStyle name="Normal 2 2 2 2 2 6 5 3" xfId="3880" xr:uid="{00000000-0005-0000-0000-0000801D0000}"/>
    <cellStyle name="Normal 2 2 2 2 2 6 5 3 2" xfId="8362" xr:uid="{00000000-0005-0000-0000-0000811D0000}"/>
    <cellStyle name="Normal 2 2 2 2 2 6 5 3 2 2" xfId="17392" xr:uid="{00000000-0005-0000-0000-0000821D0000}"/>
    <cellStyle name="Normal 2 2 2 2 2 6 5 3 2 2 2" xfId="37444" xr:uid="{00000000-0005-0000-0000-0000831D0000}"/>
    <cellStyle name="Normal 2 2 2 2 2 6 5 3 2 3" xfId="28414" xr:uid="{00000000-0005-0000-0000-0000841D0000}"/>
    <cellStyle name="Normal 2 2 2 2 2 6 5 3 3" xfId="12910" xr:uid="{00000000-0005-0000-0000-0000851D0000}"/>
    <cellStyle name="Normal 2 2 2 2 2 6 5 3 3 2" xfId="32962" xr:uid="{00000000-0005-0000-0000-0000861D0000}"/>
    <cellStyle name="Normal 2 2 2 2 2 6 5 3 4" xfId="23932" xr:uid="{00000000-0005-0000-0000-0000871D0000}"/>
    <cellStyle name="Normal 2 2 2 2 2 6 5 4" xfId="5374" xr:uid="{00000000-0005-0000-0000-0000881D0000}"/>
    <cellStyle name="Normal 2 2 2 2 2 6 5 4 2" xfId="14404" xr:uid="{00000000-0005-0000-0000-0000891D0000}"/>
    <cellStyle name="Normal 2 2 2 2 2 6 5 4 2 2" xfId="34456" xr:uid="{00000000-0005-0000-0000-00008A1D0000}"/>
    <cellStyle name="Normal 2 2 2 2 2 6 5 4 3" xfId="25426" xr:uid="{00000000-0005-0000-0000-00008B1D0000}"/>
    <cellStyle name="Normal 2 2 2 2 2 6 5 5" xfId="9922" xr:uid="{00000000-0005-0000-0000-00008C1D0000}"/>
    <cellStyle name="Normal 2 2 2 2 2 6 5 5 2" xfId="29974" xr:uid="{00000000-0005-0000-0000-00008D1D0000}"/>
    <cellStyle name="Normal 2 2 2 2 2 6 5 6" xfId="20944" xr:uid="{00000000-0005-0000-0000-00008E1D0000}"/>
    <cellStyle name="Normal 2 2 2 2 2 6 6" xfId="1641" xr:uid="{00000000-0005-0000-0000-00008F1D0000}"/>
    <cellStyle name="Normal 2 2 2 2 2 6 6 2" xfId="6123" xr:uid="{00000000-0005-0000-0000-0000901D0000}"/>
    <cellStyle name="Normal 2 2 2 2 2 6 6 2 2" xfId="15153" xr:uid="{00000000-0005-0000-0000-0000911D0000}"/>
    <cellStyle name="Normal 2 2 2 2 2 6 6 2 2 2" xfId="35205" xr:uid="{00000000-0005-0000-0000-0000921D0000}"/>
    <cellStyle name="Normal 2 2 2 2 2 6 6 2 3" xfId="26175" xr:uid="{00000000-0005-0000-0000-0000931D0000}"/>
    <cellStyle name="Normal 2 2 2 2 2 6 6 3" xfId="10671" xr:uid="{00000000-0005-0000-0000-0000941D0000}"/>
    <cellStyle name="Normal 2 2 2 2 2 6 6 3 2" xfId="30723" xr:uid="{00000000-0005-0000-0000-0000951D0000}"/>
    <cellStyle name="Normal 2 2 2 2 2 6 6 4" xfId="21693" xr:uid="{00000000-0005-0000-0000-0000961D0000}"/>
    <cellStyle name="Normal 2 2 2 2 2 6 7" xfId="3135" xr:uid="{00000000-0005-0000-0000-0000971D0000}"/>
    <cellStyle name="Normal 2 2 2 2 2 6 7 2" xfId="7617" xr:uid="{00000000-0005-0000-0000-0000981D0000}"/>
    <cellStyle name="Normal 2 2 2 2 2 6 7 2 2" xfId="16647" xr:uid="{00000000-0005-0000-0000-0000991D0000}"/>
    <cellStyle name="Normal 2 2 2 2 2 6 7 2 2 2" xfId="36699" xr:uid="{00000000-0005-0000-0000-00009A1D0000}"/>
    <cellStyle name="Normal 2 2 2 2 2 6 7 2 3" xfId="27669" xr:uid="{00000000-0005-0000-0000-00009B1D0000}"/>
    <cellStyle name="Normal 2 2 2 2 2 6 7 3" xfId="12165" xr:uid="{00000000-0005-0000-0000-00009C1D0000}"/>
    <cellStyle name="Normal 2 2 2 2 2 6 7 3 2" xfId="32217" xr:uid="{00000000-0005-0000-0000-00009D1D0000}"/>
    <cellStyle name="Normal 2 2 2 2 2 6 7 4" xfId="23187" xr:uid="{00000000-0005-0000-0000-00009E1D0000}"/>
    <cellStyle name="Normal 2 2 2 2 2 6 8" xfId="4629" xr:uid="{00000000-0005-0000-0000-00009F1D0000}"/>
    <cellStyle name="Normal 2 2 2 2 2 6 8 2" xfId="13659" xr:uid="{00000000-0005-0000-0000-0000A01D0000}"/>
    <cellStyle name="Normal 2 2 2 2 2 6 8 2 2" xfId="33711" xr:uid="{00000000-0005-0000-0000-0000A11D0000}"/>
    <cellStyle name="Normal 2 2 2 2 2 6 8 3" xfId="24681" xr:uid="{00000000-0005-0000-0000-0000A21D0000}"/>
    <cellStyle name="Normal 2 2 2 2 2 6 9" xfId="9177" xr:uid="{00000000-0005-0000-0000-0000A31D0000}"/>
    <cellStyle name="Normal 2 2 2 2 2 6 9 2" xfId="29229" xr:uid="{00000000-0005-0000-0000-0000A41D0000}"/>
    <cellStyle name="Normal 2 2 2 2 2 7" xfId="170" xr:uid="{00000000-0005-0000-0000-0000A51D0000}"/>
    <cellStyle name="Normal 2 2 2 2 2 7 10" xfId="20222" xr:uid="{00000000-0005-0000-0000-0000A61D0000}"/>
    <cellStyle name="Normal 2 2 2 2 2 7 2" xfId="356" xr:uid="{00000000-0005-0000-0000-0000A71D0000}"/>
    <cellStyle name="Normal 2 2 2 2 2 7 2 2" xfId="1099" xr:uid="{00000000-0005-0000-0000-0000A81D0000}"/>
    <cellStyle name="Normal 2 2 2 2 2 7 2 2 2" xfId="2593" xr:uid="{00000000-0005-0000-0000-0000A91D0000}"/>
    <cellStyle name="Normal 2 2 2 2 2 7 2 2 2 2" xfId="7075" xr:uid="{00000000-0005-0000-0000-0000AA1D0000}"/>
    <cellStyle name="Normal 2 2 2 2 2 7 2 2 2 2 2" xfId="16105" xr:uid="{00000000-0005-0000-0000-0000AB1D0000}"/>
    <cellStyle name="Normal 2 2 2 2 2 7 2 2 2 2 2 2" xfId="36157" xr:uid="{00000000-0005-0000-0000-0000AC1D0000}"/>
    <cellStyle name="Normal 2 2 2 2 2 7 2 2 2 2 3" xfId="27127" xr:uid="{00000000-0005-0000-0000-0000AD1D0000}"/>
    <cellStyle name="Normal 2 2 2 2 2 7 2 2 2 3" xfId="11623" xr:uid="{00000000-0005-0000-0000-0000AE1D0000}"/>
    <cellStyle name="Normal 2 2 2 2 2 7 2 2 2 3 2" xfId="31675" xr:uid="{00000000-0005-0000-0000-0000AF1D0000}"/>
    <cellStyle name="Normal 2 2 2 2 2 7 2 2 2 4" xfId="22645" xr:uid="{00000000-0005-0000-0000-0000B01D0000}"/>
    <cellStyle name="Normal 2 2 2 2 2 7 2 2 3" xfId="4087" xr:uid="{00000000-0005-0000-0000-0000B11D0000}"/>
    <cellStyle name="Normal 2 2 2 2 2 7 2 2 3 2" xfId="8569" xr:uid="{00000000-0005-0000-0000-0000B21D0000}"/>
    <cellStyle name="Normal 2 2 2 2 2 7 2 2 3 2 2" xfId="17599" xr:uid="{00000000-0005-0000-0000-0000B31D0000}"/>
    <cellStyle name="Normal 2 2 2 2 2 7 2 2 3 2 2 2" xfId="37651" xr:uid="{00000000-0005-0000-0000-0000B41D0000}"/>
    <cellStyle name="Normal 2 2 2 2 2 7 2 2 3 2 3" xfId="28621" xr:uid="{00000000-0005-0000-0000-0000B51D0000}"/>
    <cellStyle name="Normal 2 2 2 2 2 7 2 2 3 3" xfId="13117" xr:uid="{00000000-0005-0000-0000-0000B61D0000}"/>
    <cellStyle name="Normal 2 2 2 2 2 7 2 2 3 3 2" xfId="33169" xr:uid="{00000000-0005-0000-0000-0000B71D0000}"/>
    <cellStyle name="Normal 2 2 2 2 2 7 2 2 3 4" xfId="24139" xr:uid="{00000000-0005-0000-0000-0000B81D0000}"/>
    <cellStyle name="Normal 2 2 2 2 2 7 2 2 4" xfId="5581" xr:uid="{00000000-0005-0000-0000-0000B91D0000}"/>
    <cellStyle name="Normal 2 2 2 2 2 7 2 2 4 2" xfId="14611" xr:uid="{00000000-0005-0000-0000-0000BA1D0000}"/>
    <cellStyle name="Normal 2 2 2 2 2 7 2 2 4 2 2" xfId="34663" xr:uid="{00000000-0005-0000-0000-0000BB1D0000}"/>
    <cellStyle name="Normal 2 2 2 2 2 7 2 2 4 3" xfId="25633" xr:uid="{00000000-0005-0000-0000-0000BC1D0000}"/>
    <cellStyle name="Normal 2 2 2 2 2 7 2 2 5" xfId="10129" xr:uid="{00000000-0005-0000-0000-0000BD1D0000}"/>
    <cellStyle name="Normal 2 2 2 2 2 7 2 2 5 2" xfId="30181" xr:uid="{00000000-0005-0000-0000-0000BE1D0000}"/>
    <cellStyle name="Normal 2 2 2 2 2 7 2 2 6" xfId="21151" xr:uid="{00000000-0005-0000-0000-0000BF1D0000}"/>
    <cellStyle name="Normal 2 2 2 2 2 7 2 3" xfId="1850" xr:uid="{00000000-0005-0000-0000-0000C01D0000}"/>
    <cellStyle name="Normal 2 2 2 2 2 7 2 3 2" xfId="6332" xr:uid="{00000000-0005-0000-0000-0000C11D0000}"/>
    <cellStyle name="Normal 2 2 2 2 2 7 2 3 2 2" xfId="15362" xr:uid="{00000000-0005-0000-0000-0000C21D0000}"/>
    <cellStyle name="Normal 2 2 2 2 2 7 2 3 2 2 2" xfId="35414" xr:uid="{00000000-0005-0000-0000-0000C31D0000}"/>
    <cellStyle name="Normal 2 2 2 2 2 7 2 3 2 3" xfId="26384" xr:uid="{00000000-0005-0000-0000-0000C41D0000}"/>
    <cellStyle name="Normal 2 2 2 2 2 7 2 3 3" xfId="10880" xr:uid="{00000000-0005-0000-0000-0000C51D0000}"/>
    <cellStyle name="Normal 2 2 2 2 2 7 2 3 3 2" xfId="30932" xr:uid="{00000000-0005-0000-0000-0000C61D0000}"/>
    <cellStyle name="Normal 2 2 2 2 2 7 2 3 4" xfId="21902" xr:uid="{00000000-0005-0000-0000-0000C71D0000}"/>
    <cellStyle name="Normal 2 2 2 2 2 7 2 4" xfId="3344" xr:uid="{00000000-0005-0000-0000-0000C81D0000}"/>
    <cellStyle name="Normal 2 2 2 2 2 7 2 4 2" xfId="7826" xr:uid="{00000000-0005-0000-0000-0000C91D0000}"/>
    <cellStyle name="Normal 2 2 2 2 2 7 2 4 2 2" xfId="16856" xr:uid="{00000000-0005-0000-0000-0000CA1D0000}"/>
    <cellStyle name="Normal 2 2 2 2 2 7 2 4 2 2 2" xfId="36908" xr:uid="{00000000-0005-0000-0000-0000CB1D0000}"/>
    <cellStyle name="Normal 2 2 2 2 2 7 2 4 2 3" xfId="27878" xr:uid="{00000000-0005-0000-0000-0000CC1D0000}"/>
    <cellStyle name="Normal 2 2 2 2 2 7 2 4 3" xfId="12374" xr:uid="{00000000-0005-0000-0000-0000CD1D0000}"/>
    <cellStyle name="Normal 2 2 2 2 2 7 2 4 3 2" xfId="32426" xr:uid="{00000000-0005-0000-0000-0000CE1D0000}"/>
    <cellStyle name="Normal 2 2 2 2 2 7 2 4 4" xfId="23396" xr:uid="{00000000-0005-0000-0000-0000CF1D0000}"/>
    <cellStyle name="Normal 2 2 2 2 2 7 2 5" xfId="4838" xr:uid="{00000000-0005-0000-0000-0000D01D0000}"/>
    <cellStyle name="Normal 2 2 2 2 2 7 2 5 2" xfId="13868" xr:uid="{00000000-0005-0000-0000-0000D11D0000}"/>
    <cellStyle name="Normal 2 2 2 2 2 7 2 5 2 2" xfId="33920" xr:uid="{00000000-0005-0000-0000-0000D21D0000}"/>
    <cellStyle name="Normal 2 2 2 2 2 7 2 5 3" xfId="24890" xr:uid="{00000000-0005-0000-0000-0000D31D0000}"/>
    <cellStyle name="Normal 2 2 2 2 2 7 2 6" xfId="9386" xr:uid="{00000000-0005-0000-0000-0000D41D0000}"/>
    <cellStyle name="Normal 2 2 2 2 2 7 2 6 2" xfId="29438" xr:uid="{00000000-0005-0000-0000-0000D51D0000}"/>
    <cellStyle name="Normal 2 2 2 2 2 7 2 7" xfId="20408" xr:uid="{00000000-0005-0000-0000-0000D61D0000}"/>
    <cellStyle name="Normal 2 2 2 2 2 7 3" xfId="542" xr:uid="{00000000-0005-0000-0000-0000D71D0000}"/>
    <cellStyle name="Normal 2 2 2 2 2 7 3 2" xfId="1289" xr:uid="{00000000-0005-0000-0000-0000D81D0000}"/>
    <cellStyle name="Normal 2 2 2 2 2 7 3 2 2" xfId="2783" xr:uid="{00000000-0005-0000-0000-0000D91D0000}"/>
    <cellStyle name="Normal 2 2 2 2 2 7 3 2 2 2" xfId="7265" xr:uid="{00000000-0005-0000-0000-0000DA1D0000}"/>
    <cellStyle name="Normal 2 2 2 2 2 7 3 2 2 2 2" xfId="16295" xr:uid="{00000000-0005-0000-0000-0000DB1D0000}"/>
    <cellStyle name="Normal 2 2 2 2 2 7 3 2 2 2 2 2" xfId="36347" xr:uid="{00000000-0005-0000-0000-0000DC1D0000}"/>
    <cellStyle name="Normal 2 2 2 2 2 7 3 2 2 2 3" xfId="27317" xr:uid="{00000000-0005-0000-0000-0000DD1D0000}"/>
    <cellStyle name="Normal 2 2 2 2 2 7 3 2 2 3" xfId="11813" xr:uid="{00000000-0005-0000-0000-0000DE1D0000}"/>
    <cellStyle name="Normal 2 2 2 2 2 7 3 2 2 3 2" xfId="31865" xr:uid="{00000000-0005-0000-0000-0000DF1D0000}"/>
    <cellStyle name="Normal 2 2 2 2 2 7 3 2 2 4" xfId="22835" xr:uid="{00000000-0005-0000-0000-0000E01D0000}"/>
    <cellStyle name="Normal 2 2 2 2 2 7 3 2 3" xfId="4277" xr:uid="{00000000-0005-0000-0000-0000E11D0000}"/>
    <cellStyle name="Normal 2 2 2 2 2 7 3 2 3 2" xfId="8759" xr:uid="{00000000-0005-0000-0000-0000E21D0000}"/>
    <cellStyle name="Normal 2 2 2 2 2 7 3 2 3 2 2" xfId="17789" xr:uid="{00000000-0005-0000-0000-0000E31D0000}"/>
    <cellStyle name="Normal 2 2 2 2 2 7 3 2 3 2 2 2" xfId="37841" xr:uid="{00000000-0005-0000-0000-0000E41D0000}"/>
    <cellStyle name="Normal 2 2 2 2 2 7 3 2 3 2 3" xfId="28811" xr:uid="{00000000-0005-0000-0000-0000E51D0000}"/>
    <cellStyle name="Normal 2 2 2 2 2 7 3 2 3 3" xfId="13307" xr:uid="{00000000-0005-0000-0000-0000E61D0000}"/>
    <cellStyle name="Normal 2 2 2 2 2 7 3 2 3 3 2" xfId="33359" xr:uid="{00000000-0005-0000-0000-0000E71D0000}"/>
    <cellStyle name="Normal 2 2 2 2 2 7 3 2 3 4" xfId="24329" xr:uid="{00000000-0005-0000-0000-0000E81D0000}"/>
    <cellStyle name="Normal 2 2 2 2 2 7 3 2 4" xfId="5771" xr:uid="{00000000-0005-0000-0000-0000E91D0000}"/>
    <cellStyle name="Normal 2 2 2 2 2 7 3 2 4 2" xfId="14801" xr:uid="{00000000-0005-0000-0000-0000EA1D0000}"/>
    <cellStyle name="Normal 2 2 2 2 2 7 3 2 4 2 2" xfId="34853" xr:uid="{00000000-0005-0000-0000-0000EB1D0000}"/>
    <cellStyle name="Normal 2 2 2 2 2 7 3 2 4 3" xfId="25823" xr:uid="{00000000-0005-0000-0000-0000EC1D0000}"/>
    <cellStyle name="Normal 2 2 2 2 2 7 3 2 5" xfId="10319" xr:uid="{00000000-0005-0000-0000-0000ED1D0000}"/>
    <cellStyle name="Normal 2 2 2 2 2 7 3 2 5 2" xfId="30371" xr:uid="{00000000-0005-0000-0000-0000EE1D0000}"/>
    <cellStyle name="Normal 2 2 2 2 2 7 3 2 6" xfId="21341" xr:uid="{00000000-0005-0000-0000-0000EF1D0000}"/>
    <cellStyle name="Normal 2 2 2 2 2 7 3 3" xfId="2036" xr:uid="{00000000-0005-0000-0000-0000F01D0000}"/>
    <cellStyle name="Normal 2 2 2 2 2 7 3 3 2" xfId="6518" xr:uid="{00000000-0005-0000-0000-0000F11D0000}"/>
    <cellStyle name="Normal 2 2 2 2 2 7 3 3 2 2" xfId="15548" xr:uid="{00000000-0005-0000-0000-0000F21D0000}"/>
    <cellStyle name="Normal 2 2 2 2 2 7 3 3 2 2 2" xfId="35600" xr:uid="{00000000-0005-0000-0000-0000F31D0000}"/>
    <cellStyle name="Normal 2 2 2 2 2 7 3 3 2 3" xfId="26570" xr:uid="{00000000-0005-0000-0000-0000F41D0000}"/>
    <cellStyle name="Normal 2 2 2 2 2 7 3 3 3" xfId="11066" xr:uid="{00000000-0005-0000-0000-0000F51D0000}"/>
    <cellStyle name="Normal 2 2 2 2 2 7 3 3 3 2" xfId="31118" xr:uid="{00000000-0005-0000-0000-0000F61D0000}"/>
    <cellStyle name="Normal 2 2 2 2 2 7 3 3 4" xfId="22088" xr:uid="{00000000-0005-0000-0000-0000F71D0000}"/>
    <cellStyle name="Normal 2 2 2 2 2 7 3 4" xfId="3530" xr:uid="{00000000-0005-0000-0000-0000F81D0000}"/>
    <cellStyle name="Normal 2 2 2 2 2 7 3 4 2" xfId="8012" xr:uid="{00000000-0005-0000-0000-0000F91D0000}"/>
    <cellStyle name="Normal 2 2 2 2 2 7 3 4 2 2" xfId="17042" xr:uid="{00000000-0005-0000-0000-0000FA1D0000}"/>
    <cellStyle name="Normal 2 2 2 2 2 7 3 4 2 2 2" xfId="37094" xr:uid="{00000000-0005-0000-0000-0000FB1D0000}"/>
    <cellStyle name="Normal 2 2 2 2 2 7 3 4 2 3" xfId="28064" xr:uid="{00000000-0005-0000-0000-0000FC1D0000}"/>
    <cellStyle name="Normal 2 2 2 2 2 7 3 4 3" xfId="12560" xr:uid="{00000000-0005-0000-0000-0000FD1D0000}"/>
    <cellStyle name="Normal 2 2 2 2 2 7 3 4 3 2" xfId="32612" xr:uid="{00000000-0005-0000-0000-0000FE1D0000}"/>
    <cellStyle name="Normal 2 2 2 2 2 7 3 4 4" xfId="23582" xr:uid="{00000000-0005-0000-0000-0000FF1D0000}"/>
    <cellStyle name="Normal 2 2 2 2 2 7 3 5" xfId="5024" xr:uid="{00000000-0005-0000-0000-0000001E0000}"/>
    <cellStyle name="Normal 2 2 2 2 2 7 3 5 2" xfId="14054" xr:uid="{00000000-0005-0000-0000-0000011E0000}"/>
    <cellStyle name="Normal 2 2 2 2 2 7 3 5 2 2" xfId="34106" xr:uid="{00000000-0005-0000-0000-0000021E0000}"/>
    <cellStyle name="Normal 2 2 2 2 2 7 3 5 3" xfId="25076" xr:uid="{00000000-0005-0000-0000-0000031E0000}"/>
    <cellStyle name="Normal 2 2 2 2 2 7 3 6" xfId="9572" xr:uid="{00000000-0005-0000-0000-0000041E0000}"/>
    <cellStyle name="Normal 2 2 2 2 2 7 3 6 2" xfId="29624" xr:uid="{00000000-0005-0000-0000-0000051E0000}"/>
    <cellStyle name="Normal 2 2 2 2 2 7 3 7" xfId="20594" xr:uid="{00000000-0005-0000-0000-0000061E0000}"/>
    <cellStyle name="Normal 2 2 2 2 2 7 4" xfId="728" xr:uid="{00000000-0005-0000-0000-0000071E0000}"/>
    <cellStyle name="Normal 2 2 2 2 2 7 4 2" xfId="1475" xr:uid="{00000000-0005-0000-0000-0000081E0000}"/>
    <cellStyle name="Normal 2 2 2 2 2 7 4 2 2" xfId="2969" xr:uid="{00000000-0005-0000-0000-0000091E0000}"/>
    <cellStyle name="Normal 2 2 2 2 2 7 4 2 2 2" xfId="7451" xr:uid="{00000000-0005-0000-0000-00000A1E0000}"/>
    <cellStyle name="Normal 2 2 2 2 2 7 4 2 2 2 2" xfId="16481" xr:uid="{00000000-0005-0000-0000-00000B1E0000}"/>
    <cellStyle name="Normal 2 2 2 2 2 7 4 2 2 2 2 2" xfId="36533" xr:uid="{00000000-0005-0000-0000-00000C1E0000}"/>
    <cellStyle name="Normal 2 2 2 2 2 7 4 2 2 2 3" xfId="27503" xr:uid="{00000000-0005-0000-0000-00000D1E0000}"/>
    <cellStyle name="Normal 2 2 2 2 2 7 4 2 2 3" xfId="11999" xr:uid="{00000000-0005-0000-0000-00000E1E0000}"/>
    <cellStyle name="Normal 2 2 2 2 2 7 4 2 2 3 2" xfId="32051" xr:uid="{00000000-0005-0000-0000-00000F1E0000}"/>
    <cellStyle name="Normal 2 2 2 2 2 7 4 2 2 4" xfId="23021" xr:uid="{00000000-0005-0000-0000-0000101E0000}"/>
    <cellStyle name="Normal 2 2 2 2 2 7 4 2 3" xfId="4463" xr:uid="{00000000-0005-0000-0000-0000111E0000}"/>
    <cellStyle name="Normal 2 2 2 2 2 7 4 2 3 2" xfId="8945" xr:uid="{00000000-0005-0000-0000-0000121E0000}"/>
    <cellStyle name="Normal 2 2 2 2 2 7 4 2 3 2 2" xfId="17975" xr:uid="{00000000-0005-0000-0000-0000131E0000}"/>
    <cellStyle name="Normal 2 2 2 2 2 7 4 2 3 2 2 2" xfId="38027" xr:uid="{00000000-0005-0000-0000-0000141E0000}"/>
    <cellStyle name="Normal 2 2 2 2 2 7 4 2 3 2 3" xfId="28997" xr:uid="{00000000-0005-0000-0000-0000151E0000}"/>
    <cellStyle name="Normal 2 2 2 2 2 7 4 2 3 3" xfId="13493" xr:uid="{00000000-0005-0000-0000-0000161E0000}"/>
    <cellStyle name="Normal 2 2 2 2 2 7 4 2 3 3 2" xfId="33545" xr:uid="{00000000-0005-0000-0000-0000171E0000}"/>
    <cellStyle name="Normal 2 2 2 2 2 7 4 2 3 4" xfId="24515" xr:uid="{00000000-0005-0000-0000-0000181E0000}"/>
    <cellStyle name="Normal 2 2 2 2 2 7 4 2 4" xfId="5957" xr:uid="{00000000-0005-0000-0000-0000191E0000}"/>
    <cellStyle name="Normal 2 2 2 2 2 7 4 2 4 2" xfId="14987" xr:uid="{00000000-0005-0000-0000-00001A1E0000}"/>
    <cellStyle name="Normal 2 2 2 2 2 7 4 2 4 2 2" xfId="35039" xr:uid="{00000000-0005-0000-0000-00001B1E0000}"/>
    <cellStyle name="Normal 2 2 2 2 2 7 4 2 4 3" xfId="26009" xr:uid="{00000000-0005-0000-0000-00001C1E0000}"/>
    <cellStyle name="Normal 2 2 2 2 2 7 4 2 5" xfId="10505" xr:uid="{00000000-0005-0000-0000-00001D1E0000}"/>
    <cellStyle name="Normal 2 2 2 2 2 7 4 2 5 2" xfId="30557" xr:uid="{00000000-0005-0000-0000-00001E1E0000}"/>
    <cellStyle name="Normal 2 2 2 2 2 7 4 2 6" xfId="21527" xr:uid="{00000000-0005-0000-0000-00001F1E0000}"/>
    <cellStyle name="Normal 2 2 2 2 2 7 4 3" xfId="2222" xr:uid="{00000000-0005-0000-0000-0000201E0000}"/>
    <cellStyle name="Normal 2 2 2 2 2 7 4 3 2" xfId="6704" xr:uid="{00000000-0005-0000-0000-0000211E0000}"/>
    <cellStyle name="Normal 2 2 2 2 2 7 4 3 2 2" xfId="15734" xr:uid="{00000000-0005-0000-0000-0000221E0000}"/>
    <cellStyle name="Normal 2 2 2 2 2 7 4 3 2 2 2" xfId="35786" xr:uid="{00000000-0005-0000-0000-0000231E0000}"/>
    <cellStyle name="Normal 2 2 2 2 2 7 4 3 2 3" xfId="26756" xr:uid="{00000000-0005-0000-0000-0000241E0000}"/>
    <cellStyle name="Normal 2 2 2 2 2 7 4 3 3" xfId="11252" xr:uid="{00000000-0005-0000-0000-0000251E0000}"/>
    <cellStyle name="Normal 2 2 2 2 2 7 4 3 3 2" xfId="31304" xr:uid="{00000000-0005-0000-0000-0000261E0000}"/>
    <cellStyle name="Normal 2 2 2 2 2 7 4 3 4" xfId="22274" xr:uid="{00000000-0005-0000-0000-0000271E0000}"/>
    <cellStyle name="Normal 2 2 2 2 2 7 4 4" xfId="3716" xr:uid="{00000000-0005-0000-0000-0000281E0000}"/>
    <cellStyle name="Normal 2 2 2 2 2 7 4 4 2" xfId="8198" xr:uid="{00000000-0005-0000-0000-0000291E0000}"/>
    <cellStyle name="Normal 2 2 2 2 2 7 4 4 2 2" xfId="17228" xr:uid="{00000000-0005-0000-0000-00002A1E0000}"/>
    <cellStyle name="Normal 2 2 2 2 2 7 4 4 2 2 2" xfId="37280" xr:uid="{00000000-0005-0000-0000-00002B1E0000}"/>
    <cellStyle name="Normal 2 2 2 2 2 7 4 4 2 3" xfId="28250" xr:uid="{00000000-0005-0000-0000-00002C1E0000}"/>
    <cellStyle name="Normal 2 2 2 2 2 7 4 4 3" xfId="12746" xr:uid="{00000000-0005-0000-0000-00002D1E0000}"/>
    <cellStyle name="Normal 2 2 2 2 2 7 4 4 3 2" xfId="32798" xr:uid="{00000000-0005-0000-0000-00002E1E0000}"/>
    <cellStyle name="Normal 2 2 2 2 2 7 4 4 4" xfId="23768" xr:uid="{00000000-0005-0000-0000-00002F1E0000}"/>
    <cellStyle name="Normal 2 2 2 2 2 7 4 5" xfId="5210" xr:uid="{00000000-0005-0000-0000-0000301E0000}"/>
    <cellStyle name="Normal 2 2 2 2 2 7 4 5 2" xfId="14240" xr:uid="{00000000-0005-0000-0000-0000311E0000}"/>
    <cellStyle name="Normal 2 2 2 2 2 7 4 5 2 2" xfId="34292" xr:uid="{00000000-0005-0000-0000-0000321E0000}"/>
    <cellStyle name="Normal 2 2 2 2 2 7 4 5 3" xfId="25262" xr:uid="{00000000-0005-0000-0000-0000331E0000}"/>
    <cellStyle name="Normal 2 2 2 2 2 7 4 6" xfId="9758" xr:uid="{00000000-0005-0000-0000-0000341E0000}"/>
    <cellStyle name="Normal 2 2 2 2 2 7 4 6 2" xfId="29810" xr:uid="{00000000-0005-0000-0000-0000351E0000}"/>
    <cellStyle name="Normal 2 2 2 2 2 7 4 7" xfId="20780" xr:uid="{00000000-0005-0000-0000-0000361E0000}"/>
    <cellStyle name="Normal 2 2 2 2 2 7 5" xfId="915" xr:uid="{00000000-0005-0000-0000-0000371E0000}"/>
    <cellStyle name="Normal 2 2 2 2 2 7 5 2" xfId="2409" xr:uid="{00000000-0005-0000-0000-0000381E0000}"/>
    <cellStyle name="Normal 2 2 2 2 2 7 5 2 2" xfId="6891" xr:uid="{00000000-0005-0000-0000-0000391E0000}"/>
    <cellStyle name="Normal 2 2 2 2 2 7 5 2 2 2" xfId="15921" xr:uid="{00000000-0005-0000-0000-00003A1E0000}"/>
    <cellStyle name="Normal 2 2 2 2 2 7 5 2 2 2 2" xfId="35973" xr:uid="{00000000-0005-0000-0000-00003B1E0000}"/>
    <cellStyle name="Normal 2 2 2 2 2 7 5 2 2 3" xfId="26943" xr:uid="{00000000-0005-0000-0000-00003C1E0000}"/>
    <cellStyle name="Normal 2 2 2 2 2 7 5 2 3" xfId="11439" xr:uid="{00000000-0005-0000-0000-00003D1E0000}"/>
    <cellStyle name="Normal 2 2 2 2 2 7 5 2 3 2" xfId="31491" xr:uid="{00000000-0005-0000-0000-00003E1E0000}"/>
    <cellStyle name="Normal 2 2 2 2 2 7 5 2 4" xfId="22461" xr:uid="{00000000-0005-0000-0000-00003F1E0000}"/>
    <cellStyle name="Normal 2 2 2 2 2 7 5 3" xfId="3903" xr:uid="{00000000-0005-0000-0000-0000401E0000}"/>
    <cellStyle name="Normal 2 2 2 2 2 7 5 3 2" xfId="8385" xr:uid="{00000000-0005-0000-0000-0000411E0000}"/>
    <cellStyle name="Normal 2 2 2 2 2 7 5 3 2 2" xfId="17415" xr:uid="{00000000-0005-0000-0000-0000421E0000}"/>
    <cellStyle name="Normal 2 2 2 2 2 7 5 3 2 2 2" xfId="37467" xr:uid="{00000000-0005-0000-0000-0000431E0000}"/>
    <cellStyle name="Normal 2 2 2 2 2 7 5 3 2 3" xfId="28437" xr:uid="{00000000-0005-0000-0000-0000441E0000}"/>
    <cellStyle name="Normal 2 2 2 2 2 7 5 3 3" xfId="12933" xr:uid="{00000000-0005-0000-0000-0000451E0000}"/>
    <cellStyle name="Normal 2 2 2 2 2 7 5 3 3 2" xfId="32985" xr:uid="{00000000-0005-0000-0000-0000461E0000}"/>
    <cellStyle name="Normal 2 2 2 2 2 7 5 3 4" xfId="23955" xr:uid="{00000000-0005-0000-0000-0000471E0000}"/>
    <cellStyle name="Normal 2 2 2 2 2 7 5 4" xfId="5397" xr:uid="{00000000-0005-0000-0000-0000481E0000}"/>
    <cellStyle name="Normal 2 2 2 2 2 7 5 4 2" xfId="14427" xr:uid="{00000000-0005-0000-0000-0000491E0000}"/>
    <cellStyle name="Normal 2 2 2 2 2 7 5 4 2 2" xfId="34479" xr:uid="{00000000-0005-0000-0000-00004A1E0000}"/>
    <cellStyle name="Normal 2 2 2 2 2 7 5 4 3" xfId="25449" xr:uid="{00000000-0005-0000-0000-00004B1E0000}"/>
    <cellStyle name="Normal 2 2 2 2 2 7 5 5" xfId="9945" xr:uid="{00000000-0005-0000-0000-00004C1E0000}"/>
    <cellStyle name="Normal 2 2 2 2 2 7 5 5 2" xfId="29997" xr:uid="{00000000-0005-0000-0000-00004D1E0000}"/>
    <cellStyle name="Normal 2 2 2 2 2 7 5 6" xfId="20967" xr:uid="{00000000-0005-0000-0000-00004E1E0000}"/>
    <cellStyle name="Normal 2 2 2 2 2 7 6" xfId="1664" xr:uid="{00000000-0005-0000-0000-00004F1E0000}"/>
    <cellStyle name="Normal 2 2 2 2 2 7 6 2" xfId="6146" xr:uid="{00000000-0005-0000-0000-0000501E0000}"/>
    <cellStyle name="Normal 2 2 2 2 2 7 6 2 2" xfId="15176" xr:uid="{00000000-0005-0000-0000-0000511E0000}"/>
    <cellStyle name="Normal 2 2 2 2 2 7 6 2 2 2" xfId="35228" xr:uid="{00000000-0005-0000-0000-0000521E0000}"/>
    <cellStyle name="Normal 2 2 2 2 2 7 6 2 3" xfId="26198" xr:uid="{00000000-0005-0000-0000-0000531E0000}"/>
    <cellStyle name="Normal 2 2 2 2 2 7 6 3" xfId="10694" xr:uid="{00000000-0005-0000-0000-0000541E0000}"/>
    <cellStyle name="Normal 2 2 2 2 2 7 6 3 2" xfId="30746" xr:uid="{00000000-0005-0000-0000-0000551E0000}"/>
    <cellStyle name="Normal 2 2 2 2 2 7 6 4" xfId="21716" xr:uid="{00000000-0005-0000-0000-0000561E0000}"/>
    <cellStyle name="Normal 2 2 2 2 2 7 7" xfId="3158" xr:uid="{00000000-0005-0000-0000-0000571E0000}"/>
    <cellStyle name="Normal 2 2 2 2 2 7 7 2" xfId="7640" xr:uid="{00000000-0005-0000-0000-0000581E0000}"/>
    <cellStyle name="Normal 2 2 2 2 2 7 7 2 2" xfId="16670" xr:uid="{00000000-0005-0000-0000-0000591E0000}"/>
    <cellStyle name="Normal 2 2 2 2 2 7 7 2 2 2" xfId="36722" xr:uid="{00000000-0005-0000-0000-00005A1E0000}"/>
    <cellStyle name="Normal 2 2 2 2 2 7 7 2 3" xfId="27692" xr:uid="{00000000-0005-0000-0000-00005B1E0000}"/>
    <cellStyle name="Normal 2 2 2 2 2 7 7 3" xfId="12188" xr:uid="{00000000-0005-0000-0000-00005C1E0000}"/>
    <cellStyle name="Normal 2 2 2 2 2 7 7 3 2" xfId="32240" xr:uid="{00000000-0005-0000-0000-00005D1E0000}"/>
    <cellStyle name="Normal 2 2 2 2 2 7 7 4" xfId="23210" xr:uid="{00000000-0005-0000-0000-00005E1E0000}"/>
    <cellStyle name="Normal 2 2 2 2 2 7 8" xfId="4652" xr:uid="{00000000-0005-0000-0000-00005F1E0000}"/>
    <cellStyle name="Normal 2 2 2 2 2 7 8 2" xfId="13682" xr:uid="{00000000-0005-0000-0000-0000601E0000}"/>
    <cellStyle name="Normal 2 2 2 2 2 7 8 2 2" xfId="33734" xr:uid="{00000000-0005-0000-0000-0000611E0000}"/>
    <cellStyle name="Normal 2 2 2 2 2 7 8 3" xfId="24704" xr:uid="{00000000-0005-0000-0000-0000621E0000}"/>
    <cellStyle name="Normal 2 2 2 2 2 7 9" xfId="9200" xr:uid="{00000000-0005-0000-0000-0000631E0000}"/>
    <cellStyle name="Normal 2 2 2 2 2 7 9 2" xfId="29252" xr:uid="{00000000-0005-0000-0000-0000641E0000}"/>
    <cellStyle name="Normal 2 2 2 2 2 8" xfId="193" xr:uid="{00000000-0005-0000-0000-0000651E0000}"/>
    <cellStyle name="Normal 2 2 2 2 2 8 10" xfId="20245" xr:uid="{00000000-0005-0000-0000-0000661E0000}"/>
    <cellStyle name="Normal 2 2 2 2 2 8 2" xfId="379" xr:uid="{00000000-0005-0000-0000-0000671E0000}"/>
    <cellStyle name="Normal 2 2 2 2 2 8 2 2" xfId="1122" xr:uid="{00000000-0005-0000-0000-0000681E0000}"/>
    <cellStyle name="Normal 2 2 2 2 2 8 2 2 2" xfId="2616" xr:uid="{00000000-0005-0000-0000-0000691E0000}"/>
    <cellStyle name="Normal 2 2 2 2 2 8 2 2 2 2" xfId="7098" xr:uid="{00000000-0005-0000-0000-00006A1E0000}"/>
    <cellStyle name="Normal 2 2 2 2 2 8 2 2 2 2 2" xfId="16128" xr:uid="{00000000-0005-0000-0000-00006B1E0000}"/>
    <cellStyle name="Normal 2 2 2 2 2 8 2 2 2 2 2 2" xfId="36180" xr:uid="{00000000-0005-0000-0000-00006C1E0000}"/>
    <cellStyle name="Normal 2 2 2 2 2 8 2 2 2 2 3" xfId="27150" xr:uid="{00000000-0005-0000-0000-00006D1E0000}"/>
    <cellStyle name="Normal 2 2 2 2 2 8 2 2 2 3" xfId="11646" xr:uid="{00000000-0005-0000-0000-00006E1E0000}"/>
    <cellStyle name="Normal 2 2 2 2 2 8 2 2 2 3 2" xfId="31698" xr:uid="{00000000-0005-0000-0000-00006F1E0000}"/>
    <cellStyle name="Normal 2 2 2 2 2 8 2 2 2 4" xfId="22668" xr:uid="{00000000-0005-0000-0000-0000701E0000}"/>
    <cellStyle name="Normal 2 2 2 2 2 8 2 2 3" xfId="4110" xr:uid="{00000000-0005-0000-0000-0000711E0000}"/>
    <cellStyle name="Normal 2 2 2 2 2 8 2 2 3 2" xfId="8592" xr:uid="{00000000-0005-0000-0000-0000721E0000}"/>
    <cellStyle name="Normal 2 2 2 2 2 8 2 2 3 2 2" xfId="17622" xr:uid="{00000000-0005-0000-0000-0000731E0000}"/>
    <cellStyle name="Normal 2 2 2 2 2 8 2 2 3 2 2 2" xfId="37674" xr:uid="{00000000-0005-0000-0000-0000741E0000}"/>
    <cellStyle name="Normal 2 2 2 2 2 8 2 2 3 2 3" xfId="28644" xr:uid="{00000000-0005-0000-0000-0000751E0000}"/>
    <cellStyle name="Normal 2 2 2 2 2 8 2 2 3 3" xfId="13140" xr:uid="{00000000-0005-0000-0000-0000761E0000}"/>
    <cellStyle name="Normal 2 2 2 2 2 8 2 2 3 3 2" xfId="33192" xr:uid="{00000000-0005-0000-0000-0000771E0000}"/>
    <cellStyle name="Normal 2 2 2 2 2 8 2 2 3 4" xfId="24162" xr:uid="{00000000-0005-0000-0000-0000781E0000}"/>
    <cellStyle name="Normal 2 2 2 2 2 8 2 2 4" xfId="5604" xr:uid="{00000000-0005-0000-0000-0000791E0000}"/>
    <cellStyle name="Normal 2 2 2 2 2 8 2 2 4 2" xfId="14634" xr:uid="{00000000-0005-0000-0000-00007A1E0000}"/>
    <cellStyle name="Normal 2 2 2 2 2 8 2 2 4 2 2" xfId="34686" xr:uid="{00000000-0005-0000-0000-00007B1E0000}"/>
    <cellStyle name="Normal 2 2 2 2 2 8 2 2 4 3" xfId="25656" xr:uid="{00000000-0005-0000-0000-00007C1E0000}"/>
    <cellStyle name="Normal 2 2 2 2 2 8 2 2 5" xfId="10152" xr:uid="{00000000-0005-0000-0000-00007D1E0000}"/>
    <cellStyle name="Normal 2 2 2 2 2 8 2 2 5 2" xfId="30204" xr:uid="{00000000-0005-0000-0000-00007E1E0000}"/>
    <cellStyle name="Normal 2 2 2 2 2 8 2 2 6" xfId="21174" xr:uid="{00000000-0005-0000-0000-00007F1E0000}"/>
    <cellStyle name="Normal 2 2 2 2 2 8 2 3" xfId="1873" xr:uid="{00000000-0005-0000-0000-0000801E0000}"/>
    <cellStyle name="Normal 2 2 2 2 2 8 2 3 2" xfId="6355" xr:uid="{00000000-0005-0000-0000-0000811E0000}"/>
    <cellStyle name="Normal 2 2 2 2 2 8 2 3 2 2" xfId="15385" xr:uid="{00000000-0005-0000-0000-0000821E0000}"/>
    <cellStyle name="Normal 2 2 2 2 2 8 2 3 2 2 2" xfId="35437" xr:uid="{00000000-0005-0000-0000-0000831E0000}"/>
    <cellStyle name="Normal 2 2 2 2 2 8 2 3 2 3" xfId="26407" xr:uid="{00000000-0005-0000-0000-0000841E0000}"/>
    <cellStyle name="Normal 2 2 2 2 2 8 2 3 3" xfId="10903" xr:uid="{00000000-0005-0000-0000-0000851E0000}"/>
    <cellStyle name="Normal 2 2 2 2 2 8 2 3 3 2" xfId="30955" xr:uid="{00000000-0005-0000-0000-0000861E0000}"/>
    <cellStyle name="Normal 2 2 2 2 2 8 2 3 4" xfId="21925" xr:uid="{00000000-0005-0000-0000-0000871E0000}"/>
    <cellStyle name="Normal 2 2 2 2 2 8 2 4" xfId="3367" xr:uid="{00000000-0005-0000-0000-0000881E0000}"/>
    <cellStyle name="Normal 2 2 2 2 2 8 2 4 2" xfId="7849" xr:uid="{00000000-0005-0000-0000-0000891E0000}"/>
    <cellStyle name="Normal 2 2 2 2 2 8 2 4 2 2" xfId="16879" xr:uid="{00000000-0005-0000-0000-00008A1E0000}"/>
    <cellStyle name="Normal 2 2 2 2 2 8 2 4 2 2 2" xfId="36931" xr:uid="{00000000-0005-0000-0000-00008B1E0000}"/>
    <cellStyle name="Normal 2 2 2 2 2 8 2 4 2 3" xfId="27901" xr:uid="{00000000-0005-0000-0000-00008C1E0000}"/>
    <cellStyle name="Normal 2 2 2 2 2 8 2 4 3" xfId="12397" xr:uid="{00000000-0005-0000-0000-00008D1E0000}"/>
    <cellStyle name="Normal 2 2 2 2 2 8 2 4 3 2" xfId="32449" xr:uid="{00000000-0005-0000-0000-00008E1E0000}"/>
    <cellStyle name="Normal 2 2 2 2 2 8 2 4 4" xfId="23419" xr:uid="{00000000-0005-0000-0000-00008F1E0000}"/>
    <cellStyle name="Normal 2 2 2 2 2 8 2 5" xfId="4861" xr:uid="{00000000-0005-0000-0000-0000901E0000}"/>
    <cellStyle name="Normal 2 2 2 2 2 8 2 5 2" xfId="13891" xr:uid="{00000000-0005-0000-0000-0000911E0000}"/>
    <cellStyle name="Normal 2 2 2 2 2 8 2 5 2 2" xfId="33943" xr:uid="{00000000-0005-0000-0000-0000921E0000}"/>
    <cellStyle name="Normal 2 2 2 2 2 8 2 5 3" xfId="24913" xr:uid="{00000000-0005-0000-0000-0000931E0000}"/>
    <cellStyle name="Normal 2 2 2 2 2 8 2 6" xfId="9409" xr:uid="{00000000-0005-0000-0000-0000941E0000}"/>
    <cellStyle name="Normal 2 2 2 2 2 8 2 6 2" xfId="29461" xr:uid="{00000000-0005-0000-0000-0000951E0000}"/>
    <cellStyle name="Normal 2 2 2 2 2 8 2 7" xfId="20431" xr:uid="{00000000-0005-0000-0000-0000961E0000}"/>
    <cellStyle name="Normal 2 2 2 2 2 8 3" xfId="565" xr:uid="{00000000-0005-0000-0000-0000971E0000}"/>
    <cellStyle name="Normal 2 2 2 2 2 8 3 2" xfId="1312" xr:uid="{00000000-0005-0000-0000-0000981E0000}"/>
    <cellStyle name="Normal 2 2 2 2 2 8 3 2 2" xfId="2806" xr:uid="{00000000-0005-0000-0000-0000991E0000}"/>
    <cellStyle name="Normal 2 2 2 2 2 8 3 2 2 2" xfId="7288" xr:uid="{00000000-0005-0000-0000-00009A1E0000}"/>
    <cellStyle name="Normal 2 2 2 2 2 8 3 2 2 2 2" xfId="16318" xr:uid="{00000000-0005-0000-0000-00009B1E0000}"/>
    <cellStyle name="Normal 2 2 2 2 2 8 3 2 2 2 2 2" xfId="36370" xr:uid="{00000000-0005-0000-0000-00009C1E0000}"/>
    <cellStyle name="Normal 2 2 2 2 2 8 3 2 2 2 3" xfId="27340" xr:uid="{00000000-0005-0000-0000-00009D1E0000}"/>
    <cellStyle name="Normal 2 2 2 2 2 8 3 2 2 3" xfId="11836" xr:uid="{00000000-0005-0000-0000-00009E1E0000}"/>
    <cellStyle name="Normal 2 2 2 2 2 8 3 2 2 3 2" xfId="31888" xr:uid="{00000000-0005-0000-0000-00009F1E0000}"/>
    <cellStyle name="Normal 2 2 2 2 2 8 3 2 2 4" xfId="22858" xr:uid="{00000000-0005-0000-0000-0000A01E0000}"/>
    <cellStyle name="Normal 2 2 2 2 2 8 3 2 3" xfId="4300" xr:uid="{00000000-0005-0000-0000-0000A11E0000}"/>
    <cellStyle name="Normal 2 2 2 2 2 8 3 2 3 2" xfId="8782" xr:uid="{00000000-0005-0000-0000-0000A21E0000}"/>
    <cellStyle name="Normal 2 2 2 2 2 8 3 2 3 2 2" xfId="17812" xr:uid="{00000000-0005-0000-0000-0000A31E0000}"/>
    <cellStyle name="Normal 2 2 2 2 2 8 3 2 3 2 2 2" xfId="37864" xr:uid="{00000000-0005-0000-0000-0000A41E0000}"/>
    <cellStyle name="Normal 2 2 2 2 2 8 3 2 3 2 3" xfId="28834" xr:uid="{00000000-0005-0000-0000-0000A51E0000}"/>
    <cellStyle name="Normal 2 2 2 2 2 8 3 2 3 3" xfId="13330" xr:uid="{00000000-0005-0000-0000-0000A61E0000}"/>
    <cellStyle name="Normal 2 2 2 2 2 8 3 2 3 3 2" xfId="33382" xr:uid="{00000000-0005-0000-0000-0000A71E0000}"/>
    <cellStyle name="Normal 2 2 2 2 2 8 3 2 3 4" xfId="24352" xr:uid="{00000000-0005-0000-0000-0000A81E0000}"/>
    <cellStyle name="Normal 2 2 2 2 2 8 3 2 4" xfId="5794" xr:uid="{00000000-0005-0000-0000-0000A91E0000}"/>
    <cellStyle name="Normal 2 2 2 2 2 8 3 2 4 2" xfId="14824" xr:uid="{00000000-0005-0000-0000-0000AA1E0000}"/>
    <cellStyle name="Normal 2 2 2 2 2 8 3 2 4 2 2" xfId="34876" xr:uid="{00000000-0005-0000-0000-0000AB1E0000}"/>
    <cellStyle name="Normal 2 2 2 2 2 8 3 2 4 3" xfId="25846" xr:uid="{00000000-0005-0000-0000-0000AC1E0000}"/>
    <cellStyle name="Normal 2 2 2 2 2 8 3 2 5" xfId="10342" xr:uid="{00000000-0005-0000-0000-0000AD1E0000}"/>
    <cellStyle name="Normal 2 2 2 2 2 8 3 2 5 2" xfId="30394" xr:uid="{00000000-0005-0000-0000-0000AE1E0000}"/>
    <cellStyle name="Normal 2 2 2 2 2 8 3 2 6" xfId="21364" xr:uid="{00000000-0005-0000-0000-0000AF1E0000}"/>
    <cellStyle name="Normal 2 2 2 2 2 8 3 3" xfId="2059" xr:uid="{00000000-0005-0000-0000-0000B01E0000}"/>
    <cellStyle name="Normal 2 2 2 2 2 8 3 3 2" xfId="6541" xr:uid="{00000000-0005-0000-0000-0000B11E0000}"/>
    <cellStyle name="Normal 2 2 2 2 2 8 3 3 2 2" xfId="15571" xr:uid="{00000000-0005-0000-0000-0000B21E0000}"/>
    <cellStyle name="Normal 2 2 2 2 2 8 3 3 2 2 2" xfId="35623" xr:uid="{00000000-0005-0000-0000-0000B31E0000}"/>
    <cellStyle name="Normal 2 2 2 2 2 8 3 3 2 3" xfId="26593" xr:uid="{00000000-0005-0000-0000-0000B41E0000}"/>
    <cellStyle name="Normal 2 2 2 2 2 8 3 3 3" xfId="11089" xr:uid="{00000000-0005-0000-0000-0000B51E0000}"/>
    <cellStyle name="Normal 2 2 2 2 2 8 3 3 3 2" xfId="31141" xr:uid="{00000000-0005-0000-0000-0000B61E0000}"/>
    <cellStyle name="Normal 2 2 2 2 2 8 3 3 4" xfId="22111" xr:uid="{00000000-0005-0000-0000-0000B71E0000}"/>
    <cellStyle name="Normal 2 2 2 2 2 8 3 4" xfId="3553" xr:uid="{00000000-0005-0000-0000-0000B81E0000}"/>
    <cellStyle name="Normal 2 2 2 2 2 8 3 4 2" xfId="8035" xr:uid="{00000000-0005-0000-0000-0000B91E0000}"/>
    <cellStyle name="Normal 2 2 2 2 2 8 3 4 2 2" xfId="17065" xr:uid="{00000000-0005-0000-0000-0000BA1E0000}"/>
    <cellStyle name="Normal 2 2 2 2 2 8 3 4 2 2 2" xfId="37117" xr:uid="{00000000-0005-0000-0000-0000BB1E0000}"/>
    <cellStyle name="Normal 2 2 2 2 2 8 3 4 2 3" xfId="28087" xr:uid="{00000000-0005-0000-0000-0000BC1E0000}"/>
    <cellStyle name="Normal 2 2 2 2 2 8 3 4 3" xfId="12583" xr:uid="{00000000-0005-0000-0000-0000BD1E0000}"/>
    <cellStyle name="Normal 2 2 2 2 2 8 3 4 3 2" xfId="32635" xr:uid="{00000000-0005-0000-0000-0000BE1E0000}"/>
    <cellStyle name="Normal 2 2 2 2 2 8 3 4 4" xfId="23605" xr:uid="{00000000-0005-0000-0000-0000BF1E0000}"/>
    <cellStyle name="Normal 2 2 2 2 2 8 3 5" xfId="5047" xr:uid="{00000000-0005-0000-0000-0000C01E0000}"/>
    <cellStyle name="Normal 2 2 2 2 2 8 3 5 2" xfId="14077" xr:uid="{00000000-0005-0000-0000-0000C11E0000}"/>
    <cellStyle name="Normal 2 2 2 2 2 8 3 5 2 2" xfId="34129" xr:uid="{00000000-0005-0000-0000-0000C21E0000}"/>
    <cellStyle name="Normal 2 2 2 2 2 8 3 5 3" xfId="25099" xr:uid="{00000000-0005-0000-0000-0000C31E0000}"/>
    <cellStyle name="Normal 2 2 2 2 2 8 3 6" xfId="9595" xr:uid="{00000000-0005-0000-0000-0000C41E0000}"/>
    <cellStyle name="Normal 2 2 2 2 2 8 3 6 2" xfId="29647" xr:uid="{00000000-0005-0000-0000-0000C51E0000}"/>
    <cellStyle name="Normal 2 2 2 2 2 8 3 7" xfId="20617" xr:uid="{00000000-0005-0000-0000-0000C61E0000}"/>
    <cellStyle name="Normal 2 2 2 2 2 8 4" xfId="751" xr:uid="{00000000-0005-0000-0000-0000C71E0000}"/>
    <cellStyle name="Normal 2 2 2 2 2 8 4 2" xfId="1498" xr:uid="{00000000-0005-0000-0000-0000C81E0000}"/>
    <cellStyle name="Normal 2 2 2 2 2 8 4 2 2" xfId="2992" xr:uid="{00000000-0005-0000-0000-0000C91E0000}"/>
    <cellStyle name="Normal 2 2 2 2 2 8 4 2 2 2" xfId="7474" xr:uid="{00000000-0005-0000-0000-0000CA1E0000}"/>
    <cellStyle name="Normal 2 2 2 2 2 8 4 2 2 2 2" xfId="16504" xr:uid="{00000000-0005-0000-0000-0000CB1E0000}"/>
    <cellStyle name="Normal 2 2 2 2 2 8 4 2 2 2 2 2" xfId="36556" xr:uid="{00000000-0005-0000-0000-0000CC1E0000}"/>
    <cellStyle name="Normal 2 2 2 2 2 8 4 2 2 2 3" xfId="27526" xr:uid="{00000000-0005-0000-0000-0000CD1E0000}"/>
    <cellStyle name="Normal 2 2 2 2 2 8 4 2 2 3" xfId="12022" xr:uid="{00000000-0005-0000-0000-0000CE1E0000}"/>
    <cellStyle name="Normal 2 2 2 2 2 8 4 2 2 3 2" xfId="32074" xr:uid="{00000000-0005-0000-0000-0000CF1E0000}"/>
    <cellStyle name="Normal 2 2 2 2 2 8 4 2 2 4" xfId="23044" xr:uid="{00000000-0005-0000-0000-0000D01E0000}"/>
    <cellStyle name="Normal 2 2 2 2 2 8 4 2 3" xfId="4486" xr:uid="{00000000-0005-0000-0000-0000D11E0000}"/>
    <cellStyle name="Normal 2 2 2 2 2 8 4 2 3 2" xfId="8968" xr:uid="{00000000-0005-0000-0000-0000D21E0000}"/>
    <cellStyle name="Normal 2 2 2 2 2 8 4 2 3 2 2" xfId="17998" xr:uid="{00000000-0005-0000-0000-0000D31E0000}"/>
    <cellStyle name="Normal 2 2 2 2 2 8 4 2 3 2 2 2" xfId="38050" xr:uid="{00000000-0005-0000-0000-0000D41E0000}"/>
    <cellStyle name="Normal 2 2 2 2 2 8 4 2 3 2 3" xfId="29020" xr:uid="{00000000-0005-0000-0000-0000D51E0000}"/>
    <cellStyle name="Normal 2 2 2 2 2 8 4 2 3 3" xfId="13516" xr:uid="{00000000-0005-0000-0000-0000D61E0000}"/>
    <cellStyle name="Normal 2 2 2 2 2 8 4 2 3 3 2" xfId="33568" xr:uid="{00000000-0005-0000-0000-0000D71E0000}"/>
    <cellStyle name="Normal 2 2 2 2 2 8 4 2 3 4" xfId="24538" xr:uid="{00000000-0005-0000-0000-0000D81E0000}"/>
    <cellStyle name="Normal 2 2 2 2 2 8 4 2 4" xfId="5980" xr:uid="{00000000-0005-0000-0000-0000D91E0000}"/>
    <cellStyle name="Normal 2 2 2 2 2 8 4 2 4 2" xfId="15010" xr:uid="{00000000-0005-0000-0000-0000DA1E0000}"/>
    <cellStyle name="Normal 2 2 2 2 2 8 4 2 4 2 2" xfId="35062" xr:uid="{00000000-0005-0000-0000-0000DB1E0000}"/>
    <cellStyle name="Normal 2 2 2 2 2 8 4 2 4 3" xfId="26032" xr:uid="{00000000-0005-0000-0000-0000DC1E0000}"/>
    <cellStyle name="Normal 2 2 2 2 2 8 4 2 5" xfId="10528" xr:uid="{00000000-0005-0000-0000-0000DD1E0000}"/>
    <cellStyle name="Normal 2 2 2 2 2 8 4 2 5 2" xfId="30580" xr:uid="{00000000-0005-0000-0000-0000DE1E0000}"/>
    <cellStyle name="Normal 2 2 2 2 2 8 4 2 6" xfId="21550" xr:uid="{00000000-0005-0000-0000-0000DF1E0000}"/>
    <cellStyle name="Normal 2 2 2 2 2 8 4 3" xfId="2245" xr:uid="{00000000-0005-0000-0000-0000E01E0000}"/>
    <cellStyle name="Normal 2 2 2 2 2 8 4 3 2" xfId="6727" xr:uid="{00000000-0005-0000-0000-0000E11E0000}"/>
    <cellStyle name="Normal 2 2 2 2 2 8 4 3 2 2" xfId="15757" xr:uid="{00000000-0005-0000-0000-0000E21E0000}"/>
    <cellStyle name="Normal 2 2 2 2 2 8 4 3 2 2 2" xfId="35809" xr:uid="{00000000-0005-0000-0000-0000E31E0000}"/>
    <cellStyle name="Normal 2 2 2 2 2 8 4 3 2 3" xfId="26779" xr:uid="{00000000-0005-0000-0000-0000E41E0000}"/>
    <cellStyle name="Normal 2 2 2 2 2 8 4 3 3" xfId="11275" xr:uid="{00000000-0005-0000-0000-0000E51E0000}"/>
    <cellStyle name="Normal 2 2 2 2 2 8 4 3 3 2" xfId="31327" xr:uid="{00000000-0005-0000-0000-0000E61E0000}"/>
    <cellStyle name="Normal 2 2 2 2 2 8 4 3 4" xfId="22297" xr:uid="{00000000-0005-0000-0000-0000E71E0000}"/>
    <cellStyle name="Normal 2 2 2 2 2 8 4 4" xfId="3739" xr:uid="{00000000-0005-0000-0000-0000E81E0000}"/>
    <cellStyle name="Normal 2 2 2 2 2 8 4 4 2" xfId="8221" xr:uid="{00000000-0005-0000-0000-0000E91E0000}"/>
    <cellStyle name="Normal 2 2 2 2 2 8 4 4 2 2" xfId="17251" xr:uid="{00000000-0005-0000-0000-0000EA1E0000}"/>
    <cellStyle name="Normal 2 2 2 2 2 8 4 4 2 2 2" xfId="37303" xr:uid="{00000000-0005-0000-0000-0000EB1E0000}"/>
    <cellStyle name="Normal 2 2 2 2 2 8 4 4 2 3" xfId="28273" xr:uid="{00000000-0005-0000-0000-0000EC1E0000}"/>
    <cellStyle name="Normal 2 2 2 2 2 8 4 4 3" xfId="12769" xr:uid="{00000000-0005-0000-0000-0000ED1E0000}"/>
    <cellStyle name="Normal 2 2 2 2 2 8 4 4 3 2" xfId="32821" xr:uid="{00000000-0005-0000-0000-0000EE1E0000}"/>
    <cellStyle name="Normal 2 2 2 2 2 8 4 4 4" xfId="23791" xr:uid="{00000000-0005-0000-0000-0000EF1E0000}"/>
    <cellStyle name="Normal 2 2 2 2 2 8 4 5" xfId="5233" xr:uid="{00000000-0005-0000-0000-0000F01E0000}"/>
    <cellStyle name="Normal 2 2 2 2 2 8 4 5 2" xfId="14263" xr:uid="{00000000-0005-0000-0000-0000F11E0000}"/>
    <cellStyle name="Normal 2 2 2 2 2 8 4 5 2 2" xfId="34315" xr:uid="{00000000-0005-0000-0000-0000F21E0000}"/>
    <cellStyle name="Normal 2 2 2 2 2 8 4 5 3" xfId="25285" xr:uid="{00000000-0005-0000-0000-0000F31E0000}"/>
    <cellStyle name="Normal 2 2 2 2 2 8 4 6" xfId="9781" xr:uid="{00000000-0005-0000-0000-0000F41E0000}"/>
    <cellStyle name="Normal 2 2 2 2 2 8 4 6 2" xfId="29833" xr:uid="{00000000-0005-0000-0000-0000F51E0000}"/>
    <cellStyle name="Normal 2 2 2 2 2 8 4 7" xfId="20803" xr:uid="{00000000-0005-0000-0000-0000F61E0000}"/>
    <cellStyle name="Normal 2 2 2 2 2 8 5" xfId="938" xr:uid="{00000000-0005-0000-0000-0000F71E0000}"/>
    <cellStyle name="Normal 2 2 2 2 2 8 5 2" xfId="2432" xr:uid="{00000000-0005-0000-0000-0000F81E0000}"/>
    <cellStyle name="Normal 2 2 2 2 2 8 5 2 2" xfId="6914" xr:uid="{00000000-0005-0000-0000-0000F91E0000}"/>
    <cellStyle name="Normal 2 2 2 2 2 8 5 2 2 2" xfId="15944" xr:uid="{00000000-0005-0000-0000-0000FA1E0000}"/>
    <cellStyle name="Normal 2 2 2 2 2 8 5 2 2 2 2" xfId="35996" xr:uid="{00000000-0005-0000-0000-0000FB1E0000}"/>
    <cellStyle name="Normal 2 2 2 2 2 8 5 2 2 3" xfId="26966" xr:uid="{00000000-0005-0000-0000-0000FC1E0000}"/>
    <cellStyle name="Normal 2 2 2 2 2 8 5 2 3" xfId="11462" xr:uid="{00000000-0005-0000-0000-0000FD1E0000}"/>
    <cellStyle name="Normal 2 2 2 2 2 8 5 2 3 2" xfId="31514" xr:uid="{00000000-0005-0000-0000-0000FE1E0000}"/>
    <cellStyle name="Normal 2 2 2 2 2 8 5 2 4" xfId="22484" xr:uid="{00000000-0005-0000-0000-0000FF1E0000}"/>
    <cellStyle name="Normal 2 2 2 2 2 8 5 3" xfId="3926" xr:uid="{00000000-0005-0000-0000-0000001F0000}"/>
    <cellStyle name="Normal 2 2 2 2 2 8 5 3 2" xfId="8408" xr:uid="{00000000-0005-0000-0000-0000011F0000}"/>
    <cellStyle name="Normal 2 2 2 2 2 8 5 3 2 2" xfId="17438" xr:uid="{00000000-0005-0000-0000-0000021F0000}"/>
    <cellStyle name="Normal 2 2 2 2 2 8 5 3 2 2 2" xfId="37490" xr:uid="{00000000-0005-0000-0000-0000031F0000}"/>
    <cellStyle name="Normal 2 2 2 2 2 8 5 3 2 3" xfId="28460" xr:uid="{00000000-0005-0000-0000-0000041F0000}"/>
    <cellStyle name="Normal 2 2 2 2 2 8 5 3 3" xfId="12956" xr:uid="{00000000-0005-0000-0000-0000051F0000}"/>
    <cellStyle name="Normal 2 2 2 2 2 8 5 3 3 2" xfId="33008" xr:uid="{00000000-0005-0000-0000-0000061F0000}"/>
    <cellStyle name="Normal 2 2 2 2 2 8 5 3 4" xfId="23978" xr:uid="{00000000-0005-0000-0000-0000071F0000}"/>
    <cellStyle name="Normal 2 2 2 2 2 8 5 4" xfId="5420" xr:uid="{00000000-0005-0000-0000-0000081F0000}"/>
    <cellStyle name="Normal 2 2 2 2 2 8 5 4 2" xfId="14450" xr:uid="{00000000-0005-0000-0000-0000091F0000}"/>
    <cellStyle name="Normal 2 2 2 2 2 8 5 4 2 2" xfId="34502" xr:uid="{00000000-0005-0000-0000-00000A1F0000}"/>
    <cellStyle name="Normal 2 2 2 2 2 8 5 4 3" xfId="25472" xr:uid="{00000000-0005-0000-0000-00000B1F0000}"/>
    <cellStyle name="Normal 2 2 2 2 2 8 5 5" xfId="9968" xr:uid="{00000000-0005-0000-0000-00000C1F0000}"/>
    <cellStyle name="Normal 2 2 2 2 2 8 5 5 2" xfId="30020" xr:uid="{00000000-0005-0000-0000-00000D1F0000}"/>
    <cellStyle name="Normal 2 2 2 2 2 8 5 6" xfId="20990" xr:uid="{00000000-0005-0000-0000-00000E1F0000}"/>
    <cellStyle name="Normal 2 2 2 2 2 8 6" xfId="1687" xr:uid="{00000000-0005-0000-0000-00000F1F0000}"/>
    <cellStyle name="Normal 2 2 2 2 2 8 6 2" xfId="6169" xr:uid="{00000000-0005-0000-0000-0000101F0000}"/>
    <cellStyle name="Normal 2 2 2 2 2 8 6 2 2" xfId="15199" xr:uid="{00000000-0005-0000-0000-0000111F0000}"/>
    <cellStyle name="Normal 2 2 2 2 2 8 6 2 2 2" xfId="35251" xr:uid="{00000000-0005-0000-0000-0000121F0000}"/>
    <cellStyle name="Normal 2 2 2 2 2 8 6 2 3" xfId="26221" xr:uid="{00000000-0005-0000-0000-0000131F0000}"/>
    <cellStyle name="Normal 2 2 2 2 2 8 6 3" xfId="10717" xr:uid="{00000000-0005-0000-0000-0000141F0000}"/>
    <cellStyle name="Normal 2 2 2 2 2 8 6 3 2" xfId="30769" xr:uid="{00000000-0005-0000-0000-0000151F0000}"/>
    <cellStyle name="Normal 2 2 2 2 2 8 6 4" xfId="21739" xr:uid="{00000000-0005-0000-0000-0000161F0000}"/>
    <cellStyle name="Normal 2 2 2 2 2 8 7" xfId="3181" xr:uid="{00000000-0005-0000-0000-0000171F0000}"/>
    <cellStyle name="Normal 2 2 2 2 2 8 7 2" xfId="7663" xr:uid="{00000000-0005-0000-0000-0000181F0000}"/>
    <cellStyle name="Normal 2 2 2 2 2 8 7 2 2" xfId="16693" xr:uid="{00000000-0005-0000-0000-0000191F0000}"/>
    <cellStyle name="Normal 2 2 2 2 2 8 7 2 2 2" xfId="36745" xr:uid="{00000000-0005-0000-0000-00001A1F0000}"/>
    <cellStyle name="Normal 2 2 2 2 2 8 7 2 3" xfId="27715" xr:uid="{00000000-0005-0000-0000-00001B1F0000}"/>
    <cellStyle name="Normal 2 2 2 2 2 8 7 3" xfId="12211" xr:uid="{00000000-0005-0000-0000-00001C1F0000}"/>
    <cellStyle name="Normal 2 2 2 2 2 8 7 3 2" xfId="32263" xr:uid="{00000000-0005-0000-0000-00001D1F0000}"/>
    <cellStyle name="Normal 2 2 2 2 2 8 7 4" xfId="23233" xr:uid="{00000000-0005-0000-0000-00001E1F0000}"/>
    <cellStyle name="Normal 2 2 2 2 2 8 8" xfId="4675" xr:uid="{00000000-0005-0000-0000-00001F1F0000}"/>
    <cellStyle name="Normal 2 2 2 2 2 8 8 2" xfId="13705" xr:uid="{00000000-0005-0000-0000-0000201F0000}"/>
    <cellStyle name="Normal 2 2 2 2 2 8 8 2 2" xfId="33757" xr:uid="{00000000-0005-0000-0000-0000211F0000}"/>
    <cellStyle name="Normal 2 2 2 2 2 8 8 3" xfId="24727" xr:uid="{00000000-0005-0000-0000-0000221F0000}"/>
    <cellStyle name="Normal 2 2 2 2 2 8 9" xfId="9223" xr:uid="{00000000-0005-0000-0000-0000231F0000}"/>
    <cellStyle name="Normal 2 2 2 2 2 8 9 2" xfId="29275" xr:uid="{00000000-0005-0000-0000-0000241F0000}"/>
    <cellStyle name="Normal 2 2 2 2 2 9" xfId="216" xr:uid="{00000000-0005-0000-0000-0000251F0000}"/>
    <cellStyle name="Normal 2 2 2 2 2 9 2" xfId="961" xr:uid="{00000000-0005-0000-0000-0000261F0000}"/>
    <cellStyle name="Normal 2 2 2 2 2 9 2 2" xfId="2455" xr:uid="{00000000-0005-0000-0000-0000271F0000}"/>
    <cellStyle name="Normal 2 2 2 2 2 9 2 2 2" xfId="6937" xr:uid="{00000000-0005-0000-0000-0000281F0000}"/>
    <cellStyle name="Normal 2 2 2 2 2 9 2 2 2 2" xfId="15967" xr:uid="{00000000-0005-0000-0000-0000291F0000}"/>
    <cellStyle name="Normal 2 2 2 2 2 9 2 2 2 2 2" xfId="36019" xr:uid="{00000000-0005-0000-0000-00002A1F0000}"/>
    <cellStyle name="Normal 2 2 2 2 2 9 2 2 2 3" xfId="26989" xr:uid="{00000000-0005-0000-0000-00002B1F0000}"/>
    <cellStyle name="Normal 2 2 2 2 2 9 2 2 3" xfId="11485" xr:uid="{00000000-0005-0000-0000-00002C1F0000}"/>
    <cellStyle name="Normal 2 2 2 2 2 9 2 2 3 2" xfId="31537" xr:uid="{00000000-0005-0000-0000-00002D1F0000}"/>
    <cellStyle name="Normal 2 2 2 2 2 9 2 2 4" xfId="22507" xr:uid="{00000000-0005-0000-0000-00002E1F0000}"/>
    <cellStyle name="Normal 2 2 2 2 2 9 2 3" xfId="3949" xr:uid="{00000000-0005-0000-0000-00002F1F0000}"/>
    <cellStyle name="Normal 2 2 2 2 2 9 2 3 2" xfId="8431" xr:uid="{00000000-0005-0000-0000-0000301F0000}"/>
    <cellStyle name="Normal 2 2 2 2 2 9 2 3 2 2" xfId="17461" xr:uid="{00000000-0005-0000-0000-0000311F0000}"/>
    <cellStyle name="Normal 2 2 2 2 2 9 2 3 2 2 2" xfId="37513" xr:uid="{00000000-0005-0000-0000-0000321F0000}"/>
    <cellStyle name="Normal 2 2 2 2 2 9 2 3 2 3" xfId="28483" xr:uid="{00000000-0005-0000-0000-0000331F0000}"/>
    <cellStyle name="Normal 2 2 2 2 2 9 2 3 3" xfId="12979" xr:uid="{00000000-0005-0000-0000-0000341F0000}"/>
    <cellStyle name="Normal 2 2 2 2 2 9 2 3 3 2" xfId="33031" xr:uid="{00000000-0005-0000-0000-0000351F0000}"/>
    <cellStyle name="Normal 2 2 2 2 2 9 2 3 4" xfId="24001" xr:uid="{00000000-0005-0000-0000-0000361F0000}"/>
    <cellStyle name="Normal 2 2 2 2 2 9 2 4" xfId="5443" xr:uid="{00000000-0005-0000-0000-0000371F0000}"/>
    <cellStyle name="Normal 2 2 2 2 2 9 2 4 2" xfId="14473" xr:uid="{00000000-0005-0000-0000-0000381F0000}"/>
    <cellStyle name="Normal 2 2 2 2 2 9 2 4 2 2" xfId="34525" xr:uid="{00000000-0005-0000-0000-0000391F0000}"/>
    <cellStyle name="Normal 2 2 2 2 2 9 2 4 3" xfId="25495" xr:uid="{00000000-0005-0000-0000-00003A1F0000}"/>
    <cellStyle name="Normal 2 2 2 2 2 9 2 5" xfId="9991" xr:uid="{00000000-0005-0000-0000-00003B1F0000}"/>
    <cellStyle name="Normal 2 2 2 2 2 9 2 5 2" xfId="30043" xr:uid="{00000000-0005-0000-0000-00003C1F0000}"/>
    <cellStyle name="Normal 2 2 2 2 2 9 2 6" xfId="21013" xr:uid="{00000000-0005-0000-0000-00003D1F0000}"/>
    <cellStyle name="Normal 2 2 2 2 2 9 3" xfId="1710" xr:uid="{00000000-0005-0000-0000-00003E1F0000}"/>
    <cellStyle name="Normal 2 2 2 2 2 9 3 2" xfId="6192" xr:uid="{00000000-0005-0000-0000-00003F1F0000}"/>
    <cellStyle name="Normal 2 2 2 2 2 9 3 2 2" xfId="15222" xr:uid="{00000000-0005-0000-0000-0000401F0000}"/>
    <cellStyle name="Normal 2 2 2 2 2 9 3 2 2 2" xfId="35274" xr:uid="{00000000-0005-0000-0000-0000411F0000}"/>
    <cellStyle name="Normal 2 2 2 2 2 9 3 2 3" xfId="26244" xr:uid="{00000000-0005-0000-0000-0000421F0000}"/>
    <cellStyle name="Normal 2 2 2 2 2 9 3 3" xfId="10740" xr:uid="{00000000-0005-0000-0000-0000431F0000}"/>
    <cellStyle name="Normal 2 2 2 2 2 9 3 3 2" xfId="30792" xr:uid="{00000000-0005-0000-0000-0000441F0000}"/>
    <cellStyle name="Normal 2 2 2 2 2 9 3 4" xfId="21762" xr:uid="{00000000-0005-0000-0000-0000451F0000}"/>
    <cellStyle name="Normal 2 2 2 2 2 9 4" xfId="3204" xr:uid="{00000000-0005-0000-0000-0000461F0000}"/>
    <cellStyle name="Normal 2 2 2 2 2 9 4 2" xfId="7686" xr:uid="{00000000-0005-0000-0000-0000471F0000}"/>
    <cellStyle name="Normal 2 2 2 2 2 9 4 2 2" xfId="16716" xr:uid="{00000000-0005-0000-0000-0000481F0000}"/>
    <cellStyle name="Normal 2 2 2 2 2 9 4 2 2 2" xfId="36768" xr:uid="{00000000-0005-0000-0000-0000491F0000}"/>
    <cellStyle name="Normal 2 2 2 2 2 9 4 2 3" xfId="27738" xr:uid="{00000000-0005-0000-0000-00004A1F0000}"/>
    <cellStyle name="Normal 2 2 2 2 2 9 4 3" xfId="12234" xr:uid="{00000000-0005-0000-0000-00004B1F0000}"/>
    <cellStyle name="Normal 2 2 2 2 2 9 4 3 2" xfId="32286" xr:uid="{00000000-0005-0000-0000-00004C1F0000}"/>
    <cellStyle name="Normal 2 2 2 2 2 9 4 4" xfId="23256" xr:uid="{00000000-0005-0000-0000-00004D1F0000}"/>
    <cellStyle name="Normal 2 2 2 2 2 9 5" xfId="4698" xr:uid="{00000000-0005-0000-0000-00004E1F0000}"/>
    <cellStyle name="Normal 2 2 2 2 2 9 5 2" xfId="13728" xr:uid="{00000000-0005-0000-0000-00004F1F0000}"/>
    <cellStyle name="Normal 2 2 2 2 2 9 5 2 2" xfId="33780" xr:uid="{00000000-0005-0000-0000-0000501F0000}"/>
    <cellStyle name="Normal 2 2 2 2 2 9 5 3" xfId="24750" xr:uid="{00000000-0005-0000-0000-0000511F0000}"/>
    <cellStyle name="Normal 2 2 2 2 2 9 6" xfId="9246" xr:uid="{00000000-0005-0000-0000-0000521F0000}"/>
    <cellStyle name="Normal 2 2 2 2 2 9 6 2" xfId="29298" xr:uid="{00000000-0005-0000-0000-0000531F0000}"/>
    <cellStyle name="Normal 2 2 2 2 2 9 7" xfId="20268" xr:uid="{00000000-0005-0000-0000-0000541F0000}"/>
    <cellStyle name="Normal 2 2 2 2 3" xfId="50" xr:uid="{00000000-0005-0000-0000-0000551F0000}"/>
    <cellStyle name="Normal 2 2 2 2 3 10" xfId="20102" xr:uid="{00000000-0005-0000-0000-0000561F0000}"/>
    <cellStyle name="Normal 2 2 2 2 3 2" xfId="236" xr:uid="{00000000-0005-0000-0000-0000571F0000}"/>
    <cellStyle name="Normal 2 2 2 2 3 2 2" xfId="981" xr:uid="{00000000-0005-0000-0000-0000581F0000}"/>
    <cellStyle name="Normal 2 2 2 2 3 2 2 2" xfId="2475" xr:uid="{00000000-0005-0000-0000-0000591F0000}"/>
    <cellStyle name="Normal 2 2 2 2 3 2 2 2 2" xfId="6957" xr:uid="{00000000-0005-0000-0000-00005A1F0000}"/>
    <cellStyle name="Normal 2 2 2 2 3 2 2 2 2 2" xfId="15987" xr:uid="{00000000-0005-0000-0000-00005B1F0000}"/>
    <cellStyle name="Normal 2 2 2 2 3 2 2 2 2 2 2" xfId="36039" xr:uid="{00000000-0005-0000-0000-00005C1F0000}"/>
    <cellStyle name="Normal 2 2 2 2 3 2 2 2 2 3" xfId="27009" xr:uid="{00000000-0005-0000-0000-00005D1F0000}"/>
    <cellStyle name="Normal 2 2 2 2 3 2 2 2 3" xfId="11505" xr:uid="{00000000-0005-0000-0000-00005E1F0000}"/>
    <cellStyle name="Normal 2 2 2 2 3 2 2 2 3 2" xfId="31557" xr:uid="{00000000-0005-0000-0000-00005F1F0000}"/>
    <cellStyle name="Normal 2 2 2 2 3 2 2 2 4" xfId="22527" xr:uid="{00000000-0005-0000-0000-0000601F0000}"/>
    <cellStyle name="Normal 2 2 2 2 3 2 2 3" xfId="3969" xr:uid="{00000000-0005-0000-0000-0000611F0000}"/>
    <cellStyle name="Normal 2 2 2 2 3 2 2 3 2" xfId="8451" xr:uid="{00000000-0005-0000-0000-0000621F0000}"/>
    <cellStyle name="Normal 2 2 2 2 3 2 2 3 2 2" xfId="17481" xr:uid="{00000000-0005-0000-0000-0000631F0000}"/>
    <cellStyle name="Normal 2 2 2 2 3 2 2 3 2 2 2" xfId="37533" xr:uid="{00000000-0005-0000-0000-0000641F0000}"/>
    <cellStyle name="Normal 2 2 2 2 3 2 2 3 2 3" xfId="28503" xr:uid="{00000000-0005-0000-0000-0000651F0000}"/>
    <cellStyle name="Normal 2 2 2 2 3 2 2 3 3" xfId="12999" xr:uid="{00000000-0005-0000-0000-0000661F0000}"/>
    <cellStyle name="Normal 2 2 2 2 3 2 2 3 3 2" xfId="33051" xr:uid="{00000000-0005-0000-0000-0000671F0000}"/>
    <cellStyle name="Normal 2 2 2 2 3 2 2 3 4" xfId="24021" xr:uid="{00000000-0005-0000-0000-0000681F0000}"/>
    <cellStyle name="Normal 2 2 2 2 3 2 2 4" xfId="5463" xr:uid="{00000000-0005-0000-0000-0000691F0000}"/>
    <cellStyle name="Normal 2 2 2 2 3 2 2 4 2" xfId="14493" xr:uid="{00000000-0005-0000-0000-00006A1F0000}"/>
    <cellStyle name="Normal 2 2 2 2 3 2 2 4 2 2" xfId="34545" xr:uid="{00000000-0005-0000-0000-00006B1F0000}"/>
    <cellStyle name="Normal 2 2 2 2 3 2 2 4 3" xfId="25515" xr:uid="{00000000-0005-0000-0000-00006C1F0000}"/>
    <cellStyle name="Normal 2 2 2 2 3 2 2 5" xfId="10011" xr:uid="{00000000-0005-0000-0000-00006D1F0000}"/>
    <cellStyle name="Normal 2 2 2 2 3 2 2 5 2" xfId="30063" xr:uid="{00000000-0005-0000-0000-00006E1F0000}"/>
    <cellStyle name="Normal 2 2 2 2 3 2 2 6" xfId="21033" xr:uid="{00000000-0005-0000-0000-00006F1F0000}"/>
    <cellStyle name="Normal 2 2 2 2 3 2 3" xfId="1730" xr:uid="{00000000-0005-0000-0000-0000701F0000}"/>
    <cellStyle name="Normal 2 2 2 2 3 2 3 2" xfId="6212" xr:uid="{00000000-0005-0000-0000-0000711F0000}"/>
    <cellStyle name="Normal 2 2 2 2 3 2 3 2 2" xfId="15242" xr:uid="{00000000-0005-0000-0000-0000721F0000}"/>
    <cellStyle name="Normal 2 2 2 2 3 2 3 2 2 2" xfId="35294" xr:uid="{00000000-0005-0000-0000-0000731F0000}"/>
    <cellStyle name="Normal 2 2 2 2 3 2 3 2 3" xfId="26264" xr:uid="{00000000-0005-0000-0000-0000741F0000}"/>
    <cellStyle name="Normal 2 2 2 2 3 2 3 3" xfId="10760" xr:uid="{00000000-0005-0000-0000-0000751F0000}"/>
    <cellStyle name="Normal 2 2 2 2 3 2 3 3 2" xfId="30812" xr:uid="{00000000-0005-0000-0000-0000761F0000}"/>
    <cellStyle name="Normal 2 2 2 2 3 2 3 4" xfId="21782" xr:uid="{00000000-0005-0000-0000-0000771F0000}"/>
    <cellStyle name="Normal 2 2 2 2 3 2 4" xfId="3224" xr:uid="{00000000-0005-0000-0000-0000781F0000}"/>
    <cellStyle name="Normal 2 2 2 2 3 2 4 2" xfId="7706" xr:uid="{00000000-0005-0000-0000-0000791F0000}"/>
    <cellStyle name="Normal 2 2 2 2 3 2 4 2 2" xfId="16736" xr:uid="{00000000-0005-0000-0000-00007A1F0000}"/>
    <cellStyle name="Normal 2 2 2 2 3 2 4 2 2 2" xfId="36788" xr:uid="{00000000-0005-0000-0000-00007B1F0000}"/>
    <cellStyle name="Normal 2 2 2 2 3 2 4 2 3" xfId="27758" xr:uid="{00000000-0005-0000-0000-00007C1F0000}"/>
    <cellStyle name="Normal 2 2 2 2 3 2 4 3" xfId="12254" xr:uid="{00000000-0005-0000-0000-00007D1F0000}"/>
    <cellStyle name="Normal 2 2 2 2 3 2 4 3 2" xfId="32306" xr:uid="{00000000-0005-0000-0000-00007E1F0000}"/>
    <cellStyle name="Normal 2 2 2 2 3 2 4 4" xfId="23276" xr:uid="{00000000-0005-0000-0000-00007F1F0000}"/>
    <cellStyle name="Normal 2 2 2 2 3 2 5" xfId="4718" xr:uid="{00000000-0005-0000-0000-0000801F0000}"/>
    <cellStyle name="Normal 2 2 2 2 3 2 5 2" xfId="13748" xr:uid="{00000000-0005-0000-0000-0000811F0000}"/>
    <cellStyle name="Normal 2 2 2 2 3 2 5 2 2" xfId="33800" xr:uid="{00000000-0005-0000-0000-0000821F0000}"/>
    <cellStyle name="Normal 2 2 2 2 3 2 5 3" xfId="24770" xr:uid="{00000000-0005-0000-0000-0000831F0000}"/>
    <cellStyle name="Normal 2 2 2 2 3 2 6" xfId="9266" xr:uid="{00000000-0005-0000-0000-0000841F0000}"/>
    <cellStyle name="Normal 2 2 2 2 3 2 6 2" xfId="29318" xr:uid="{00000000-0005-0000-0000-0000851F0000}"/>
    <cellStyle name="Normal 2 2 2 2 3 2 7" xfId="20288" xr:uid="{00000000-0005-0000-0000-0000861F0000}"/>
    <cellStyle name="Normal 2 2 2 2 3 3" xfId="422" xr:uid="{00000000-0005-0000-0000-0000871F0000}"/>
    <cellStyle name="Normal 2 2 2 2 3 3 2" xfId="1169" xr:uid="{00000000-0005-0000-0000-0000881F0000}"/>
    <cellStyle name="Normal 2 2 2 2 3 3 2 2" xfId="2663" xr:uid="{00000000-0005-0000-0000-0000891F0000}"/>
    <cellStyle name="Normal 2 2 2 2 3 3 2 2 2" xfId="7145" xr:uid="{00000000-0005-0000-0000-00008A1F0000}"/>
    <cellStyle name="Normal 2 2 2 2 3 3 2 2 2 2" xfId="16175" xr:uid="{00000000-0005-0000-0000-00008B1F0000}"/>
    <cellStyle name="Normal 2 2 2 2 3 3 2 2 2 2 2" xfId="36227" xr:uid="{00000000-0005-0000-0000-00008C1F0000}"/>
    <cellStyle name="Normal 2 2 2 2 3 3 2 2 2 3" xfId="27197" xr:uid="{00000000-0005-0000-0000-00008D1F0000}"/>
    <cellStyle name="Normal 2 2 2 2 3 3 2 2 3" xfId="11693" xr:uid="{00000000-0005-0000-0000-00008E1F0000}"/>
    <cellStyle name="Normal 2 2 2 2 3 3 2 2 3 2" xfId="31745" xr:uid="{00000000-0005-0000-0000-00008F1F0000}"/>
    <cellStyle name="Normal 2 2 2 2 3 3 2 2 4" xfId="22715" xr:uid="{00000000-0005-0000-0000-0000901F0000}"/>
    <cellStyle name="Normal 2 2 2 2 3 3 2 3" xfId="4157" xr:uid="{00000000-0005-0000-0000-0000911F0000}"/>
    <cellStyle name="Normal 2 2 2 2 3 3 2 3 2" xfId="8639" xr:uid="{00000000-0005-0000-0000-0000921F0000}"/>
    <cellStyle name="Normal 2 2 2 2 3 3 2 3 2 2" xfId="17669" xr:uid="{00000000-0005-0000-0000-0000931F0000}"/>
    <cellStyle name="Normal 2 2 2 2 3 3 2 3 2 2 2" xfId="37721" xr:uid="{00000000-0005-0000-0000-0000941F0000}"/>
    <cellStyle name="Normal 2 2 2 2 3 3 2 3 2 3" xfId="28691" xr:uid="{00000000-0005-0000-0000-0000951F0000}"/>
    <cellStyle name="Normal 2 2 2 2 3 3 2 3 3" xfId="13187" xr:uid="{00000000-0005-0000-0000-0000961F0000}"/>
    <cellStyle name="Normal 2 2 2 2 3 3 2 3 3 2" xfId="33239" xr:uid="{00000000-0005-0000-0000-0000971F0000}"/>
    <cellStyle name="Normal 2 2 2 2 3 3 2 3 4" xfId="24209" xr:uid="{00000000-0005-0000-0000-0000981F0000}"/>
    <cellStyle name="Normal 2 2 2 2 3 3 2 4" xfId="5651" xr:uid="{00000000-0005-0000-0000-0000991F0000}"/>
    <cellStyle name="Normal 2 2 2 2 3 3 2 4 2" xfId="14681" xr:uid="{00000000-0005-0000-0000-00009A1F0000}"/>
    <cellStyle name="Normal 2 2 2 2 3 3 2 4 2 2" xfId="34733" xr:uid="{00000000-0005-0000-0000-00009B1F0000}"/>
    <cellStyle name="Normal 2 2 2 2 3 3 2 4 3" xfId="25703" xr:uid="{00000000-0005-0000-0000-00009C1F0000}"/>
    <cellStyle name="Normal 2 2 2 2 3 3 2 5" xfId="10199" xr:uid="{00000000-0005-0000-0000-00009D1F0000}"/>
    <cellStyle name="Normal 2 2 2 2 3 3 2 5 2" xfId="30251" xr:uid="{00000000-0005-0000-0000-00009E1F0000}"/>
    <cellStyle name="Normal 2 2 2 2 3 3 2 6" xfId="21221" xr:uid="{00000000-0005-0000-0000-00009F1F0000}"/>
    <cellStyle name="Normal 2 2 2 2 3 3 3" xfId="1916" xr:uid="{00000000-0005-0000-0000-0000A01F0000}"/>
    <cellStyle name="Normal 2 2 2 2 3 3 3 2" xfId="6398" xr:uid="{00000000-0005-0000-0000-0000A11F0000}"/>
    <cellStyle name="Normal 2 2 2 2 3 3 3 2 2" xfId="15428" xr:uid="{00000000-0005-0000-0000-0000A21F0000}"/>
    <cellStyle name="Normal 2 2 2 2 3 3 3 2 2 2" xfId="35480" xr:uid="{00000000-0005-0000-0000-0000A31F0000}"/>
    <cellStyle name="Normal 2 2 2 2 3 3 3 2 3" xfId="26450" xr:uid="{00000000-0005-0000-0000-0000A41F0000}"/>
    <cellStyle name="Normal 2 2 2 2 3 3 3 3" xfId="10946" xr:uid="{00000000-0005-0000-0000-0000A51F0000}"/>
    <cellStyle name="Normal 2 2 2 2 3 3 3 3 2" xfId="30998" xr:uid="{00000000-0005-0000-0000-0000A61F0000}"/>
    <cellStyle name="Normal 2 2 2 2 3 3 3 4" xfId="21968" xr:uid="{00000000-0005-0000-0000-0000A71F0000}"/>
    <cellStyle name="Normal 2 2 2 2 3 3 4" xfId="3410" xr:uid="{00000000-0005-0000-0000-0000A81F0000}"/>
    <cellStyle name="Normal 2 2 2 2 3 3 4 2" xfId="7892" xr:uid="{00000000-0005-0000-0000-0000A91F0000}"/>
    <cellStyle name="Normal 2 2 2 2 3 3 4 2 2" xfId="16922" xr:uid="{00000000-0005-0000-0000-0000AA1F0000}"/>
    <cellStyle name="Normal 2 2 2 2 3 3 4 2 2 2" xfId="36974" xr:uid="{00000000-0005-0000-0000-0000AB1F0000}"/>
    <cellStyle name="Normal 2 2 2 2 3 3 4 2 3" xfId="27944" xr:uid="{00000000-0005-0000-0000-0000AC1F0000}"/>
    <cellStyle name="Normal 2 2 2 2 3 3 4 3" xfId="12440" xr:uid="{00000000-0005-0000-0000-0000AD1F0000}"/>
    <cellStyle name="Normal 2 2 2 2 3 3 4 3 2" xfId="32492" xr:uid="{00000000-0005-0000-0000-0000AE1F0000}"/>
    <cellStyle name="Normal 2 2 2 2 3 3 4 4" xfId="23462" xr:uid="{00000000-0005-0000-0000-0000AF1F0000}"/>
    <cellStyle name="Normal 2 2 2 2 3 3 5" xfId="4904" xr:uid="{00000000-0005-0000-0000-0000B01F0000}"/>
    <cellStyle name="Normal 2 2 2 2 3 3 5 2" xfId="13934" xr:uid="{00000000-0005-0000-0000-0000B11F0000}"/>
    <cellStyle name="Normal 2 2 2 2 3 3 5 2 2" xfId="33986" xr:uid="{00000000-0005-0000-0000-0000B21F0000}"/>
    <cellStyle name="Normal 2 2 2 2 3 3 5 3" xfId="24956" xr:uid="{00000000-0005-0000-0000-0000B31F0000}"/>
    <cellStyle name="Normal 2 2 2 2 3 3 6" xfId="9452" xr:uid="{00000000-0005-0000-0000-0000B41F0000}"/>
    <cellStyle name="Normal 2 2 2 2 3 3 6 2" xfId="29504" xr:uid="{00000000-0005-0000-0000-0000B51F0000}"/>
    <cellStyle name="Normal 2 2 2 2 3 3 7" xfId="20474" xr:uid="{00000000-0005-0000-0000-0000B61F0000}"/>
    <cellStyle name="Normal 2 2 2 2 3 4" xfId="608" xr:uid="{00000000-0005-0000-0000-0000B71F0000}"/>
    <cellStyle name="Normal 2 2 2 2 3 4 2" xfId="1355" xr:uid="{00000000-0005-0000-0000-0000B81F0000}"/>
    <cellStyle name="Normal 2 2 2 2 3 4 2 2" xfId="2849" xr:uid="{00000000-0005-0000-0000-0000B91F0000}"/>
    <cellStyle name="Normal 2 2 2 2 3 4 2 2 2" xfId="7331" xr:uid="{00000000-0005-0000-0000-0000BA1F0000}"/>
    <cellStyle name="Normal 2 2 2 2 3 4 2 2 2 2" xfId="16361" xr:uid="{00000000-0005-0000-0000-0000BB1F0000}"/>
    <cellStyle name="Normal 2 2 2 2 3 4 2 2 2 2 2" xfId="36413" xr:uid="{00000000-0005-0000-0000-0000BC1F0000}"/>
    <cellStyle name="Normal 2 2 2 2 3 4 2 2 2 3" xfId="27383" xr:uid="{00000000-0005-0000-0000-0000BD1F0000}"/>
    <cellStyle name="Normal 2 2 2 2 3 4 2 2 3" xfId="11879" xr:uid="{00000000-0005-0000-0000-0000BE1F0000}"/>
    <cellStyle name="Normal 2 2 2 2 3 4 2 2 3 2" xfId="31931" xr:uid="{00000000-0005-0000-0000-0000BF1F0000}"/>
    <cellStyle name="Normal 2 2 2 2 3 4 2 2 4" xfId="22901" xr:uid="{00000000-0005-0000-0000-0000C01F0000}"/>
    <cellStyle name="Normal 2 2 2 2 3 4 2 3" xfId="4343" xr:uid="{00000000-0005-0000-0000-0000C11F0000}"/>
    <cellStyle name="Normal 2 2 2 2 3 4 2 3 2" xfId="8825" xr:uid="{00000000-0005-0000-0000-0000C21F0000}"/>
    <cellStyle name="Normal 2 2 2 2 3 4 2 3 2 2" xfId="17855" xr:uid="{00000000-0005-0000-0000-0000C31F0000}"/>
    <cellStyle name="Normal 2 2 2 2 3 4 2 3 2 2 2" xfId="37907" xr:uid="{00000000-0005-0000-0000-0000C41F0000}"/>
    <cellStyle name="Normal 2 2 2 2 3 4 2 3 2 3" xfId="28877" xr:uid="{00000000-0005-0000-0000-0000C51F0000}"/>
    <cellStyle name="Normal 2 2 2 2 3 4 2 3 3" xfId="13373" xr:uid="{00000000-0005-0000-0000-0000C61F0000}"/>
    <cellStyle name="Normal 2 2 2 2 3 4 2 3 3 2" xfId="33425" xr:uid="{00000000-0005-0000-0000-0000C71F0000}"/>
    <cellStyle name="Normal 2 2 2 2 3 4 2 3 4" xfId="24395" xr:uid="{00000000-0005-0000-0000-0000C81F0000}"/>
    <cellStyle name="Normal 2 2 2 2 3 4 2 4" xfId="5837" xr:uid="{00000000-0005-0000-0000-0000C91F0000}"/>
    <cellStyle name="Normal 2 2 2 2 3 4 2 4 2" xfId="14867" xr:uid="{00000000-0005-0000-0000-0000CA1F0000}"/>
    <cellStyle name="Normal 2 2 2 2 3 4 2 4 2 2" xfId="34919" xr:uid="{00000000-0005-0000-0000-0000CB1F0000}"/>
    <cellStyle name="Normal 2 2 2 2 3 4 2 4 3" xfId="25889" xr:uid="{00000000-0005-0000-0000-0000CC1F0000}"/>
    <cellStyle name="Normal 2 2 2 2 3 4 2 5" xfId="10385" xr:uid="{00000000-0005-0000-0000-0000CD1F0000}"/>
    <cellStyle name="Normal 2 2 2 2 3 4 2 5 2" xfId="30437" xr:uid="{00000000-0005-0000-0000-0000CE1F0000}"/>
    <cellStyle name="Normal 2 2 2 2 3 4 2 6" xfId="21407" xr:uid="{00000000-0005-0000-0000-0000CF1F0000}"/>
    <cellStyle name="Normal 2 2 2 2 3 4 3" xfId="2102" xr:uid="{00000000-0005-0000-0000-0000D01F0000}"/>
    <cellStyle name="Normal 2 2 2 2 3 4 3 2" xfId="6584" xr:uid="{00000000-0005-0000-0000-0000D11F0000}"/>
    <cellStyle name="Normal 2 2 2 2 3 4 3 2 2" xfId="15614" xr:uid="{00000000-0005-0000-0000-0000D21F0000}"/>
    <cellStyle name="Normal 2 2 2 2 3 4 3 2 2 2" xfId="35666" xr:uid="{00000000-0005-0000-0000-0000D31F0000}"/>
    <cellStyle name="Normal 2 2 2 2 3 4 3 2 3" xfId="26636" xr:uid="{00000000-0005-0000-0000-0000D41F0000}"/>
    <cellStyle name="Normal 2 2 2 2 3 4 3 3" xfId="11132" xr:uid="{00000000-0005-0000-0000-0000D51F0000}"/>
    <cellStyle name="Normal 2 2 2 2 3 4 3 3 2" xfId="31184" xr:uid="{00000000-0005-0000-0000-0000D61F0000}"/>
    <cellStyle name="Normal 2 2 2 2 3 4 3 4" xfId="22154" xr:uid="{00000000-0005-0000-0000-0000D71F0000}"/>
    <cellStyle name="Normal 2 2 2 2 3 4 4" xfId="3596" xr:uid="{00000000-0005-0000-0000-0000D81F0000}"/>
    <cellStyle name="Normal 2 2 2 2 3 4 4 2" xfId="8078" xr:uid="{00000000-0005-0000-0000-0000D91F0000}"/>
    <cellStyle name="Normal 2 2 2 2 3 4 4 2 2" xfId="17108" xr:uid="{00000000-0005-0000-0000-0000DA1F0000}"/>
    <cellStyle name="Normal 2 2 2 2 3 4 4 2 2 2" xfId="37160" xr:uid="{00000000-0005-0000-0000-0000DB1F0000}"/>
    <cellStyle name="Normal 2 2 2 2 3 4 4 2 3" xfId="28130" xr:uid="{00000000-0005-0000-0000-0000DC1F0000}"/>
    <cellStyle name="Normal 2 2 2 2 3 4 4 3" xfId="12626" xr:uid="{00000000-0005-0000-0000-0000DD1F0000}"/>
    <cellStyle name="Normal 2 2 2 2 3 4 4 3 2" xfId="32678" xr:uid="{00000000-0005-0000-0000-0000DE1F0000}"/>
    <cellStyle name="Normal 2 2 2 2 3 4 4 4" xfId="23648" xr:uid="{00000000-0005-0000-0000-0000DF1F0000}"/>
    <cellStyle name="Normal 2 2 2 2 3 4 5" xfId="5090" xr:uid="{00000000-0005-0000-0000-0000E01F0000}"/>
    <cellStyle name="Normal 2 2 2 2 3 4 5 2" xfId="14120" xr:uid="{00000000-0005-0000-0000-0000E11F0000}"/>
    <cellStyle name="Normal 2 2 2 2 3 4 5 2 2" xfId="34172" xr:uid="{00000000-0005-0000-0000-0000E21F0000}"/>
    <cellStyle name="Normal 2 2 2 2 3 4 5 3" xfId="25142" xr:uid="{00000000-0005-0000-0000-0000E31F0000}"/>
    <cellStyle name="Normal 2 2 2 2 3 4 6" xfId="9638" xr:uid="{00000000-0005-0000-0000-0000E41F0000}"/>
    <cellStyle name="Normal 2 2 2 2 3 4 6 2" xfId="29690" xr:uid="{00000000-0005-0000-0000-0000E51F0000}"/>
    <cellStyle name="Normal 2 2 2 2 3 4 7" xfId="20660" xr:uid="{00000000-0005-0000-0000-0000E61F0000}"/>
    <cellStyle name="Normal 2 2 2 2 3 5" xfId="795" xr:uid="{00000000-0005-0000-0000-0000E71F0000}"/>
    <cellStyle name="Normal 2 2 2 2 3 5 2" xfId="2289" xr:uid="{00000000-0005-0000-0000-0000E81F0000}"/>
    <cellStyle name="Normal 2 2 2 2 3 5 2 2" xfId="6771" xr:uid="{00000000-0005-0000-0000-0000E91F0000}"/>
    <cellStyle name="Normal 2 2 2 2 3 5 2 2 2" xfId="15801" xr:uid="{00000000-0005-0000-0000-0000EA1F0000}"/>
    <cellStyle name="Normal 2 2 2 2 3 5 2 2 2 2" xfId="35853" xr:uid="{00000000-0005-0000-0000-0000EB1F0000}"/>
    <cellStyle name="Normal 2 2 2 2 3 5 2 2 3" xfId="26823" xr:uid="{00000000-0005-0000-0000-0000EC1F0000}"/>
    <cellStyle name="Normal 2 2 2 2 3 5 2 3" xfId="11319" xr:uid="{00000000-0005-0000-0000-0000ED1F0000}"/>
    <cellStyle name="Normal 2 2 2 2 3 5 2 3 2" xfId="31371" xr:uid="{00000000-0005-0000-0000-0000EE1F0000}"/>
    <cellStyle name="Normal 2 2 2 2 3 5 2 4" xfId="22341" xr:uid="{00000000-0005-0000-0000-0000EF1F0000}"/>
    <cellStyle name="Normal 2 2 2 2 3 5 3" xfId="3783" xr:uid="{00000000-0005-0000-0000-0000F01F0000}"/>
    <cellStyle name="Normal 2 2 2 2 3 5 3 2" xfId="8265" xr:uid="{00000000-0005-0000-0000-0000F11F0000}"/>
    <cellStyle name="Normal 2 2 2 2 3 5 3 2 2" xfId="17295" xr:uid="{00000000-0005-0000-0000-0000F21F0000}"/>
    <cellStyle name="Normal 2 2 2 2 3 5 3 2 2 2" xfId="37347" xr:uid="{00000000-0005-0000-0000-0000F31F0000}"/>
    <cellStyle name="Normal 2 2 2 2 3 5 3 2 3" xfId="28317" xr:uid="{00000000-0005-0000-0000-0000F41F0000}"/>
    <cellStyle name="Normal 2 2 2 2 3 5 3 3" xfId="12813" xr:uid="{00000000-0005-0000-0000-0000F51F0000}"/>
    <cellStyle name="Normal 2 2 2 2 3 5 3 3 2" xfId="32865" xr:uid="{00000000-0005-0000-0000-0000F61F0000}"/>
    <cellStyle name="Normal 2 2 2 2 3 5 3 4" xfId="23835" xr:uid="{00000000-0005-0000-0000-0000F71F0000}"/>
    <cellStyle name="Normal 2 2 2 2 3 5 4" xfId="5277" xr:uid="{00000000-0005-0000-0000-0000F81F0000}"/>
    <cellStyle name="Normal 2 2 2 2 3 5 4 2" xfId="14307" xr:uid="{00000000-0005-0000-0000-0000F91F0000}"/>
    <cellStyle name="Normal 2 2 2 2 3 5 4 2 2" xfId="34359" xr:uid="{00000000-0005-0000-0000-0000FA1F0000}"/>
    <cellStyle name="Normal 2 2 2 2 3 5 4 3" xfId="25329" xr:uid="{00000000-0005-0000-0000-0000FB1F0000}"/>
    <cellStyle name="Normal 2 2 2 2 3 5 5" xfId="9825" xr:uid="{00000000-0005-0000-0000-0000FC1F0000}"/>
    <cellStyle name="Normal 2 2 2 2 3 5 5 2" xfId="29877" xr:uid="{00000000-0005-0000-0000-0000FD1F0000}"/>
    <cellStyle name="Normal 2 2 2 2 3 5 6" xfId="20847" xr:uid="{00000000-0005-0000-0000-0000FE1F0000}"/>
    <cellStyle name="Normal 2 2 2 2 3 6" xfId="1544" xr:uid="{00000000-0005-0000-0000-0000FF1F0000}"/>
    <cellStyle name="Normal 2 2 2 2 3 6 2" xfId="6026" xr:uid="{00000000-0005-0000-0000-000000200000}"/>
    <cellStyle name="Normal 2 2 2 2 3 6 2 2" xfId="15056" xr:uid="{00000000-0005-0000-0000-000001200000}"/>
    <cellStyle name="Normal 2 2 2 2 3 6 2 2 2" xfId="35108" xr:uid="{00000000-0005-0000-0000-000002200000}"/>
    <cellStyle name="Normal 2 2 2 2 3 6 2 3" xfId="26078" xr:uid="{00000000-0005-0000-0000-000003200000}"/>
    <cellStyle name="Normal 2 2 2 2 3 6 3" xfId="10574" xr:uid="{00000000-0005-0000-0000-000004200000}"/>
    <cellStyle name="Normal 2 2 2 2 3 6 3 2" xfId="30626" xr:uid="{00000000-0005-0000-0000-000005200000}"/>
    <cellStyle name="Normal 2 2 2 2 3 6 4" xfId="21596" xr:uid="{00000000-0005-0000-0000-000006200000}"/>
    <cellStyle name="Normal 2 2 2 2 3 7" xfId="3038" xr:uid="{00000000-0005-0000-0000-000007200000}"/>
    <cellStyle name="Normal 2 2 2 2 3 7 2" xfId="7520" xr:uid="{00000000-0005-0000-0000-000008200000}"/>
    <cellStyle name="Normal 2 2 2 2 3 7 2 2" xfId="16550" xr:uid="{00000000-0005-0000-0000-000009200000}"/>
    <cellStyle name="Normal 2 2 2 2 3 7 2 2 2" xfId="36602" xr:uid="{00000000-0005-0000-0000-00000A200000}"/>
    <cellStyle name="Normal 2 2 2 2 3 7 2 3" xfId="27572" xr:uid="{00000000-0005-0000-0000-00000B200000}"/>
    <cellStyle name="Normal 2 2 2 2 3 7 3" xfId="12068" xr:uid="{00000000-0005-0000-0000-00000C200000}"/>
    <cellStyle name="Normal 2 2 2 2 3 7 3 2" xfId="32120" xr:uid="{00000000-0005-0000-0000-00000D200000}"/>
    <cellStyle name="Normal 2 2 2 2 3 7 4" xfId="23090" xr:uid="{00000000-0005-0000-0000-00000E200000}"/>
    <cellStyle name="Normal 2 2 2 2 3 8" xfId="4532" xr:uid="{00000000-0005-0000-0000-00000F200000}"/>
    <cellStyle name="Normal 2 2 2 2 3 8 2" xfId="13562" xr:uid="{00000000-0005-0000-0000-000010200000}"/>
    <cellStyle name="Normal 2 2 2 2 3 8 2 2" xfId="33614" xr:uid="{00000000-0005-0000-0000-000011200000}"/>
    <cellStyle name="Normal 2 2 2 2 3 8 3" xfId="24584" xr:uid="{00000000-0005-0000-0000-000012200000}"/>
    <cellStyle name="Normal 2 2 2 2 3 9" xfId="9080" xr:uid="{00000000-0005-0000-0000-000013200000}"/>
    <cellStyle name="Normal 2 2 2 2 3 9 2" xfId="29132" xr:uid="{00000000-0005-0000-0000-000014200000}"/>
    <cellStyle name="Normal 2 2 2 2 4" xfId="73" xr:uid="{00000000-0005-0000-0000-000015200000}"/>
    <cellStyle name="Normal 2 2 2 2 4 10" xfId="20125" xr:uid="{00000000-0005-0000-0000-000016200000}"/>
    <cellStyle name="Normal 2 2 2 2 4 2" xfId="259" xr:uid="{00000000-0005-0000-0000-000017200000}"/>
    <cellStyle name="Normal 2 2 2 2 4 2 2" xfId="1004" xr:uid="{00000000-0005-0000-0000-000018200000}"/>
    <cellStyle name="Normal 2 2 2 2 4 2 2 2" xfId="2498" xr:uid="{00000000-0005-0000-0000-000019200000}"/>
    <cellStyle name="Normal 2 2 2 2 4 2 2 2 2" xfId="6980" xr:uid="{00000000-0005-0000-0000-00001A200000}"/>
    <cellStyle name="Normal 2 2 2 2 4 2 2 2 2 2" xfId="16010" xr:uid="{00000000-0005-0000-0000-00001B200000}"/>
    <cellStyle name="Normal 2 2 2 2 4 2 2 2 2 2 2" xfId="36062" xr:uid="{00000000-0005-0000-0000-00001C200000}"/>
    <cellStyle name="Normal 2 2 2 2 4 2 2 2 2 3" xfId="27032" xr:uid="{00000000-0005-0000-0000-00001D200000}"/>
    <cellStyle name="Normal 2 2 2 2 4 2 2 2 3" xfId="11528" xr:uid="{00000000-0005-0000-0000-00001E200000}"/>
    <cellStyle name="Normal 2 2 2 2 4 2 2 2 3 2" xfId="31580" xr:uid="{00000000-0005-0000-0000-00001F200000}"/>
    <cellStyle name="Normal 2 2 2 2 4 2 2 2 4" xfId="22550" xr:uid="{00000000-0005-0000-0000-000020200000}"/>
    <cellStyle name="Normal 2 2 2 2 4 2 2 3" xfId="3992" xr:uid="{00000000-0005-0000-0000-000021200000}"/>
    <cellStyle name="Normal 2 2 2 2 4 2 2 3 2" xfId="8474" xr:uid="{00000000-0005-0000-0000-000022200000}"/>
    <cellStyle name="Normal 2 2 2 2 4 2 2 3 2 2" xfId="17504" xr:uid="{00000000-0005-0000-0000-000023200000}"/>
    <cellStyle name="Normal 2 2 2 2 4 2 2 3 2 2 2" xfId="37556" xr:uid="{00000000-0005-0000-0000-000024200000}"/>
    <cellStyle name="Normal 2 2 2 2 4 2 2 3 2 3" xfId="28526" xr:uid="{00000000-0005-0000-0000-000025200000}"/>
    <cellStyle name="Normal 2 2 2 2 4 2 2 3 3" xfId="13022" xr:uid="{00000000-0005-0000-0000-000026200000}"/>
    <cellStyle name="Normal 2 2 2 2 4 2 2 3 3 2" xfId="33074" xr:uid="{00000000-0005-0000-0000-000027200000}"/>
    <cellStyle name="Normal 2 2 2 2 4 2 2 3 4" xfId="24044" xr:uid="{00000000-0005-0000-0000-000028200000}"/>
    <cellStyle name="Normal 2 2 2 2 4 2 2 4" xfId="5486" xr:uid="{00000000-0005-0000-0000-000029200000}"/>
    <cellStyle name="Normal 2 2 2 2 4 2 2 4 2" xfId="14516" xr:uid="{00000000-0005-0000-0000-00002A200000}"/>
    <cellStyle name="Normal 2 2 2 2 4 2 2 4 2 2" xfId="34568" xr:uid="{00000000-0005-0000-0000-00002B200000}"/>
    <cellStyle name="Normal 2 2 2 2 4 2 2 4 3" xfId="25538" xr:uid="{00000000-0005-0000-0000-00002C200000}"/>
    <cellStyle name="Normal 2 2 2 2 4 2 2 5" xfId="10034" xr:uid="{00000000-0005-0000-0000-00002D200000}"/>
    <cellStyle name="Normal 2 2 2 2 4 2 2 5 2" xfId="30086" xr:uid="{00000000-0005-0000-0000-00002E200000}"/>
    <cellStyle name="Normal 2 2 2 2 4 2 2 6" xfId="21056" xr:uid="{00000000-0005-0000-0000-00002F200000}"/>
    <cellStyle name="Normal 2 2 2 2 4 2 3" xfId="1753" xr:uid="{00000000-0005-0000-0000-000030200000}"/>
    <cellStyle name="Normal 2 2 2 2 4 2 3 2" xfId="6235" xr:uid="{00000000-0005-0000-0000-000031200000}"/>
    <cellStyle name="Normal 2 2 2 2 4 2 3 2 2" xfId="15265" xr:uid="{00000000-0005-0000-0000-000032200000}"/>
    <cellStyle name="Normal 2 2 2 2 4 2 3 2 2 2" xfId="35317" xr:uid="{00000000-0005-0000-0000-000033200000}"/>
    <cellStyle name="Normal 2 2 2 2 4 2 3 2 3" xfId="26287" xr:uid="{00000000-0005-0000-0000-000034200000}"/>
    <cellStyle name="Normal 2 2 2 2 4 2 3 3" xfId="10783" xr:uid="{00000000-0005-0000-0000-000035200000}"/>
    <cellStyle name="Normal 2 2 2 2 4 2 3 3 2" xfId="30835" xr:uid="{00000000-0005-0000-0000-000036200000}"/>
    <cellStyle name="Normal 2 2 2 2 4 2 3 4" xfId="21805" xr:uid="{00000000-0005-0000-0000-000037200000}"/>
    <cellStyle name="Normal 2 2 2 2 4 2 4" xfId="3247" xr:uid="{00000000-0005-0000-0000-000038200000}"/>
    <cellStyle name="Normal 2 2 2 2 4 2 4 2" xfId="7729" xr:uid="{00000000-0005-0000-0000-000039200000}"/>
    <cellStyle name="Normal 2 2 2 2 4 2 4 2 2" xfId="16759" xr:uid="{00000000-0005-0000-0000-00003A200000}"/>
    <cellStyle name="Normal 2 2 2 2 4 2 4 2 2 2" xfId="36811" xr:uid="{00000000-0005-0000-0000-00003B200000}"/>
    <cellStyle name="Normal 2 2 2 2 4 2 4 2 3" xfId="27781" xr:uid="{00000000-0005-0000-0000-00003C200000}"/>
    <cellStyle name="Normal 2 2 2 2 4 2 4 3" xfId="12277" xr:uid="{00000000-0005-0000-0000-00003D200000}"/>
    <cellStyle name="Normal 2 2 2 2 4 2 4 3 2" xfId="32329" xr:uid="{00000000-0005-0000-0000-00003E200000}"/>
    <cellStyle name="Normal 2 2 2 2 4 2 4 4" xfId="23299" xr:uid="{00000000-0005-0000-0000-00003F200000}"/>
    <cellStyle name="Normal 2 2 2 2 4 2 5" xfId="4741" xr:uid="{00000000-0005-0000-0000-000040200000}"/>
    <cellStyle name="Normal 2 2 2 2 4 2 5 2" xfId="13771" xr:uid="{00000000-0005-0000-0000-000041200000}"/>
    <cellStyle name="Normal 2 2 2 2 4 2 5 2 2" xfId="33823" xr:uid="{00000000-0005-0000-0000-000042200000}"/>
    <cellStyle name="Normal 2 2 2 2 4 2 5 3" xfId="24793" xr:uid="{00000000-0005-0000-0000-000043200000}"/>
    <cellStyle name="Normal 2 2 2 2 4 2 6" xfId="9289" xr:uid="{00000000-0005-0000-0000-000044200000}"/>
    <cellStyle name="Normal 2 2 2 2 4 2 6 2" xfId="29341" xr:uid="{00000000-0005-0000-0000-000045200000}"/>
    <cellStyle name="Normal 2 2 2 2 4 2 7" xfId="20311" xr:uid="{00000000-0005-0000-0000-000046200000}"/>
    <cellStyle name="Normal 2 2 2 2 4 3" xfId="445" xr:uid="{00000000-0005-0000-0000-000047200000}"/>
    <cellStyle name="Normal 2 2 2 2 4 3 2" xfId="1192" xr:uid="{00000000-0005-0000-0000-000048200000}"/>
    <cellStyle name="Normal 2 2 2 2 4 3 2 2" xfId="2686" xr:uid="{00000000-0005-0000-0000-000049200000}"/>
    <cellStyle name="Normal 2 2 2 2 4 3 2 2 2" xfId="7168" xr:uid="{00000000-0005-0000-0000-00004A200000}"/>
    <cellStyle name="Normal 2 2 2 2 4 3 2 2 2 2" xfId="16198" xr:uid="{00000000-0005-0000-0000-00004B200000}"/>
    <cellStyle name="Normal 2 2 2 2 4 3 2 2 2 2 2" xfId="36250" xr:uid="{00000000-0005-0000-0000-00004C200000}"/>
    <cellStyle name="Normal 2 2 2 2 4 3 2 2 2 3" xfId="27220" xr:uid="{00000000-0005-0000-0000-00004D200000}"/>
    <cellStyle name="Normal 2 2 2 2 4 3 2 2 3" xfId="11716" xr:uid="{00000000-0005-0000-0000-00004E200000}"/>
    <cellStyle name="Normal 2 2 2 2 4 3 2 2 3 2" xfId="31768" xr:uid="{00000000-0005-0000-0000-00004F200000}"/>
    <cellStyle name="Normal 2 2 2 2 4 3 2 2 4" xfId="22738" xr:uid="{00000000-0005-0000-0000-000050200000}"/>
    <cellStyle name="Normal 2 2 2 2 4 3 2 3" xfId="4180" xr:uid="{00000000-0005-0000-0000-000051200000}"/>
    <cellStyle name="Normal 2 2 2 2 4 3 2 3 2" xfId="8662" xr:uid="{00000000-0005-0000-0000-000052200000}"/>
    <cellStyle name="Normal 2 2 2 2 4 3 2 3 2 2" xfId="17692" xr:uid="{00000000-0005-0000-0000-000053200000}"/>
    <cellStyle name="Normal 2 2 2 2 4 3 2 3 2 2 2" xfId="37744" xr:uid="{00000000-0005-0000-0000-000054200000}"/>
    <cellStyle name="Normal 2 2 2 2 4 3 2 3 2 3" xfId="28714" xr:uid="{00000000-0005-0000-0000-000055200000}"/>
    <cellStyle name="Normal 2 2 2 2 4 3 2 3 3" xfId="13210" xr:uid="{00000000-0005-0000-0000-000056200000}"/>
    <cellStyle name="Normal 2 2 2 2 4 3 2 3 3 2" xfId="33262" xr:uid="{00000000-0005-0000-0000-000057200000}"/>
    <cellStyle name="Normal 2 2 2 2 4 3 2 3 4" xfId="24232" xr:uid="{00000000-0005-0000-0000-000058200000}"/>
    <cellStyle name="Normal 2 2 2 2 4 3 2 4" xfId="5674" xr:uid="{00000000-0005-0000-0000-000059200000}"/>
    <cellStyle name="Normal 2 2 2 2 4 3 2 4 2" xfId="14704" xr:uid="{00000000-0005-0000-0000-00005A200000}"/>
    <cellStyle name="Normal 2 2 2 2 4 3 2 4 2 2" xfId="34756" xr:uid="{00000000-0005-0000-0000-00005B200000}"/>
    <cellStyle name="Normal 2 2 2 2 4 3 2 4 3" xfId="25726" xr:uid="{00000000-0005-0000-0000-00005C200000}"/>
    <cellStyle name="Normal 2 2 2 2 4 3 2 5" xfId="10222" xr:uid="{00000000-0005-0000-0000-00005D200000}"/>
    <cellStyle name="Normal 2 2 2 2 4 3 2 5 2" xfId="30274" xr:uid="{00000000-0005-0000-0000-00005E200000}"/>
    <cellStyle name="Normal 2 2 2 2 4 3 2 6" xfId="21244" xr:uid="{00000000-0005-0000-0000-00005F200000}"/>
    <cellStyle name="Normal 2 2 2 2 4 3 3" xfId="1939" xr:uid="{00000000-0005-0000-0000-000060200000}"/>
    <cellStyle name="Normal 2 2 2 2 4 3 3 2" xfId="6421" xr:uid="{00000000-0005-0000-0000-000061200000}"/>
    <cellStyle name="Normal 2 2 2 2 4 3 3 2 2" xfId="15451" xr:uid="{00000000-0005-0000-0000-000062200000}"/>
    <cellStyle name="Normal 2 2 2 2 4 3 3 2 2 2" xfId="35503" xr:uid="{00000000-0005-0000-0000-000063200000}"/>
    <cellStyle name="Normal 2 2 2 2 4 3 3 2 3" xfId="26473" xr:uid="{00000000-0005-0000-0000-000064200000}"/>
    <cellStyle name="Normal 2 2 2 2 4 3 3 3" xfId="10969" xr:uid="{00000000-0005-0000-0000-000065200000}"/>
    <cellStyle name="Normal 2 2 2 2 4 3 3 3 2" xfId="31021" xr:uid="{00000000-0005-0000-0000-000066200000}"/>
    <cellStyle name="Normal 2 2 2 2 4 3 3 4" xfId="21991" xr:uid="{00000000-0005-0000-0000-000067200000}"/>
    <cellStyle name="Normal 2 2 2 2 4 3 4" xfId="3433" xr:uid="{00000000-0005-0000-0000-000068200000}"/>
    <cellStyle name="Normal 2 2 2 2 4 3 4 2" xfId="7915" xr:uid="{00000000-0005-0000-0000-000069200000}"/>
    <cellStyle name="Normal 2 2 2 2 4 3 4 2 2" xfId="16945" xr:uid="{00000000-0005-0000-0000-00006A200000}"/>
    <cellStyle name="Normal 2 2 2 2 4 3 4 2 2 2" xfId="36997" xr:uid="{00000000-0005-0000-0000-00006B200000}"/>
    <cellStyle name="Normal 2 2 2 2 4 3 4 2 3" xfId="27967" xr:uid="{00000000-0005-0000-0000-00006C200000}"/>
    <cellStyle name="Normal 2 2 2 2 4 3 4 3" xfId="12463" xr:uid="{00000000-0005-0000-0000-00006D200000}"/>
    <cellStyle name="Normal 2 2 2 2 4 3 4 3 2" xfId="32515" xr:uid="{00000000-0005-0000-0000-00006E200000}"/>
    <cellStyle name="Normal 2 2 2 2 4 3 4 4" xfId="23485" xr:uid="{00000000-0005-0000-0000-00006F200000}"/>
    <cellStyle name="Normal 2 2 2 2 4 3 5" xfId="4927" xr:uid="{00000000-0005-0000-0000-000070200000}"/>
    <cellStyle name="Normal 2 2 2 2 4 3 5 2" xfId="13957" xr:uid="{00000000-0005-0000-0000-000071200000}"/>
    <cellStyle name="Normal 2 2 2 2 4 3 5 2 2" xfId="34009" xr:uid="{00000000-0005-0000-0000-000072200000}"/>
    <cellStyle name="Normal 2 2 2 2 4 3 5 3" xfId="24979" xr:uid="{00000000-0005-0000-0000-000073200000}"/>
    <cellStyle name="Normal 2 2 2 2 4 3 6" xfId="9475" xr:uid="{00000000-0005-0000-0000-000074200000}"/>
    <cellStyle name="Normal 2 2 2 2 4 3 6 2" xfId="29527" xr:uid="{00000000-0005-0000-0000-000075200000}"/>
    <cellStyle name="Normal 2 2 2 2 4 3 7" xfId="20497" xr:uid="{00000000-0005-0000-0000-000076200000}"/>
    <cellStyle name="Normal 2 2 2 2 4 4" xfId="631" xr:uid="{00000000-0005-0000-0000-000077200000}"/>
    <cellStyle name="Normal 2 2 2 2 4 4 2" xfId="1378" xr:uid="{00000000-0005-0000-0000-000078200000}"/>
    <cellStyle name="Normal 2 2 2 2 4 4 2 2" xfId="2872" xr:uid="{00000000-0005-0000-0000-000079200000}"/>
    <cellStyle name="Normal 2 2 2 2 4 4 2 2 2" xfId="7354" xr:uid="{00000000-0005-0000-0000-00007A200000}"/>
    <cellStyle name="Normal 2 2 2 2 4 4 2 2 2 2" xfId="16384" xr:uid="{00000000-0005-0000-0000-00007B200000}"/>
    <cellStyle name="Normal 2 2 2 2 4 4 2 2 2 2 2" xfId="36436" xr:uid="{00000000-0005-0000-0000-00007C200000}"/>
    <cellStyle name="Normal 2 2 2 2 4 4 2 2 2 3" xfId="27406" xr:uid="{00000000-0005-0000-0000-00007D200000}"/>
    <cellStyle name="Normal 2 2 2 2 4 4 2 2 3" xfId="11902" xr:uid="{00000000-0005-0000-0000-00007E200000}"/>
    <cellStyle name="Normal 2 2 2 2 4 4 2 2 3 2" xfId="31954" xr:uid="{00000000-0005-0000-0000-00007F200000}"/>
    <cellStyle name="Normal 2 2 2 2 4 4 2 2 4" xfId="22924" xr:uid="{00000000-0005-0000-0000-000080200000}"/>
    <cellStyle name="Normal 2 2 2 2 4 4 2 3" xfId="4366" xr:uid="{00000000-0005-0000-0000-000081200000}"/>
    <cellStyle name="Normal 2 2 2 2 4 4 2 3 2" xfId="8848" xr:uid="{00000000-0005-0000-0000-000082200000}"/>
    <cellStyle name="Normal 2 2 2 2 4 4 2 3 2 2" xfId="17878" xr:uid="{00000000-0005-0000-0000-000083200000}"/>
    <cellStyle name="Normal 2 2 2 2 4 4 2 3 2 2 2" xfId="37930" xr:uid="{00000000-0005-0000-0000-000084200000}"/>
    <cellStyle name="Normal 2 2 2 2 4 4 2 3 2 3" xfId="28900" xr:uid="{00000000-0005-0000-0000-000085200000}"/>
    <cellStyle name="Normal 2 2 2 2 4 4 2 3 3" xfId="13396" xr:uid="{00000000-0005-0000-0000-000086200000}"/>
    <cellStyle name="Normal 2 2 2 2 4 4 2 3 3 2" xfId="33448" xr:uid="{00000000-0005-0000-0000-000087200000}"/>
    <cellStyle name="Normal 2 2 2 2 4 4 2 3 4" xfId="24418" xr:uid="{00000000-0005-0000-0000-000088200000}"/>
    <cellStyle name="Normal 2 2 2 2 4 4 2 4" xfId="5860" xr:uid="{00000000-0005-0000-0000-000089200000}"/>
    <cellStyle name="Normal 2 2 2 2 4 4 2 4 2" xfId="14890" xr:uid="{00000000-0005-0000-0000-00008A200000}"/>
    <cellStyle name="Normal 2 2 2 2 4 4 2 4 2 2" xfId="34942" xr:uid="{00000000-0005-0000-0000-00008B200000}"/>
    <cellStyle name="Normal 2 2 2 2 4 4 2 4 3" xfId="25912" xr:uid="{00000000-0005-0000-0000-00008C200000}"/>
    <cellStyle name="Normal 2 2 2 2 4 4 2 5" xfId="10408" xr:uid="{00000000-0005-0000-0000-00008D200000}"/>
    <cellStyle name="Normal 2 2 2 2 4 4 2 5 2" xfId="30460" xr:uid="{00000000-0005-0000-0000-00008E200000}"/>
    <cellStyle name="Normal 2 2 2 2 4 4 2 6" xfId="21430" xr:uid="{00000000-0005-0000-0000-00008F200000}"/>
    <cellStyle name="Normal 2 2 2 2 4 4 3" xfId="2125" xr:uid="{00000000-0005-0000-0000-000090200000}"/>
    <cellStyle name="Normal 2 2 2 2 4 4 3 2" xfId="6607" xr:uid="{00000000-0005-0000-0000-000091200000}"/>
    <cellStyle name="Normal 2 2 2 2 4 4 3 2 2" xfId="15637" xr:uid="{00000000-0005-0000-0000-000092200000}"/>
    <cellStyle name="Normal 2 2 2 2 4 4 3 2 2 2" xfId="35689" xr:uid="{00000000-0005-0000-0000-000093200000}"/>
    <cellStyle name="Normal 2 2 2 2 4 4 3 2 3" xfId="26659" xr:uid="{00000000-0005-0000-0000-000094200000}"/>
    <cellStyle name="Normal 2 2 2 2 4 4 3 3" xfId="11155" xr:uid="{00000000-0005-0000-0000-000095200000}"/>
    <cellStyle name="Normal 2 2 2 2 4 4 3 3 2" xfId="31207" xr:uid="{00000000-0005-0000-0000-000096200000}"/>
    <cellStyle name="Normal 2 2 2 2 4 4 3 4" xfId="22177" xr:uid="{00000000-0005-0000-0000-000097200000}"/>
    <cellStyle name="Normal 2 2 2 2 4 4 4" xfId="3619" xr:uid="{00000000-0005-0000-0000-000098200000}"/>
    <cellStyle name="Normal 2 2 2 2 4 4 4 2" xfId="8101" xr:uid="{00000000-0005-0000-0000-000099200000}"/>
    <cellStyle name="Normal 2 2 2 2 4 4 4 2 2" xfId="17131" xr:uid="{00000000-0005-0000-0000-00009A200000}"/>
    <cellStyle name="Normal 2 2 2 2 4 4 4 2 2 2" xfId="37183" xr:uid="{00000000-0005-0000-0000-00009B200000}"/>
    <cellStyle name="Normal 2 2 2 2 4 4 4 2 3" xfId="28153" xr:uid="{00000000-0005-0000-0000-00009C200000}"/>
    <cellStyle name="Normal 2 2 2 2 4 4 4 3" xfId="12649" xr:uid="{00000000-0005-0000-0000-00009D200000}"/>
    <cellStyle name="Normal 2 2 2 2 4 4 4 3 2" xfId="32701" xr:uid="{00000000-0005-0000-0000-00009E200000}"/>
    <cellStyle name="Normal 2 2 2 2 4 4 4 4" xfId="23671" xr:uid="{00000000-0005-0000-0000-00009F200000}"/>
    <cellStyle name="Normal 2 2 2 2 4 4 5" xfId="5113" xr:uid="{00000000-0005-0000-0000-0000A0200000}"/>
    <cellStyle name="Normal 2 2 2 2 4 4 5 2" xfId="14143" xr:uid="{00000000-0005-0000-0000-0000A1200000}"/>
    <cellStyle name="Normal 2 2 2 2 4 4 5 2 2" xfId="34195" xr:uid="{00000000-0005-0000-0000-0000A2200000}"/>
    <cellStyle name="Normal 2 2 2 2 4 4 5 3" xfId="25165" xr:uid="{00000000-0005-0000-0000-0000A3200000}"/>
    <cellStyle name="Normal 2 2 2 2 4 4 6" xfId="9661" xr:uid="{00000000-0005-0000-0000-0000A4200000}"/>
    <cellStyle name="Normal 2 2 2 2 4 4 6 2" xfId="29713" xr:uid="{00000000-0005-0000-0000-0000A5200000}"/>
    <cellStyle name="Normal 2 2 2 2 4 4 7" xfId="20683" xr:uid="{00000000-0005-0000-0000-0000A6200000}"/>
    <cellStyle name="Normal 2 2 2 2 4 5" xfId="818" xr:uid="{00000000-0005-0000-0000-0000A7200000}"/>
    <cellStyle name="Normal 2 2 2 2 4 5 2" xfId="2312" xr:uid="{00000000-0005-0000-0000-0000A8200000}"/>
    <cellStyle name="Normal 2 2 2 2 4 5 2 2" xfId="6794" xr:uid="{00000000-0005-0000-0000-0000A9200000}"/>
    <cellStyle name="Normal 2 2 2 2 4 5 2 2 2" xfId="15824" xr:uid="{00000000-0005-0000-0000-0000AA200000}"/>
    <cellStyle name="Normal 2 2 2 2 4 5 2 2 2 2" xfId="35876" xr:uid="{00000000-0005-0000-0000-0000AB200000}"/>
    <cellStyle name="Normal 2 2 2 2 4 5 2 2 3" xfId="26846" xr:uid="{00000000-0005-0000-0000-0000AC200000}"/>
    <cellStyle name="Normal 2 2 2 2 4 5 2 3" xfId="11342" xr:uid="{00000000-0005-0000-0000-0000AD200000}"/>
    <cellStyle name="Normal 2 2 2 2 4 5 2 3 2" xfId="31394" xr:uid="{00000000-0005-0000-0000-0000AE200000}"/>
    <cellStyle name="Normal 2 2 2 2 4 5 2 4" xfId="22364" xr:uid="{00000000-0005-0000-0000-0000AF200000}"/>
    <cellStyle name="Normal 2 2 2 2 4 5 3" xfId="3806" xr:uid="{00000000-0005-0000-0000-0000B0200000}"/>
    <cellStyle name="Normal 2 2 2 2 4 5 3 2" xfId="8288" xr:uid="{00000000-0005-0000-0000-0000B1200000}"/>
    <cellStyle name="Normal 2 2 2 2 4 5 3 2 2" xfId="17318" xr:uid="{00000000-0005-0000-0000-0000B2200000}"/>
    <cellStyle name="Normal 2 2 2 2 4 5 3 2 2 2" xfId="37370" xr:uid="{00000000-0005-0000-0000-0000B3200000}"/>
    <cellStyle name="Normal 2 2 2 2 4 5 3 2 3" xfId="28340" xr:uid="{00000000-0005-0000-0000-0000B4200000}"/>
    <cellStyle name="Normal 2 2 2 2 4 5 3 3" xfId="12836" xr:uid="{00000000-0005-0000-0000-0000B5200000}"/>
    <cellStyle name="Normal 2 2 2 2 4 5 3 3 2" xfId="32888" xr:uid="{00000000-0005-0000-0000-0000B6200000}"/>
    <cellStyle name="Normal 2 2 2 2 4 5 3 4" xfId="23858" xr:uid="{00000000-0005-0000-0000-0000B7200000}"/>
    <cellStyle name="Normal 2 2 2 2 4 5 4" xfId="5300" xr:uid="{00000000-0005-0000-0000-0000B8200000}"/>
    <cellStyle name="Normal 2 2 2 2 4 5 4 2" xfId="14330" xr:uid="{00000000-0005-0000-0000-0000B9200000}"/>
    <cellStyle name="Normal 2 2 2 2 4 5 4 2 2" xfId="34382" xr:uid="{00000000-0005-0000-0000-0000BA200000}"/>
    <cellStyle name="Normal 2 2 2 2 4 5 4 3" xfId="25352" xr:uid="{00000000-0005-0000-0000-0000BB200000}"/>
    <cellStyle name="Normal 2 2 2 2 4 5 5" xfId="9848" xr:uid="{00000000-0005-0000-0000-0000BC200000}"/>
    <cellStyle name="Normal 2 2 2 2 4 5 5 2" xfId="29900" xr:uid="{00000000-0005-0000-0000-0000BD200000}"/>
    <cellStyle name="Normal 2 2 2 2 4 5 6" xfId="20870" xr:uid="{00000000-0005-0000-0000-0000BE200000}"/>
    <cellStyle name="Normal 2 2 2 2 4 6" xfId="1567" xr:uid="{00000000-0005-0000-0000-0000BF200000}"/>
    <cellStyle name="Normal 2 2 2 2 4 6 2" xfId="6049" xr:uid="{00000000-0005-0000-0000-0000C0200000}"/>
    <cellStyle name="Normal 2 2 2 2 4 6 2 2" xfId="15079" xr:uid="{00000000-0005-0000-0000-0000C1200000}"/>
    <cellStyle name="Normal 2 2 2 2 4 6 2 2 2" xfId="35131" xr:uid="{00000000-0005-0000-0000-0000C2200000}"/>
    <cellStyle name="Normal 2 2 2 2 4 6 2 3" xfId="26101" xr:uid="{00000000-0005-0000-0000-0000C3200000}"/>
    <cellStyle name="Normal 2 2 2 2 4 6 3" xfId="10597" xr:uid="{00000000-0005-0000-0000-0000C4200000}"/>
    <cellStyle name="Normal 2 2 2 2 4 6 3 2" xfId="30649" xr:uid="{00000000-0005-0000-0000-0000C5200000}"/>
    <cellStyle name="Normal 2 2 2 2 4 6 4" xfId="21619" xr:uid="{00000000-0005-0000-0000-0000C6200000}"/>
    <cellStyle name="Normal 2 2 2 2 4 7" xfId="3061" xr:uid="{00000000-0005-0000-0000-0000C7200000}"/>
    <cellStyle name="Normal 2 2 2 2 4 7 2" xfId="7543" xr:uid="{00000000-0005-0000-0000-0000C8200000}"/>
    <cellStyle name="Normal 2 2 2 2 4 7 2 2" xfId="16573" xr:uid="{00000000-0005-0000-0000-0000C9200000}"/>
    <cellStyle name="Normal 2 2 2 2 4 7 2 2 2" xfId="36625" xr:uid="{00000000-0005-0000-0000-0000CA200000}"/>
    <cellStyle name="Normal 2 2 2 2 4 7 2 3" xfId="27595" xr:uid="{00000000-0005-0000-0000-0000CB200000}"/>
    <cellStyle name="Normal 2 2 2 2 4 7 3" xfId="12091" xr:uid="{00000000-0005-0000-0000-0000CC200000}"/>
    <cellStyle name="Normal 2 2 2 2 4 7 3 2" xfId="32143" xr:uid="{00000000-0005-0000-0000-0000CD200000}"/>
    <cellStyle name="Normal 2 2 2 2 4 7 4" xfId="23113" xr:uid="{00000000-0005-0000-0000-0000CE200000}"/>
    <cellStyle name="Normal 2 2 2 2 4 8" xfId="4555" xr:uid="{00000000-0005-0000-0000-0000CF200000}"/>
    <cellStyle name="Normal 2 2 2 2 4 8 2" xfId="13585" xr:uid="{00000000-0005-0000-0000-0000D0200000}"/>
    <cellStyle name="Normal 2 2 2 2 4 8 2 2" xfId="33637" xr:uid="{00000000-0005-0000-0000-0000D1200000}"/>
    <cellStyle name="Normal 2 2 2 2 4 8 3" xfId="24607" xr:uid="{00000000-0005-0000-0000-0000D2200000}"/>
    <cellStyle name="Normal 2 2 2 2 4 9" xfId="9103" xr:uid="{00000000-0005-0000-0000-0000D3200000}"/>
    <cellStyle name="Normal 2 2 2 2 4 9 2" xfId="29155" xr:uid="{00000000-0005-0000-0000-0000D4200000}"/>
    <cellStyle name="Normal 2 2 2 2 5" xfId="97" xr:uid="{00000000-0005-0000-0000-0000D5200000}"/>
    <cellStyle name="Normal 2 2 2 2 5 10" xfId="20149" xr:uid="{00000000-0005-0000-0000-0000D6200000}"/>
    <cellStyle name="Normal 2 2 2 2 5 2" xfId="283" xr:uid="{00000000-0005-0000-0000-0000D7200000}"/>
    <cellStyle name="Normal 2 2 2 2 5 2 2" xfId="1027" xr:uid="{00000000-0005-0000-0000-0000D8200000}"/>
    <cellStyle name="Normal 2 2 2 2 5 2 2 2" xfId="2521" xr:uid="{00000000-0005-0000-0000-0000D9200000}"/>
    <cellStyle name="Normal 2 2 2 2 5 2 2 2 2" xfId="7003" xr:uid="{00000000-0005-0000-0000-0000DA200000}"/>
    <cellStyle name="Normal 2 2 2 2 5 2 2 2 2 2" xfId="16033" xr:uid="{00000000-0005-0000-0000-0000DB200000}"/>
    <cellStyle name="Normal 2 2 2 2 5 2 2 2 2 2 2" xfId="36085" xr:uid="{00000000-0005-0000-0000-0000DC200000}"/>
    <cellStyle name="Normal 2 2 2 2 5 2 2 2 2 3" xfId="27055" xr:uid="{00000000-0005-0000-0000-0000DD200000}"/>
    <cellStyle name="Normal 2 2 2 2 5 2 2 2 3" xfId="11551" xr:uid="{00000000-0005-0000-0000-0000DE200000}"/>
    <cellStyle name="Normal 2 2 2 2 5 2 2 2 3 2" xfId="31603" xr:uid="{00000000-0005-0000-0000-0000DF200000}"/>
    <cellStyle name="Normal 2 2 2 2 5 2 2 2 4" xfId="22573" xr:uid="{00000000-0005-0000-0000-0000E0200000}"/>
    <cellStyle name="Normal 2 2 2 2 5 2 2 3" xfId="4015" xr:uid="{00000000-0005-0000-0000-0000E1200000}"/>
    <cellStyle name="Normal 2 2 2 2 5 2 2 3 2" xfId="8497" xr:uid="{00000000-0005-0000-0000-0000E2200000}"/>
    <cellStyle name="Normal 2 2 2 2 5 2 2 3 2 2" xfId="17527" xr:uid="{00000000-0005-0000-0000-0000E3200000}"/>
    <cellStyle name="Normal 2 2 2 2 5 2 2 3 2 2 2" xfId="37579" xr:uid="{00000000-0005-0000-0000-0000E4200000}"/>
    <cellStyle name="Normal 2 2 2 2 5 2 2 3 2 3" xfId="28549" xr:uid="{00000000-0005-0000-0000-0000E5200000}"/>
    <cellStyle name="Normal 2 2 2 2 5 2 2 3 3" xfId="13045" xr:uid="{00000000-0005-0000-0000-0000E6200000}"/>
    <cellStyle name="Normal 2 2 2 2 5 2 2 3 3 2" xfId="33097" xr:uid="{00000000-0005-0000-0000-0000E7200000}"/>
    <cellStyle name="Normal 2 2 2 2 5 2 2 3 4" xfId="24067" xr:uid="{00000000-0005-0000-0000-0000E8200000}"/>
    <cellStyle name="Normal 2 2 2 2 5 2 2 4" xfId="5509" xr:uid="{00000000-0005-0000-0000-0000E9200000}"/>
    <cellStyle name="Normal 2 2 2 2 5 2 2 4 2" xfId="14539" xr:uid="{00000000-0005-0000-0000-0000EA200000}"/>
    <cellStyle name="Normal 2 2 2 2 5 2 2 4 2 2" xfId="34591" xr:uid="{00000000-0005-0000-0000-0000EB200000}"/>
    <cellStyle name="Normal 2 2 2 2 5 2 2 4 3" xfId="25561" xr:uid="{00000000-0005-0000-0000-0000EC200000}"/>
    <cellStyle name="Normal 2 2 2 2 5 2 2 5" xfId="10057" xr:uid="{00000000-0005-0000-0000-0000ED200000}"/>
    <cellStyle name="Normal 2 2 2 2 5 2 2 5 2" xfId="30109" xr:uid="{00000000-0005-0000-0000-0000EE200000}"/>
    <cellStyle name="Normal 2 2 2 2 5 2 2 6" xfId="21079" xr:uid="{00000000-0005-0000-0000-0000EF200000}"/>
    <cellStyle name="Normal 2 2 2 2 5 2 3" xfId="1777" xr:uid="{00000000-0005-0000-0000-0000F0200000}"/>
    <cellStyle name="Normal 2 2 2 2 5 2 3 2" xfId="6259" xr:uid="{00000000-0005-0000-0000-0000F1200000}"/>
    <cellStyle name="Normal 2 2 2 2 5 2 3 2 2" xfId="15289" xr:uid="{00000000-0005-0000-0000-0000F2200000}"/>
    <cellStyle name="Normal 2 2 2 2 5 2 3 2 2 2" xfId="35341" xr:uid="{00000000-0005-0000-0000-0000F3200000}"/>
    <cellStyle name="Normal 2 2 2 2 5 2 3 2 3" xfId="26311" xr:uid="{00000000-0005-0000-0000-0000F4200000}"/>
    <cellStyle name="Normal 2 2 2 2 5 2 3 3" xfId="10807" xr:uid="{00000000-0005-0000-0000-0000F5200000}"/>
    <cellStyle name="Normal 2 2 2 2 5 2 3 3 2" xfId="30859" xr:uid="{00000000-0005-0000-0000-0000F6200000}"/>
    <cellStyle name="Normal 2 2 2 2 5 2 3 4" xfId="21829" xr:uid="{00000000-0005-0000-0000-0000F7200000}"/>
    <cellStyle name="Normal 2 2 2 2 5 2 4" xfId="3271" xr:uid="{00000000-0005-0000-0000-0000F8200000}"/>
    <cellStyle name="Normal 2 2 2 2 5 2 4 2" xfId="7753" xr:uid="{00000000-0005-0000-0000-0000F9200000}"/>
    <cellStyle name="Normal 2 2 2 2 5 2 4 2 2" xfId="16783" xr:uid="{00000000-0005-0000-0000-0000FA200000}"/>
    <cellStyle name="Normal 2 2 2 2 5 2 4 2 2 2" xfId="36835" xr:uid="{00000000-0005-0000-0000-0000FB200000}"/>
    <cellStyle name="Normal 2 2 2 2 5 2 4 2 3" xfId="27805" xr:uid="{00000000-0005-0000-0000-0000FC200000}"/>
    <cellStyle name="Normal 2 2 2 2 5 2 4 3" xfId="12301" xr:uid="{00000000-0005-0000-0000-0000FD200000}"/>
    <cellStyle name="Normal 2 2 2 2 5 2 4 3 2" xfId="32353" xr:uid="{00000000-0005-0000-0000-0000FE200000}"/>
    <cellStyle name="Normal 2 2 2 2 5 2 4 4" xfId="23323" xr:uid="{00000000-0005-0000-0000-0000FF200000}"/>
    <cellStyle name="Normal 2 2 2 2 5 2 5" xfId="4765" xr:uid="{00000000-0005-0000-0000-000000210000}"/>
    <cellStyle name="Normal 2 2 2 2 5 2 5 2" xfId="13795" xr:uid="{00000000-0005-0000-0000-000001210000}"/>
    <cellStyle name="Normal 2 2 2 2 5 2 5 2 2" xfId="33847" xr:uid="{00000000-0005-0000-0000-000002210000}"/>
    <cellStyle name="Normal 2 2 2 2 5 2 5 3" xfId="24817" xr:uid="{00000000-0005-0000-0000-000003210000}"/>
    <cellStyle name="Normal 2 2 2 2 5 2 6" xfId="9313" xr:uid="{00000000-0005-0000-0000-000004210000}"/>
    <cellStyle name="Normal 2 2 2 2 5 2 6 2" xfId="29365" xr:uid="{00000000-0005-0000-0000-000005210000}"/>
    <cellStyle name="Normal 2 2 2 2 5 2 7" xfId="20335" xr:uid="{00000000-0005-0000-0000-000006210000}"/>
    <cellStyle name="Normal 2 2 2 2 5 3" xfId="469" xr:uid="{00000000-0005-0000-0000-000007210000}"/>
    <cellStyle name="Normal 2 2 2 2 5 3 2" xfId="1216" xr:uid="{00000000-0005-0000-0000-000008210000}"/>
    <cellStyle name="Normal 2 2 2 2 5 3 2 2" xfId="2710" xr:uid="{00000000-0005-0000-0000-000009210000}"/>
    <cellStyle name="Normal 2 2 2 2 5 3 2 2 2" xfId="7192" xr:uid="{00000000-0005-0000-0000-00000A210000}"/>
    <cellStyle name="Normal 2 2 2 2 5 3 2 2 2 2" xfId="16222" xr:uid="{00000000-0005-0000-0000-00000B210000}"/>
    <cellStyle name="Normal 2 2 2 2 5 3 2 2 2 2 2" xfId="36274" xr:uid="{00000000-0005-0000-0000-00000C210000}"/>
    <cellStyle name="Normal 2 2 2 2 5 3 2 2 2 3" xfId="27244" xr:uid="{00000000-0005-0000-0000-00000D210000}"/>
    <cellStyle name="Normal 2 2 2 2 5 3 2 2 3" xfId="11740" xr:uid="{00000000-0005-0000-0000-00000E210000}"/>
    <cellStyle name="Normal 2 2 2 2 5 3 2 2 3 2" xfId="31792" xr:uid="{00000000-0005-0000-0000-00000F210000}"/>
    <cellStyle name="Normal 2 2 2 2 5 3 2 2 4" xfId="22762" xr:uid="{00000000-0005-0000-0000-000010210000}"/>
    <cellStyle name="Normal 2 2 2 2 5 3 2 3" xfId="4204" xr:uid="{00000000-0005-0000-0000-000011210000}"/>
    <cellStyle name="Normal 2 2 2 2 5 3 2 3 2" xfId="8686" xr:uid="{00000000-0005-0000-0000-000012210000}"/>
    <cellStyle name="Normal 2 2 2 2 5 3 2 3 2 2" xfId="17716" xr:uid="{00000000-0005-0000-0000-000013210000}"/>
    <cellStyle name="Normal 2 2 2 2 5 3 2 3 2 2 2" xfId="37768" xr:uid="{00000000-0005-0000-0000-000014210000}"/>
    <cellStyle name="Normal 2 2 2 2 5 3 2 3 2 3" xfId="28738" xr:uid="{00000000-0005-0000-0000-000015210000}"/>
    <cellStyle name="Normal 2 2 2 2 5 3 2 3 3" xfId="13234" xr:uid="{00000000-0005-0000-0000-000016210000}"/>
    <cellStyle name="Normal 2 2 2 2 5 3 2 3 3 2" xfId="33286" xr:uid="{00000000-0005-0000-0000-000017210000}"/>
    <cellStyle name="Normal 2 2 2 2 5 3 2 3 4" xfId="24256" xr:uid="{00000000-0005-0000-0000-000018210000}"/>
    <cellStyle name="Normal 2 2 2 2 5 3 2 4" xfId="5698" xr:uid="{00000000-0005-0000-0000-000019210000}"/>
    <cellStyle name="Normal 2 2 2 2 5 3 2 4 2" xfId="14728" xr:uid="{00000000-0005-0000-0000-00001A210000}"/>
    <cellStyle name="Normal 2 2 2 2 5 3 2 4 2 2" xfId="34780" xr:uid="{00000000-0005-0000-0000-00001B210000}"/>
    <cellStyle name="Normal 2 2 2 2 5 3 2 4 3" xfId="25750" xr:uid="{00000000-0005-0000-0000-00001C210000}"/>
    <cellStyle name="Normal 2 2 2 2 5 3 2 5" xfId="10246" xr:uid="{00000000-0005-0000-0000-00001D210000}"/>
    <cellStyle name="Normal 2 2 2 2 5 3 2 5 2" xfId="30298" xr:uid="{00000000-0005-0000-0000-00001E210000}"/>
    <cellStyle name="Normal 2 2 2 2 5 3 2 6" xfId="21268" xr:uid="{00000000-0005-0000-0000-00001F210000}"/>
    <cellStyle name="Normal 2 2 2 2 5 3 3" xfId="1963" xr:uid="{00000000-0005-0000-0000-000020210000}"/>
    <cellStyle name="Normal 2 2 2 2 5 3 3 2" xfId="6445" xr:uid="{00000000-0005-0000-0000-000021210000}"/>
    <cellStyle name="Normal 2 2 2 2 5 3 3 2 2" xfId="15475" xr:uid="{00000000-0005-0000-0000-000022210000}"/>
    <cellStyle name="Normal 2 2 2 2 5 3 3 2 2 2" xfId="35527" xr:uid="{00000000-0005-0000-0000-000023210000}"/>
    <cellStyle name="Normal 2 2 2 2 5 3 3 2 3" xfId="26497" xr:uid="{00000000-0005-0000-0000-000024210000}"/>
    <cellStyle name="Normal 2 2 2 2 5 3 3 3" xfId="10993" xr:uid="{00000000-0005-0000-0000-000025210000}"/>
    <cellStyle name="Normal 2 2 2 2 5 3 3 3 2" xfId="31045" xr:uid="{00000000-0005-0000-0000-000026210000}"/>
    <cellStyle name="Normal 2 2 2 2 5 3 3 4" xfId="22015" xr:uid="{00000000-0005-0000-0000-000027210000}"/>
    <cellStyle name="Normal 2 2 2 2 5 3 4" xfId="3457" xr:uid="{00000000-0005-0000-0000-000028210000}"/>
    <cellStyle name="Normal 2 2 2 2 5 3 4 2" xfId="7939" xr:uid="{00000000-0005-0000-0000-000029210000}"/>
    <cellStyle name="Normal 2 2 2 2 5 3 4 2 2" xfId="16969" xr:uid="{00000000-0005-0000-0000-00002A210000}"/>
    <cellStyle name="Normal 2 2 2 2 5 3 4 2 2 2" xfId="37021" xr:uid="{00000000-0005-0000-0000-00002B210000}"/>
    <cellStyle name="Normal 2 2 2 2 5 3 4 2 3" xfId="27991" xr:uid="{00000000-0005-0000-0000-00002C210000}"/>
    <cellStyle name="Normal 2 2 2 2 5 3 4 3" xfId="12487" xr:uid="{00000000-0005-0000-0000-00002D210000}"/>
    <cellStyle name="Normal 2 2 2 2 5 3 4 3 2" xfId="32539" xr:uid="{00000000-0005-0000-0000-00002E210000}"/>
    <cellStyle name="Normal 2 2 2 2 5 3 4 4" xfId="23509" xr:uid="{00000000-0005-0000-0000-00002F210000}"/>
    <cellStyle name="Normal 2 2 2 2 5 3 5" xfId="4951" xr:uid="{00000000-0005-0000-0000-000030210000}"/>
    <cellStyle name="Normal 2 2 2 2 5 3 5 2" xfId="13981" xr:uid="{00000000-0005-0000-0000-000031210000}"/>
    <cellStyle name="Normal 2 2 2 2 5 3 5 2 2" xfId="34033" xr:uid="{00000000-0005-0000-0000-000032210000}"/>
    <cellStyle name="Normal 2 2 2 2 5 3 5 3" xfId="25003" xr:uid="{00000000-0005-0000-0000-000033210000}"/>
    <cellStyle name="Normal 2 2 2 2 5 3 6" xfId="9499" xr:uid="{00000000-0005-0000-0000-000034210000}"/>
    <cellStyle name="Normal 2 2 2 2 5 3 6 2" xfId="29551" xr:uid="{00000000-0005-0000-0000-000035210000}"/>
    <cellStyle name="Normal 2 2 2 2 5 3 7" xfId="20521" xr:uid="{00000000-0005-0000-0000-000036210000}"/>
    <cellStyle name="Normal 2 2 2 2 5 4" xfId="655" xr:uid="{00000000-0005-0000-0000-000037210000}"/>
    <cellStyle name="Normal 2 2 2 2 5 4 2" xfId="1402" xr:uid="{00000000-0005-0000-0000-000038210000}"/>
    <cellStyle name="Normal 2 2 2 2 5 4 2 2" xfId="2896" xr:uid="{00000000-0005-0000-0000-000039210000}"/>
    <cellStyle name="Normal 2 2 2 2 5 4 2 2 2" xfId="7378" xr:uid="{00000000-0005-0000-0000-00003A210000}"/>
    <cellStyle name="Normal 2 2 2 2 5 4 2 2 2 2" xfId="16408" xr:uid="{00000000-0005-0000-0000-00003B210000}"/>
    <cellStyle name="Normal 2 2 2 2 5 4 2 2 2 2 2" xfId="36460" xr:uid="{00000000-0005-0000-0000-00003C210000}"/>
    <cellStyle name="Normal 2 2 2 2 5 4 2 2 2 3" xfId="27430" xr:uid="{00000000-0005-0000-0000-00003D210000}"/>
    <cellStyle name="Normal 2 2 2 2 5 4 2 2 3" xfId="11926" xr:uid="{00000000-0005-0000-0000-00003E210000}"/>
    <cellStyle name="Normal 2 2 2 2 5 4 2 2 3 2" xfId="31978" xr:uid="{00000000-0005-0000-0000-00003F210000}"/>
    <cellStyle name="Normal 2 2 2 2 5 4 2 2 4" xfId="22948" xr:uid="{00000000-0005-0000-0000-000040210000}"/>
    <cellStyle name="Normal 2 2 2 2 5 4 2 3" xfId="4390" xr:uid="{00000000-0005-0000-0000-000041210000}"/>
    <cellStyle name="Normal 2 2 2 2 5 4 2 3 2" xfId="8872" xr:uid="{00000000-0005-0000-0000-000042210000}"/>
    <cellStyle name="Normal 2 2 2 2 5 4 2 3 2 2" xfId="17902" xr:uid="{00000000-0005-0000-0000-000043210000}"/>
    <cellStyle name="Normal 2 2 2 2 5 4 2 3 2 2 2" xfId="37954" xr:uid="{00000000-0005-0000-0000-000044210000}"/>
    <cellStyle name="Normal 2 2 2 2 5 4 2 3 2 3" xfId="28924" xr:uid="{00000000-0005-0000-0000-000045210000}"/>
    <cellStyle name="Normal 2 2 2 2 5 4 2 3 3" xfId="13420" xr:uid="{00000000-0005-0000-0000-000046210000}"/>
    <cellStyle name="Normal 2 2 2 2 5 4 2 3 3 2" xfId="33472" xr:uid="{00000000-0005-0000-0000-000047210000}"/>
    <cellStyle name="Normal 2 2 2 2 5 4 2 3 4" xfId="24442" xr:uid="{00000000-0005-0000-0000-000048210000}"/>
    <cellStyle name="Normal 2 2 2 2 5 4 2 4" xfId="5884" xr:uid="{00000000-0005-0000-0000-000049210000}"/>
    <cellStyle name="Normal 2 2 2 2 5 4 2 4 2" xfId="14914" xr:uid="{00000000-0005-0000-0000-00004A210000}"/>
    <cellStyle name="Normal 2 2 2 2 5 4 2 4 2 2" xfId="34966" xr:uid="{00000000-0005-0000-0000-00004B210000}"/>
    <cellStyle name="Normal 2 2 2 2 5 4 2 4 3" xfId="25936" xr:uid="{00000000-0005-0000-0000-00004C210000}"/>
    <cellStyle name="Normal 2 2 2 2 5 4 2 5" xfId="10432" xr:uid="{00000000-0005-0000-0000-00004D210000}"/>
    <cellStyle name="Normal 2 2 2 2 5 4 2 5 2" xfId="30484" xr:uid="{00000000-0005-0000-0000-00004E210000}"/>
    <cellStyle name="Normal 2 2 2 2 5 4 2 6" xfId="21454" xr:uid="{00000000-0005-0000-0000-00004F210000}"/>
    <cellStyle name="Normal 2 2 2 2 5 4 3" xfId="2149" xr:uid="{00000000-0005-0000-0000-000050210000}"/>
    <cellStyle name="Normal 2 2 2 2 5 4 3 2" xfId="6631" xr:uid="{00000000-0005-0000-0000-000051210000}"/>
    <cellStyle name="Normal 2 2 2 2 5 4 3 2 2" xfId="15661" xr:uid="{00000000-0005-0000-0000-000052210000}"/>
    <cellStyle name="Normal 2 2 2 2 5 4 3 2 2 2" xfId="35713" xr:uid="{00000000-0005-0000-0000-000053210000}"/>
    <cellStyle name="Normal 2 2 2 2 5 4 3 2 3" xfId="26683" xr:uid="{00000000-0005-0000-0000-000054210000}"/>
    <cellStyle name="Normal 2 2 2 2 5 4 3 3" xfId="11179" xr:uid="{00000000-0005-0000-0000-000055210000}"/>
    <cellStyle name="Normal 2 2 2 2 5 4 3 3 2" xfId="31231" xr:uid="{00000000-0005-0000-0000-000056210000}"/>
    <cellStyle name="Normal 2 2 2 2 5 4 3 4" xfId="22201" xr:uid="{00000000-0005-0000-0000-000057210000}"/>
    <cellStyle name="Normal 2 2 2 2 5 4 4" xfId="3643" xr:uid="{00000000-0005-0000-0000-000058210000}"/>
    <cellStyle name="Normal 2 2 2 2 5 4 4 2" xfId="8125" xr:uid="{00000000-0005-0000-0000-000059210000}"/>
    <cellStyle name="Normal 2 2 2 2 5 4 4 2 2" xfId="17155" xr:uid="{00000000-0005-0000-0000-00005A210000}"/>
    <cellStyle name="Normal 2 2 2 2 5 4 4 2 2 2" xfId="37207" xr:uid="{00000000-0005-0000-0000-00005B210000}"/>
    <cellStyle name="Normal 2 2 2 2 5 4 4 2 3" xfId="28177" xr:uid="{00000000-0005-0000-0000-00005C210000}"/>
    <cellStyle name="Normal 2 2 2 2 5 4 4 3" xfId="12673" xr:uid="{00000000-0005-0000-0000-00005D210000}"/>
    <cellStyle name="Normal 2 2 2 2 5 4 4 3 2" xfId="32725" xr:uid="{00000000-0005-0000-0000-00005E210000}"/>
    <cellStyle name="Normal 2 2 2 2 5 4 4 4" xfId="23695" xr:uid="{00000000-0005-0000-0000-00005F210000}"/>
    <cellStyle name="Normal 2 2 2 2 5 4 5" xfId="5137" xr:uid="{00000000-0005-0000-0000-000060210000}"/>
    <cellStyle name="Normal 2 2 2 2 5 4 5 2" xfId="14167" xr:uid="{00000000-0005-0000-0000-000061210000}"/>
    <cellStyle name="Normal 2 2 2 2 5 4 5 2 2" xfId="34219" xr:uid="{00000000-0005-0000-0000-000062210000}"/>
    <cellStyle name="Normal 2 2 2 2 5 4 5 3" xfId="25189" xr:uid="{00000000-0005-0000-0000-000063210000}"/>
    <cellStyle name="Normal 2 2 2 2 5 4 6" xfId="9685" xr:uid="{00000000-0005-0000-0000-000064210000}"/>
    <cellStyle name="Normal 2 2 2 2 5 4 6 2" xfId="29737" xr:uid="{00000000-0005-0000-0000-000065210000}"/>
    <cellStyle name="Normal 2 2 2 2 5 4 7" xfId="20707" xr:uid="{00000000-0005-0000-0000-000066210000}"/>
    <cellStyle name="Normal 2 2 2 2 5 5" xfId="842" xr:uid="{00000000-0005-0000-0000-000067210000}"/>
    <cellStyle name="Normal 2 2 2 2 5 5 2" xfId="2336" xr:uid="{00000000-0005-0000-0000-000068210000}"/>
    <cellStyle name="Normal 2 2 2 2 5 5 2 2" xfId="6818" xr:uid="{00000000-0005-0000-0000-000069210000}"/>
    <cellStyle name="Normal 2 2 2 2 5 5 2 2 2" xfId="15848" xr:uid="{00000000-0005-0000-0000-00006A210000}"/>
    <cellStyle name="Normal 2 2 2 2 5 5 2 2 2 2" xfId="35900" xr:uid="{00000000-0005-0000-0000-00006B210000}"/>
    <cellStyle name="Normal 2 2 2 2 5 5 2 2 3" xfId="26870" xr:uid="{00000000-0005-0000-0000-00006C210000}"/>
    <cellStyle name="Normal 2 2 2 2 5 5 2 3" xfId="11366" xr:uid="{00000000-0005-0000-0000-00006D210000}"/>
    <cellStyle name="Normal 2 2 2 2 5 5 2 3 2" xfId="31418" xr:uid="{00000000-0005-0000-0000-00006E210000}"/>
    <cellStyle name="Normal 2 2 2 2 5 5 2 4" xfId="22388" xr:uid="{00000000-0005-0000-0000-00006F210000}"/>
    <cellStyle name="Normal 2 2 2 2 5 5 3" xfId="3830" xr:uid="{00000000-0005-0000-0000-000070210000}"/>
    <cellStyle name="Normal 2 2 2 2 5 5 3 2" xfId="8312" xr:uid="{00000000-0005-0000-0000-000071210000}"/>
    <cellStyle name="Normal 2 2 2 2 5 5 3 2 2" xfId="17342" xr:uid="{00000000-0005-0000-0000-000072210000}"/>
    <cellStyle name="Normal 2 2 2 2 5 5 3 2 2 2" xfId="37394" xr:uid="{00000000-0005-0000-0000-000073210000}"/>
    <cellStyle name="Normal 2 2 2 2 5 5 3 2 3" xfId="28364" xr:uid="{00000000-0005-0000-0000-000074210000}"/>
    <cellStyle name="Normal 2 2 2 2 5 5 3 3" xfId="12860" xr:uid="{00000000-0005-0000-0000-000075210000}"/>
    <cellStyle name="Normal 2 2 2 2 5 5 3 3 2" xfId="32912" xr:uid="{00000000-0005-0000-0000-000076210000}"/>
    <cellStyle name="Normal 2 2 2 2 5 5 3 4" xfId="23882" xr:uid="{00000000-0005-0000-0000-000077210000}"/>
    <cellStyle name="Normal 2 2 2 2 5 5 4" xfId="5324" xr:uid="{00000000-0005-0000-0000-000078210000}"/>
    <cellStyle name="Normal 2 2 2 2 5 5 4 2" xfId="14354" xr:uid="{00000000-0005-0000-0000-000079210000}"/>
    <cellStyle name="Normal 2 2 2 2 5 5 4 2 2" xfId="34406" xr:uid="{00000000-0005-0000-0000-00007A210000}"/>
    <cellStyle name="Normal 2 2 2 2 5 5 4 3" xfId="25376" xr:uid="{00000000-0005-0000-0000-00007B210000}"/>
    <cellStyle name="Normal 2 2 2 2 5 5 5" xfId="9872" xr:uid="{00000000-0005-0000-0000-00007C210000}"/>
    <cellStyle name="Normal 2 2 2 2 5 5 5 2" xfId="29924" xr:uid="{00000000-0005-0000-0000-00007D210000}"/>
    <cellStyle name="Normal 2 2 2 2 5 5 6" xfId="20894" xr:uid="{00000000-0005-0000-0000-00007E210000}"/>
    <cellStyle name="Normal 2 2 2 2 5 6" xfId="1591" xr:uid="{00000000-0005-0000-0000-00007F210000}"/>
    <cellStyle name="Normal 2 2 2 2 5 6 2" xfId="6073" xr:uid="{00000000-0005-0000-0000-000080210000}"/>
    <cellStyle name="Normal 2 2 2 2 5 6 2 2" xfId="15103" xr:uid="{00000000-0005-0000-0000-000081210000}"/>
    <cellStyle name="Normal 2 2 2 2 5 6 2 2 2" xfId="35155" xr:uid="{00000000-0005-0000-0000-000082210000}"/>
    <cellStyle name="Normal 2 2 2 2 5 6 2 3" xfId="26125" xr:uid="{00000000-0005-0000-0000-000083210000}"/>
    <cellStyle name="Normal 2 2 2 2 5 6 3" xfId="10621" xr:uid="{00000000-0005-0000-0000-000084210000}"/>
    <cellStyle name="Normal 2 2 2 2 5 6 3 2" xfId="30673" xr:uid="{00000000-0005-0000-0000-000085210000}"/>
    <cellStyle name="Normal 2 2 2 2 5 6 4" xfId="21643" xr:uid="{00000000-0005-0000-0000-000086210000}"/>
    <cellStyle name="Normal 2 2 2 2 5 7" xfId="3085" xr:uid="{00000000-0005-0000-0000-000087210000}"/>
    <cellStyle name="Normal 2 2 2 2 5 7 2" xfId="7567" xr:uid="{00000000-0005-0000-0000-000088210000}"/>
    <cellStyle name="Normal 2 2 2 2 5 7 2 2" xfId="16597" xr:uid="{00000000-0005-0000-0000-000089210000}"/>
    <cellStyle name="Normal 2 2 2 2 5 7 2 2 2" xfId="36649" xr:uid="{00000000-0005-0000-0000-00008A210000}"/>
    <cellStyle name="Normal 2 2 2 2 5 7 2 3" xfId="27619" xr:uid="{00000000-0005-0000-0000-00008B210000}"/>
    <cellStyle name="Normal 2 2 2 2 5 7 3" xfId="12115" xr:uid="{00000000-0005-0000-0000-00008C210000}"/>
    <cellStyle name="Normal 2 2 2 2 5 7 3 2" xfId="32167" xr:uid="{00000000-0005-0000-0000-00008D210000}"/>
    <cellStyle name="Normal 2 2 2 2 5 7 4" xfId="23137" xr:uid="{00000000-0005-0000-0000-00008E210000}"/>
    <cellStyle name="Normal 2 2 2 2 5 8" xfId="4579" xr:uid="{00000000-0005-0000-0000-00008F210000}"/>
    <cellStyle name="Normal 2 2 2 2 5 8 2" xfId="13609" xr:uid="{00000000-0005-0000-0000-000090210000}"/>
    <cellStyle name="Normal 2 2 2 2 5 8 2 2" xfId="33661" xr:uid="{00000000-0005-0000-0000-000091210000}"/>
    <cellStyle name="Normal 2 2 2 2 5 8 3" xfId="24631" xr:uid="{00000000-0005-0000-0000-000092210000}"/>
    <cellStyle name="Normal 2 2 2 2 5 9" xfId="9127" xr:uid="{00000000-0005-0000-0000-000093210000}"/>
    <cellStyle name="Normal 2 2 2 2 5 9 2" xfId="29179" xr:uid="{00000000-0005-0000-0000-000094210000}"/>
    <cellStyle name="Normal 2 2 2 2 6" xfId="105" xr:uid="{00000000-0005-0000-0000-000095210000}"/>
    <cellStyle name="Normal 2 2 2 2 6 10" xfId="20157" xr:uid="{00000000-0005-0000-0000-000096210000}"/>
    <cellStyle name="Normal 2 2 2 2 6 2" xfId="291" xr:uid="{00000000-0005-0000-0000-000097210000}"/>
    <cellStyle name="Normal 2 2 2 2 6 2 2" xfId="1034" xr:uid="{00000000-0005-0000-0000-000098210000}"/>
    <cellStyle name="Normal 2 2 2 2 6 2 2 2" xfId="2528" xr:uid="{00000000-0005-0000-0000-000099210000}"/>
    <cellStyle name="Normal 2 2 2 2 6 2 2 2 2" xfId="7010" xr:uid="{00000000-0005-0000-0000-00009A210000}"/>
    <cellStyle name="Normal 2 2 2 2 6 2 2 2 2 2" xfId="16040" xr:uid="{00000000-0005-0000-0000-00009B210000}"/>
    <cellStyle name="Normal 2 2 2 2 6 2 2 2 2 2 2" xfId="36092" xr:uid="{00000000-0005-0000-0000-00009C210000}"/>
    <cellStyle name="Normal 2 2 2 2 6 2 2 2 2 3" xfId="27062" xr:uid="{00000000-0005-0000-0000-00009D210000}"/>
    <cellStyle name="Normal 2 2 2 2 6 2 2 2 3" xfId="11558" xr:uid="{00000000-0005-0000-0000-00009E210000}"/>
    <cellStyle name="Normal 2 2 2 2 6 2 2 2 3 2" xfId="31610" xr:uid="{00000000-0005-0000-0000-00009F210000}"/>
    <cellStyle name="Normal 2 2 2 2 6 2 2 2 4" xfId="22580" xr:uid="{00000000-0005-0000-0000-0000A0210000}"/>
    <cellStyle name="Normal 2 2 2 2 6 2 2 3" xfId="4022" xr:uid="{00000000-0005-0000-0000-0000A1210000}"/>
    <cellStyle name="Normal 2 2 2 2 6 2 2 3 2" xfId="8504" xr:uid="{00000000-0005-0000-0000-0000A2210000}"/>
    <cellStyle name="Normal 2 2 2 2 6 2 2 3 2 2" xfId="17534" xr:uid="{00000000-0005-0000-0000-0000A3210000}"/>
    <cellStyle name="Normal 2 2 2 2 6 2 2 3 2 2 2" xfId="37586" xr:uid="{00000000-0005-0000-0000-0000A4210000}"/>
    <cellStyle name="Normal 2 2 2 2 6 2 2 3 2 3" xfId="28556" xr:uid="{00000000-0005-0000-0000-0000A5210000}"/>
    <cellStyle name="Normal 2 2 2 2 6 2 2 3 3" xfId="13052" xr:uid="{00000000-0005-0000-0000-0000A6210000}"/>
    <cellStyle name="Normal 2 2 2 2 6 2 2 3 3 2" xfId="33104" xr:uid="{00000000-0005-0000-0000-0000A7210000}"/>
    <cellStyle name="Normal 2 2 2 2 6 2 2 3 4" xfId="24074" xr:uid="{00000000-0005-0000-0000-0000A8210000}"/>
    <cellStyle name="Normal 2 2 2 2 6 2 2 4" xfId="5516" xr:uid="{00000000-0005-0000-0000-0000A9210000}"/>
    <cellStyle name="Normal 2 2 2 2 6 2 2 4 2" xfId="14546" xr:uid="{00000000-0005-0000-0000-0000AA210000}"/>
    <cellStyle name="Normal 2 2 2 2 6 2 2 4 2 2" xfId="34598" xr:uid="{00000000-0005-0000-0000-0000AB210000}"/>
    <cellStyle name="Normal 2 2 2 2 6 2 2 4 3" xfId="25568" xr:uid="{00000000-0005-0000-0000-0000AC210000}"/>
    <cellStyle name="Normal 2 2 2 2 6 2 2 5" xfId="10064" xr:uid="{00000000-0005-0000-0000-0000AD210000}"/>
    <cellStyle name="Normal 2 2 2 2 6 2 2 5 2" xfId="30116" xr:uid="{00000000-0005-0000-0000-0000AE210000}"/>
    <cellStyle name="Normal 2 2 2 2 6 2 2 6" xfId="21086" xr:uid="{00000000-0005-0000-0000-0000AF210000}"/>
    <cellStyle name="Normal 2 2 2 2 6 2 3" xfId="1785" xr:uid="{00000000-0005-0000-0000-0000B0210000}"/>
    <cellStyle name="Normal 2 2 2 2 6 2 3 2" xfId="6267" xr:uid="{00000000-0005-0000-0000-0000B1210000}"/>
    <cellStyle name="Normal 2 2 2 2 6 2 3 2 2" xfId="15297" xr:uid="{00000000-0005-0000-0000-0000B2210000}"/>
    <cellStyle name="Normal 2 2 2 2 6 2 3 2 2 2" xfId="35349" xr:uid="{00000000-0005-0000-0000-0000B3210000}"/>
    <cellStyle name="Normal 2 2 2 2 6 2 3 2 3" xfId="26319" xr:uid="{00000000-0005-0000-0000-0000B4210000}"/>
    <cellStyle name="Normal 2 2 2 2 6 2 3 3" xfId="10815" xr:uid="{00000000-0005-0000-0000-0000B5210000}"/>
    <cellStyle name="Normal 2 2 2 2 6 2 3 3 2" xfId="30867" xr:uid="{00000000-0005-0000-0000-0000B6210000}"/>
    <cellStyle name="Normal 2 2 2 2 6 2 3 4" xfId="21837" xr:uid="{00000000-0005-0000-0000-0000B7210000}"/>
    <cellStyle name="Normal 2 2 2 2 6 2 4" xfId="3279" xr:uid="{00000000-0005-0000-0000-0000B8210000}"/>
    <cellStyle name="Normal 2 2 2 2 6 2 4 2" xfId="7761" xr:uid="{00000000-0005-0000-0000-0000B9210000}"/>
    <cellStyle name="Normal 2 2 2 2 6 2 4 2 2" xfId="16791" xr:uid="{00000000-0005-0000-0000-0000BA210000}"/>
    <cellStyle name="Normal 2 2 2 2 6 2 4 2 2 2" xfId="36843" xr:uid="{00000000-0005-0000-0000-0000BB210000}"/>
    <cellStyle name="Normal 2 2 2 2 6 2 4 2 3" xfId="27813" xr:uid="{00000000-0005-0000-0000-0000BC210000}"/>
    <cellStyle name="Normal 2 2 2 2 6 2 4 3" xfId="12309" xr:uid="{00000000-0005-0000-0000-0000BD210000}"/>
    <cellStyle name="Normal 2 2 2 2 6 2 4 3 2" xfId="32361" xr:uid="{00000000-0005-0000-0000-0000BE210000}"/>
    <cellStyle name="Normal 2 2 2 2 6 2 4 4" xfId="23331" xr:uid="{00000000-0005-0000-0000-0000BF210000}"/>
    <cellStyle name="Normal 2 2 2 2 6 2 5" xfId="4773" xr:uid="{00000000-0005-0000-0000-0000C0210000}"/>
    <cellStyle name="Normal 2 2 2 2 6 2 5 2" xfId="13803" xr:uid="{00000000-0005-0000-0000-0000C1210000}"/>
    <cellStyle name="Normal 2 2 2 2 6 2 5 2 2" xfId="33855" xr:uid="{00000000-0005-0000-0000-0000C2210000}"/>
    <cellStyle name="Normal 2 2 2 2 6 2 5 3" xfId="24825" xr:uid="{00000000-0005-0000-0000-0000C3210000}"/>
    <cellStyle name="Normal 2 2 2 2 6 2 6" xfId="9321" xr:uid="{00000000-0005-0000-0000-0000C4210000}"/>
    <cellStyle name="Normal 2 2 2 2 6 2 6 2" xfId="29373" xr:uid="{00000000-0005-0000-0000-0000C5210000}"/>
    <cellStyle name="Normal 2 2 2 2 6 2 7" xfId="20343" xr:uid="{00000000-0005-0000-0000-0000C6210000}"/>
    <cellStyle name="Normal 2 2 2 2 6 3" xfId="477" xr:uid="{00000000-0005-0000-0000-0000C7210000}"/>
    <cellStyle name="Normal 2 2 2 2 6 3 2" xfId="1224" xr:uid="{00000000-0005-0000-0000-0000C8210000}"/>
    <cellStyle name="Normal 2 2 2 2 6 3 2 2" xfId="2718" xr:uid="{00000000-0005-0000-0000-0000C9210000}"/>
    <cellStyle name="Normal 2 2 2 2 6 3 2 2 2" xfId="7200" xr:uid="{00000000-0005-0000-0000-0000CA210000}"/>
    <cellStyle name="Normal 2 2 2 2 6 3 2 2 2 2" xfId="16230" xr:uid="{00000000-0005-0000-0000-0000CB210000}"/>
    <cellStyle name="Normal 2 2 2 2 6 3 2 2 2 2 2" xfId="36282" xr:uid="{00000000-0005-0000-0000-0000CC210000}"/>
    <cellStyle name="Normal 2 2 2 2 6 3 2 2 2 3" xfId="27252" xr:uid="{00000000-0005-0000-0000-0000CD210000}"/>
    <cellStyle name="Normal 2 2 2 2 6 3 2 2 3" xfId="11748" xr:uid="{00000000-0005-0000-0000-0000CE210000}"/>
    <cellStyle name="Normal 2 2 2 2 6 3 2 2 3 2" xfId="31800" xr:uid="{00000000-0005-0000-0000-0000CF210000}"/>
    <cellStyle name="Normal 2 2 2 2 6 3 2 2 4" xfId="22770" xr:uid="{00000000-0005-0000-0000-0000D0210000}"/>
    <cellStyle name="Normal 2 2 2 2 6 3 2 3" xfId="4212" xr:uid="{00000000-0005-0000-0000-0000D1210000}"/>
    <cellStyle name="Normal 2 2 2 2 6 3 2 3 2" xfId="8694" xr:uid="{00000000-0005-0000-0000-0000D2210000}"/>
    <cellStyle name="Normal 2 2 2 2 6 3 2 3 2 2" xfId="17724" xr:uid="{00000000-0005-0000-0000-0000D3210000}"/>
    <cellStyle name="Normal 2 2 2 2 6 3 2 3 2 2 2" xfId="37776" xr:uid="{00000000-0005-0000-0000-0000D4210000}"/>
    <cellStyle name="Normal 2 2 2 2 6 3 2 3 2 3" xfId="28746" xr:uid="{00000000-0005-0000-0000-0000D5210000}"/>
    <cellStyle name="Normal 2 2 2 2 6 3 2 3 3" xfId="13242" xr:uid="{00000000-0005-0000-0000-0000D6210000}"/>
    <cellStyle name="Normal 2 2 2 2 6 3 2 3 3 2" xfId="33294" xr:uid="{00000000-0005-0000-0000-0000D7210000}"/>
    <cellStyle name="Normal 2 2 2 2 6 3 2 3 4" xfId="24264" xr:uid="{00000000-0005-0000-0000-0000D8210000}"/>
    <cellStyle name="Normal 2 2 2 2 6 3 2 4" xfId="5706" xr:uid="{00000000-0005-0000-0000-0000D9210000}"/>
    <cellStyle name="Normal 2 2 2 2 6 3 2 4 2" xfId="14736" xr:uid="{00000000-0005-0000-0000-0000DA210000}"/>
    <cellStyle name="Normal 2 2 2 2 6 3 2 4 2 2" xfId="34788" xr:uid="{00000000-0005-0000-0000-0000DB210000}"/>
    <cellStyle name="Normal 2 2 2 2 6 3 2 4 3" xfId="25758" xr:uid="{00000000-0005-0000-0000-0000DC210000}"/>
    <cellStyle name="Normal 2 2 2 2 6 3 2 5" xfId="10254" xr:uid="{00000000-0005-0000-0000-0000DD210000}"/>
    <cellStyle name="Normal 2 2 2 2 6 3 2 5 2" xfId="30306" xr:uid="{00000000-0005-0000-0000-0000DE210000}"/>
    <cellStyle name="Normal 2 2 2 2 6 3 2 6" xfId="21276" xr:uid="{00000000-0005-0000-0000-0000DF210000}"/>
    <cellStyle name="Normal 2 2 2 2 6 3 3" xfId="1971" xr:uid="{00000000-0005-0000-0000-0000E0210000}"/>
    <cellStyle name="Normal 2 2 2 2 6 3 3 2" xfId="6453" xr:uid="{00000000-0005-0000-0000-0000E1210000}"/>
    <cellStyle name="Normal 2 2 2 2 6 3 3 2 2" xfId="15483" xr:uid="{00000000-0005-0000-0000-0000E2210000}"/>
    <cellStyle name="Normal 2 2 2 2 6 3 3 2 2 2" xfId="35535" xr:uid="{00000000-0005-0000-0000-0000E3210000}"/>
    <cellStyle name="Normal 2 2 2 2 6 3 3 2 3" xfId="26505" xr:uid="{00000000-0005-0000-0000-0000E4210000}"/>
    <cellStyle name="Normal 2 2 2 2 6 3 3 3" xfId="11001" xr:uid="{00000000-0005-0000-0000-0000E5210000}"/>
    <cellStyle name="Normal 2 2 2 2 6 3 3 3 2" xfId="31053" xr:uid="{00000000-0005-0000-0000-0000E6210000}"/>
    <cellStyle name="Normal 2 2 2 2 6 3 3 4" xfId="22023" xr:uid="{00000000-0005-0000-0000-0000E7210000}"/>
    <cellStyle name="Normal 2 2 2 2 6 3 4" xfId="3465" xr:uid="{00000000-0005-0000-0000-0000E8210000}"/>
    <cellStyle name="Normal 2 2 2 2 6 3 4 2" xfId="7947" xr:uid="{00000000-0005-0000-0000-0000E9210000}"/>
    <cellStyle name="Normal 2 2 2 2 6 3 4 2 2" xfId="16977" xr:uid="{00000000-0005-0000-0000-0000EA210000}"/>
    <cellStyle name="Normal 2 2 2 2 6 3 4 2 2 2" xfId="37029" xr:uid="{00000000-0005-0000-0000-0000EB210000}"/>
    <cellStyle name="Normal 2 2 2 2 6 3 4 2 3" xfId="27999" xr:uid="{00000000-0005-0000-0000-0000EC210000}"/>
    <cellStyle name="Normal 2 2 2 2 6 3 4 3" xfId="12495" xr:uid="{00000000-0005-0000-0000-0000ED210000}"/>
    <cellStyle name="Normal 2 2 2 2 6 3 4 3 2" xfId="32547" xr:uid="{00000000-0005-0000-0000-0000EE210000}"/>
    <cellStyle name="Normal 2 2 2 2 6 3 4 4" xfId="23517" xr:uid="{00000000-0005-0000-0000-0000EF210000}"/>
    <cellStyle name="Normal 2 2 2 2 6 3 5" xfId="4959" xr:uid="{00000000-0005-0000-0000-0000F0210000}"/>
    <cellStyle name="Normal 2 2 2 2 6 3 5 2" xfId="13989" xr:uid="{00000000-0005-0000-0000-0000F1210000}"/>
    <cellStyle name="Normal 2 2 2 2 6 3 5 2 2" xfId="34041" xr:uid="{00000000-0005-0000-0000-0000F2210000}"/>
    <cellStyle name="Normal 2 2 2 2 6 3 5 3" xfId="25011" xr:uid="{00000000-0005-0000-0000-0000F3210000}"/>
    <cellStyle name="Normal 2 2 2 2 6 3 6" xfId="9507" xr:uid="{00000000-0005-0000-0000-0000F4210000}"/>
    <cellStyle name="Normal 2 2 2 2 6 3 6 2" xfId="29559" xr:uid="{00000000-0005-0000-0000-0000F5210000}"/>
    <cellStyle name="Normal 2 2 2 2 6 3 7" xfId="20529" xr:uid="{00000000-0005-0000-0000-0000F6210000}"/>
    <cellStyle name="Normal 2 2 2 2 6 4" xfId="663" xr:uid="{00000000-0005-0000-0000-0000F7210000}"/>
    <cellStyle name="Normal 2 2 2 2 6 4 2" xfId="1410" xr:uid="{00000000-0005-0000-0000-0000F8210000}"/>
    <cellStyle name="Normal 2 2 2 2 6 4 2 2" xfId="2904" xr:uid="{00000000-0005-0000-0000-0000F9210000}"/>
    <cellStyle name="Normal 2 2 2 2 6 4 2 2 2" xfId="7386" xr:uid="{00000000-0005-0000-0000-0000FA210000}"/>
    <cellStyle name="Normal 2 2 2 2 6 4 2 2 2 2" xfId="16416" xr:uid="{00000000-0005-0000-0000-0000FB210000}"/>
    <cellStyle name="Normal 2 2 2 2 6 4 2 2 2 2 2" xfId="36468" xr:uid="{00000000-0005-0000-0000-0000FC210000}"/>
    <cellStyle name="Normal 2 2 2 2 6 4 2 2 2 3" xfId="27438" xr:uid="{00000000-0005-0000-0000-0000FD210000}"/>
    <cellStyle name="Normal 2 2 2 2 6 4 2 2 3" xfId="11934" xr:uid="{00000000-0005-0000-0000-0000FE210000}"/>
    <cellStyle name="Normal 2 2 2 2 6 4 2 2 3 2" xfId="31986" xr:uid="{00000000-0005-0000-0000-0000FF210000}"/>
    <cellStyle name="Normal 2 2 2 2 6 4 2 2 4" xfId="22956" xr:uid="{00000000-0005-0000-0000-000000220000}"/>
    <cellStyle name="Normal 2 2 2 2 6 4 2 3" xfId="4398" xr:uid="{00000000-0005-0000-0000-000001220000}"/>
    <cellStyle name="Normal 2 2 2 2 6 4 2 3 2" xfId="8880" xr:uid="{00000000-0005-0000-0000-000002220000}"/>
    <cellStyle name="Normal 2 2 2 2 6 4 2 3 2 2" xfId="17910" xr:uid="{00000000-0005-0000-0000-000003220000}"/>
    <cellStyle name="Normal 2 2 2 2 6 4 2 3 2 2 2" xfId="37962" xr:uid="{00000000-0005-0000-0000-000004220000}"/>
    <cellStyle name="Normal 2 2 2 2 6 4 2 3 2 3" xfId="28932" xr:uid="{00000000-0005-0000-0000-000005220000}"/>
    <cellStyle name="Normal 2 2 2 2 6 4 2 3 3" xfId="13428" xr:uid="{00000000-0005-0000-0000-000006220000}"/>
    <cellStyle name="Normal 2 2 2 2 6 4 2 3 3 2" xfId="33480" xr:uid="{00000000-0005-0000-0000-000007220000}"/>
    <cellStyle name="Normal 2 2 2 2 6 4 2 3 4" xfId="24450" xr:uid="{00000000-0005-0000-0000-000008220000}"/>
    <cellStyle name="Normal 2 2 2 2 6 4 2 4" xfId="5892" xr:uid="{00000000-0005-0000-0000-000009220000}"/>
    <cellStyle name="Normal 2 2 2 2 6 4 2 4 2" xfId="14922" xr:uid="{00000000-0005-0000-0000-00000A220000}"/>
    <cellStyle name="Normal 2 2 2 2 6 4 2 4 2 2" xfId="34974" xr:uid="{00000000-0005-0000-0000-00000B220000}"/>
    <cellStyle name="Normal 2 2 2 2 6 4 2 4 3" xfId="25944" xr:uid="{00000000-0005-0000-0000-00000C220000}"/>
    <cellStyle name="Normal 2 2 2 2 6 4 2 5" xfId="10440" xr:uid="{00000000-0005-0000-0000-00000D220000}"/>
    <cellStyle name="Normal 2 2 2 2 6 4 2 5 2" xfId="30492" xr:uid="{00000000-0005-0000-0000-00000E220000}"/>
    <cellStyle name="Normal 2 2 2 2 6 4 2 6" xfId="21462" xr:uid="{00000000-0005-0000-0000-00000F220000}"/>
    <cellStyle name="Normal 2 2 2 2 6 4 3" xfId="2157" xr:uid="{00000000-0005-0000-0000-000010220000}"/>
    <cellStyle name="Normal 2 2 2 2 6 4 3 2" xfId="6639" xr:uid="{00000000-0005-0000-0000-000011220000}"/>
    <cellStyle name="Normal 2 2 2 2 6 4 3 2 2" xfId="15669" xr:uid="{00000000-0005-0000-0000-000012220000}"/>
    <cellStyle name="Normal 2 2 2 2 6 4 3 2 2 2" xfId="35721" xr:uid="{00000000-0005-0000-0000-000013220000}"/>
    <cellStyle name="Normal 2 2 2 2 6 4 3 2 3" xfId="26691" xr:uid="{00000000-0005-0000-0000-000014220000}"/>
    <cellStyle name="Normal 2 2 2 2 6 4 3 3" xfId="11187" xr:uid="{00000000-0005-0000-0000-000015220000}"/>
    <cellStyle name="Normal 2 2 2 2 6 4 3 3 2" xfId="31239" xr:uid="{00000000-0005-0000-0000-000016220000}"/>
    <cellStyle name="Normal 2 2 2 2 6 4 3 4" xfId="22209" xr:uid="{00000000-0005-0000-0000-000017220000}"/>
    <cellStyle name="Normal 2 2 2 2 6 4 4" xfId="3651" xr:uid="{00000000-0005-0000-0000-000018220000}"/>
    <cellStyle name="Normal 2 2 2 2 6 4 4 2" xfId="8133" xr:uid="{00000000-0005-0000-0000-000019220000}"/>
    <cellStyle name="Normal 2 2 2 2 6 4 4 2 2" xfId="17163" xr:uid="{00000000-0005-0000-0000-00001A220000}"/>
    <cellStyle name="Normal 2 2 2 2 6 4 4 2 2 2" xfId="37215" xr:uid="{00000000-0005-0000-0000-00001B220000}"/>
    <cellStyle name="Normal 2 2 2 2 6 4 4 2 3" xfId="28185" xr:uid="{00000000-0005-0000-0000-00001C220000}"/>
    <cellStyle name="Normal 2 2 2 2 6 4 4 3" xfId="12681" xr:uid="{00000000-0005-0000-0000-00001D220000}"/>
    <cellStyle name="Normal 2 2 2 2 6 4 4 3 2" xfId="32733" xr:uid="{00000000-0005-0000-0000-00001E220000}"/>
    <cellStyle name="Normal 2 2 2 2 6 4 4 4" xfId="23703" xr:uid="{00000000-0005-0000-0000-00001F220000}"/>
    <cellStyle name="Normal 2 2 2 2 6 4 5" xfId="5145" xr:uid="{00000000-0005-0000-0000-000020220000}"/>
    <cellStyle name="Normal 2 2 2 2 6 4 5 2" xfId="14175" xr:uid="{00000000-0005-0000-0000-000021220000}"/>
    <cellStyle name="Normal 2 2 2 2 6 4 5 2 2" xfId="34227" xr:uid="{00000000-0005-0000-0000-000022220000}"/>
    <cellStyle name="Normal 2 2 2 2 6 4 5 3" xfId="25197" xr:uid="{00000000-0005-0000-0000-000023220000}"/>
    <cellStyle name="Normal 2 2 2 2 6 4 6" xfId="9693" xr:uid="{00000000-0005-0000-0000-000024220000}"/>
    <cellStyle name="Normal 2 2 2 2 6 4 6 2" xfId="29745" xr:uid="{00000000-0005-0000-0000-000025220000}"/>
    <cellStyle name="Normal 2 2 2 2 6 4 7" xfId="20715" xr:uid="{00000000-0005-0000-0000-000026220000}"/>
    <cellStyle name="Normal 2 2 2 2 6 5" xfId="850" xr:uid="{00000000-0005-0000-0000-000027220000}"/>
    <cellStyle name="Normal 2 2 2 2 6 5 2" xfId="2344" xr:uid="{00000000-0005-0000-0000-000028220000}"/>
    <cellStyle name="Normal 2 2 2 2 6 5 2 2" xfId="6826" xr:uid="{00000000-0005-0000-0000-000029220000}"/>
    <cellStyle name="Normal 2 2 2 2 6 5 2 2 2" xfId="15856" xr:uid="{00000000-0005-0000-0000-00002A220000}"/>
    <cellStyle name="Normal 2 2 2 2 6 5 2 2 2 2" xfId="35908" xr:uid="{00000000-0005-0000-0000-00002B220000}"/>
    <cellStyle name="Normal 2 2 2 2 6 5 2 2 3" xfId="26878" xr:uid="{00000000-0005-0000-0000-00002C220000}"/>
    <cellStyle name="Normal 2 2 2 2 6 5 2 3" xfId="11374" xr:uid="{00000000-0005-0000-0000-00002D220000}"/>
    <cellStyle name="Normal 2 2 2 2 6 5 2 3 2" xfId="31426" xr:uid="{00000000-0005-0000-0000-00002E220000}"/>
    <cellStyle name="Normal 2 2 2 2 6 5 2 4" xfId="22396" xr:uid="{00000000-0005-0000-0000-00002F220000}"/>
    <cellStyle name="Normal 2 2 2 2 6 5 3" xfId="3838" xr:uid="{00000000-0005-0000-0000-000030220000}"/>
    <cellStyle name="Normal 2 2 2 2 6 5 3 2" xfId="8320" xr:uid="{00000000-0005-0000-0000-000031220000}"/>
    <cellStyle name="Normal 2 2 2 2 6 5 3 2 2" xfId="17350" xr:uid="{00000000-0005-0000-0000-000032220000}"/>
    <cellStyle name="Normal 2 2 2 2 6 5 3 2 2 2" xfId="37402" xr:uid="{00000000-0005-0000-0000-000033220000}"/>
    <cellStyle name="Normal 2 2 2 2 6 5 3 2 3" xfId="28372" xr:uid="{00000000-0005-0000-0000-000034220000}"/>
    <cellStyle name="Normal 2 2 2 2 6 5 3 3" xfId="12868" xr:uid="{00000000-0005-0000-0000-000035220000}"/>
    <cellStyle name="Normal 2 2 2 2 6 5 3 3 2" xfId="32920" xr:uid="{00000000-0005-0000-0000-000036220000}"/>
    <cellStyle name="Normal 2 2 2 2 6 5 3 4" xfId="23890" xr:uid="{00000000-0005-0000-0000-000037220000}"/>
    <cellStyle name="Normal 2 2 2 2 6 5 4" xfId="5332" xr:uid="{00000000-0005-0000-0000-000038220000}"/>
    <cellStyle name="Normal 2 2 2 2 6 5 4 2" xfId="14362" xr:uid="{00000000-0005-0000-0000-000039220000}"/>
    <cellStyle name="Normal 2 2 2 2 6 5 4 2 2" xfId="34414" xr:uid="{00000000-0005-0000-0000-00003A220000}"/>
    <cellStyle name="Normal 2 2 2 2 6 5 4 3" xfId="25384" xr:uid="{00000000-0005-0000-0000-00003B220000}"/>
    <cellStyle name="Normal 2 2 2 2 6 5 5" xfId="9880" xr:uid="{00000000-0005-0000-0000-00003C220000}"/>
    <cellStyle name="Normal 2 2 2 2 6 5 5 2" xfId="29932" xr:uid="{00000000-0005-0000-0000-00003D220000}"/>
    <cellStyle name="Normal 2 2 2 2 6 5 6" xfId="20902" xr:uid="{00000000-0005-0000-0000-00003E220000}"/>
    <cellStyle name="Normal 2 2 2 2 6 6" xfId="1599" xr:uid="{00000000-0005-0000-0000-00003F220000}"/>
    <cellStyle name="Normal 2 2 2 2 6 6 2" xfId="6081" xr:uid="{00000000-0005-0000-0000-000040220000}"/>
    <cellStyle name="Normal 2 2 2 2 6 6 2 2" xfId="15111" xr:uid="{00000000-0005-0000-0000-000041220000}"/>
    <cellStyle name="Normal 2 2 2 2 6 6 2 2 2" xfId="35163" xr:uid="{00000000-0005-0000-0000-000042220000}"/>
    <cellStyle name="Normal 2 2 2 2 6 6 2 3" xfId="26133" xr:uid="{00000000-0005-0000-0000-000043220000}"/>
    <cellStyle name="Normal 2 2 2 2 6 6 3" xfId="10629" xr:uid="{00000000-0005-0000-0000-000044220000}"/>
    <cellStyle name="Normal 2 2 2 2 6 6 3 2" xfId="30681" xr:uid="{00000000-0005-0000-0000-000045220000}"/>
    <cellStyle name="Normal 2 2 2 2 6 6 4" xfId="21651" xr:uid="{00000000-0005-0000-0000-000046220000}"/>
    <cellStyle name="Normal 2 2 2 2 6 7" xfId="3093" xr:uid="{00000000-0005-0000-0000-000047220000}"/>
    <cellStyle name="Normal 2 2 2 2 6 7 2" xfId="7575" xr:uid="{00000000-0005-0000-0000-000048220000}"/>
    <cellStyle name="Normal 2 2 2 2 6 7 2 2" xfId="16605" xr:uid="{00000000-0005-0000-0000-000049220000}"/>
    <cellStyle name="Normal 2 2 2 2 6 7 2 2 2" xfId="36657" xr:uid="{00000000-0005-0000-0000-00004A220000}"/>
    <cellStyle name="Normal 2 2 2 2 6 7 2 3" xfId="27627" xr:uid="{00000000-0005-0000-0000-00004B220000}"/>
    <cellStyle name="Normal 2 2 2 2 6 7 3" xfId="12123" xr:uid="{00000000-0005-0000-0000-00004C220000}"/>
    <cellStyle name="Normal 2 2 2 2 6 7 3 2" xfId="32175" xr:uid="{00000000-0005-0000-0000-00004D220000}"/>
    <cellStyle name="Normal 2 2 2 2 6 7 4" xfId="23145" xr:uid="{00000000-0005-0000-0000-00004E220000}"/>
    <cellStyle name="Normal 2 2 2 2 6 8" xfId="4587" xr:uid="{00000000-0005-0000-0000-00004F220000}"/>
    <cellStyle name="Normal 2 2 2 2 6 8 2" xfId="13617" xr:uid="{00000000-0005-0000-0000-000050220000}"/>
    <cellStyle name="Normal 2 2 2 2 6 8 2 2" xfId="33669" xr:uid="{00000000-0005-0000-0000-000051220000}"/>
    <cellStyle name="Normal 2 2 2 2 6 8 3" xfId="24639" xr:uid="{00000000-0005-0000-0000-000052220000}"/>
    <cellStyle name="Normal 2 2 2 2 6 9" xfId="9135" xr:uid="{00000000-0005-0000-0000-000053220000}"/>
    <cellStyle name="Normal 2 2 2 2 6 9 2" xfId="29187" xr:uid="{00000000-0005-0000-0000-000054220000}"/>
    <cellStyle name="Normal 2 2 2 2 7" xfId="144" xr:uid="{00000000-0005-0000-0000-000055220000}"/>
    <cellStyle name="Normal 2 2 2 2 7 10" xfId="20196" xr:uid="{00000000-0005-0000-0000-000056220000}"/>
    <cellStyle name="Normal 2 2 2 2 7 2" xfId="330" xr:uid="{00000000-0005-0000-0000-000057220000}"/>
    <cellStyle name="Normal 2 2 2 2 7 2 2" xfId="1073" xr:uid="{00000000-0005-0000-0000-000058220000}"/>
    <cellStyle name="Normal 2 2 2 2 7 2 2 2" xfId="2567" xr:uid="{00000000-0005-0000-0000-000059220000}"/>
    <cellStyle name="Normal 2 2 2 2 7 2 2 2 2" xfId="7049" xr:uid="{00000000-0005-0000-0000-00005A220000}"/>
    <cellStyle name="Normal 2 2 2 2 7 2 2 2 2 2" xfId="16079" xr:uid="{00000000-0005-0000-0000-00005B220000}"/>
    <cellStyle name="Normal 2 2 2 2 7 2 2 2 2 2 2" xfId="36131" xr:uid="{00000000-0005-0000-0000-00005C220000}"/>
    <cellStyle name="Normal 2 2 2 2 7 2 2 2 2 3" xfId="27101" xr:uid="{00000000-0005-0000-0000-00005D220000}"/>
    <cellStyle name="Normal 2 2 2 2 7 2 2 2 3" xfId="11597" xr:uid="{00000000-0005-0000-0000-00005E220000}"/>
    <cellStyle name="Normal 2 2 2 2 7 2 2 2 3 2" xfId="31649" xr:uid="{00000000-0005-0000-0000-00005F220000}"/>
    <cellStyle name="Normal 2 2 2 2 7 2 2 2 4" xfId="22619" xr:uid="{00000000-0005-0000-0000-000060220000}"/>
    <cellStyle name="Normal 2 2 2 2 7 2 2 3" xfId="4061" xr:uid="{00000000-0005-0000-0000-000061220000}"/>
    <cellStyle name="Normal 2 2 2 2 7 2 2 3 2" xfId="8543" xr:uid="{00000000-0005-0000-0000-000062220000}"/>
    <cellStyle name="Normal 2 2 2 2 7 2 2 3 2 2" xfId="17573" xr:uid="{00000000-0005-0000-0000-000063220000}"/>
    <cellStyle name="Normal 2 2 2 2 7 2 2 3 2 2 2" xfId="37625" xr:uid="{00000000-0005-0000-0000-000064220000}"/>
    <cellStyle name="Normal 2 2 2 2 7 2 2 3 2 3" xfId="28595" xr:uid="{00000000-0005-0000-0000-000065220000}"/>
    <cellStyle name="Normal 2 2 2 2 7 2 2 3 3" xfId="13091" xr:uid="{00000000-0005-0000-0000-000066220000}"/>
    <cellStyle name="Normal 2 2 2 2 7 2 2 3 3 2" xfId="33143" xr:uid="{00000000-0005-0000-0000-000067220000}"/>
    <cellStyle name="Normal 2 2 2 2 7 2 2 3 4" xfId="24113" xr:uid="{00000000-0005-0000-0000-000068220000}"/>
    <cellStyle name="Normal 2 2 2 2 7 2 2 4" xfId="5555" xr:uid="{00000000-0005-0000-0000-000069220000}"/>
    <cellStyle name="Normal 2 2 2 2 7 2 2 4 2" xfId="14585" xr:uid="{00000000-0005-0000-0000-00006A220000}"/>
    <cellStyle name="Normal 2 2 2 2 7 2 2 4 2 2" xfId="34637" xr:uid="{00000000-0005-0000-0000-00006B220000}"/>
    <cellStyle name="Normal 2 2 2 2 7 2 2 4 3" xfId="25607" xr:uid="{00000000-0005-0000-0000-00006C220000}"/>
    <cellStyle name="Normal 2 2 2 2 7 2 2 5" xfId="10103" xr:uid="{00000000-0005-0000-0000-00006D220000}"/>
    <cellStyle name="Normal 2 2 2 2 7 2 2 5 2" xfId="30155" xr:uid="{00000000-0005-0000-0000-00006E220000}"/>
    <cellStyle name="Normal 2 2 2 2 7 2 2 6" xfId="21125" xr:uid="{00000000-0005-0000-0000-00006F220000}"/>
    <cellStyle name="Normal 2 2 2 2 7 2 3" xfId="1824" xr:uid="{00000000-0005-0000-0000-000070220000}"/>
    <cellStyle name="Normal 2 2 2 2 7 2 3 2" xfId="6306" xr:uid="{00000000-0005-0000-0000-000071220000}"/>
    <cellStyle name="Normal 2 2 2 2 7 2 3 2 2" xfId="15336" xr:uid="{00000000-0005-0000-0000-000072220000}"/>
    <cellStyle name="Normal 2 2 2 2 7 2 3 2 2 2" xfId="35388" xr:uid="{00000000-0005-0000-0000-000073220000}"/>
    <cellStyle name="Normal 2 2 2 2 7 2 3 2 3" xfId="26358" xr:uid="{00000000-0005-0000-0000-000074220000}"/>
    <cellStyle name="Normal 2 2 2 2 7 2 3 3" xfId="10854" xr:uid="{00000000-0005-0000-0000-000075220000}"/>
    <cellStyle name="Normal 2 2 2 2 7 2 3 3 2" xfId="30906" xr:uid="{00000000-0005-0000-0000-000076220000}"/>
    <cellStyle name="Normal 2 2 2 2 7 2 3 4" xfId="21876" xr:uid="{00000000-0005-0000-0000-000077220000}"/>
    <cellStyle name="Normal 2 2 2 2 7 2 4" xfId="3318" xr:uid="{00000000-0005-0000-0000-000078220000}"/>
    <cellStyle name="Normal 2 2 2 2 7 2 4 2" xfId="7800" xr:uid="{00000000-0005-0000-0000-000079220000}"/>
    <cellStyle name="Normal 2 2 2 2 7 2 4 2 2" xfId="16830" xr:uid="{00000000-0005-0000-0000-00007A220000}"/>
    <cellStyle name="Normal 2 2 2 2 7 2 4 2 2 2" xfId="36882" xr:uid="{00000000-0005-0000-0000-00007B220000}"/>
    <cellStyle name="Normal 2 2 2 2 7 2 4 2 3" xfId="27852" xr:uid="{00000000-0005-0000-0000-00007C220000}"/>
    <cellStyle name="Normal 2 2 2 2 7 2 4 3" xfId="12348" xr:uid="{00000000-0005-0000-0000-00007D220000}"/>
    <cellStyle name="Normal 2 2 2 2 7 2 4 3 2" xfId="32400" xr:uid="{00000000-0005-0000-0000-00007E220000}"/>
    <cellStyle name="Normal 2 2 2 2 7 2 4 4" xfId="23370" xr:uid="{00000000-0005-0000-0000-00007F220000}"/>
    <cellStyle name="Normal 2 2 2 2 7 2 5" xfId="4812" xr:uid="{00000000-0005-0000-0000-000080220000}"/>
    <cellStyle name="Normal 2 2 2 2 7 2 5 2" xfId="13842" xr:uid="{00000000-0005-0000-0000-000081220000}"/>
    <cellStyle name="Normal 2 2 2 2 7 2 5 2 2" xfId="33894" xr:uid="{00000000-0005-0000-0000-000082220000}"/>
    <cellStyle name="Normal 2 2 2 2 7 2 5 3" xfId="24864" xr:uid="{00000000-0005-0000-0000-000083220000}"/>
    <cellStyle name="Normal 2 2 2 2 7 2 6" xfId="9360" xr:uid="{00000000-0005-0000-0000-000084220000}"/>
    <cellStyle name="Normal 2 2 2 2 7 2 6 2" xfId="29412" xr:uid="{00000000-0005-0000-0000-000085220000}"/>
    <cellStyle name="Normal 2 2 2 2 7 2 7" xfId="20382" xr:uid="{00000000-0005-0000-0000-000086220000}"/>
    <cellStyle name="Normal 2 2 2 2 7 3" xfId="516" xr:uid="{00000000-0005-0000-0000-000087220000}"/>
    <cellStyle name="Normal 2 2 2 2 7 3 2" xfId="1263" xr:uid="{00000000-0005-0000-0000-000088220000}"/>
    <cellStyle name="Normal 2 2 2 2 7 3 2 2" xfId="2757" xr:uid="{00000000-0005-0000-0000-000089220000}"/>
    <cellStyle name="Normal 2 2 2 2 7 3 2 2 2" xfId="7239" xr:uid="{00000000-0005-0000-0000-00008A220000}"/>
    <cellStyle name="Normal 2 2 2 2 7 3 2 2 2 2" xfId="16269" xr:uid="{00000000-0005-0000-0000-00008B220000}"/>
    <cellStyle name="Normal 2 2 2 2 7 3 2 2 2 2 2" xfId="36321" xr:uid="{00000000-0005-0000-0000-00008C220000}"/>
    <cellStyle name="Normal 2 2 2 2 7 3 2 2 2 3" xfId="27291" xr:uid="{00000000-0005-0000-0000-00008D220000}"/>
    <cellStyle name="Normal 2 2 2 2 7 3 2 2 3" xfId="11787" xr:uid="{00000000-0005-0000-0000-00008E220000}"/>
    <cellStyle name="Normal 2 2 2 2 7 3 2 2 3 2" xfId="31839" xr:uid="{00000000-0005-0000-0000-00008F220000}"/>
    <cellStyle name="Normal 2 2 2 2 7 3 2 2 4" xfId="22809" xr:uid="{00000000-0005-0000-0000-000090220000}"/>
    <cellStyle name="Normal 2 2 2 2 7 3 2 3" xfId="4251" xr:uid="{00000000-0005-0000-0000-000091220000}"/>
    <cellStyle name="Normal 2 2 2 2 7 3 2 3 2" xfId="8733" xr:uid="{00000000-0005-0000-0000-000092220000}"/>
    <cellStyle name="Normal 2 2 2 2 7 3 2 3 2 2" xfId="17763" xr:uid="{00000000-0005-0000-0000-000093220000}"/>
    <cellStyle name="Normal 2 2 2 2 7 3 2 3 2 2 2" xfId="37815" xr:uid="{00000000-0005-0000-0000-000094220000}"/>
    <cellStyle name="Normal 2 2 2 2 7 3 2 3 2 3" xfId="28785" xr:uid="{00000000-0005-0000-0000-000095220000}"/>
    <cellStyle name="Normal 2 2 2 2 7 3 2 3 3" xfId="13281" xr:uid="{00000000-0005-0000-0000-000096220000}"/>
    <cellStyle name="Normal 2 2 2 2 7 3 2 3 3 2" xfId="33333" xr:uid="{00000000-0005-0000-0000-000097220000}"/>
    <cellStyle name="Normal 2 2 2 2 7 3 2 3 4" xfId="24303" xr:uid="{00000000-0005-0000-0000-000098220000}"/>
    <cellStyle name="Normal 2 2 2 2 7 3 2 4" xfId="5745" xr:uid="{00000000-0005-0000-0000-000099220000}"/>
    <cellStyle name="Normal 2 2 2 2 7 3 2 4 2" xfId="14775" xr:uid="{00000000-0005-0000-0000-00009A220000}"/>
    <cellStyle name="Normal 2 2 2 2 7 3 2 4 2 2" xfId="34827" xr:uid="{00000000-0005-0000-0000-00009B220000}"/>
    <cellStyle name="Normal 2 2 2 2 7 3 2 4 3" xfId="25797" xr:uid="{00000000-0005-0000-0000-00009C220000}"/>
    <cellStyle name="Normal 2 2 2 2 7 3 2 5" xfId="10293" xr:uid="{00000000-0005-0000-0000-00009D220000}"/>
    <cellStyle name="Normal 2 2 2 2 7 3 2 5 2" xfId="30345" xr:uid="{00000000-0005-0000-0000-00009E220000}"/>
    <cellStyle name="Normal 2 2 2 2 7 3 2 6" xfId="21315" xr:uid="{00000000-0005-0000-0000-00009F220000}"/>
    <cellStyle name="Normal 2 2 2 2 7 3 3" xfId="2010" xr:uid="{00000000-0005-0000-0000-0000A0220000}"/>
    <cellStyle name="Normal 2 2 2 2 7 3 3 2" xfId="6492" xr:uid="{00000000-0005-0000-0000-0000A1220000}"/>
    <cellStyle name="Normal 2 2 2 2 7 3 3 2 2" xfId="15522" xr:uid="{00000000-0005-0000-0000-0000A2220000}"/>
    <cellStyle name="Normal 2 2 2 2 7 3 3 2 2 2" xfId="35574" xr:uid="{00000000-0005-0000-0000-0000A3220000}"/>
    <cellStyle name="Normal 2 2 2 2 7 3 3 2 3" xfId="26544" xr:uid="{00000000-0005-0000-0000-0000A4220000}"/>
    <cellStyle name="Normal 2 2 2 2 7 3 3 3" xfId="11040" xr:uid="{00000000-0005-0000-0000-0000A5220000}"/>
    <cellStyle name="Normal 2 2 2 2 7 3 3 3 2" xfId="31092" xr:uid="{00000000-0005-0000-0000-0000A6220000}"/>
    <cellStyle name="Normal 2 2 2 2 7 3 3 4" xfId="22062" xr:uid="{00000000-0005-0000-0000-0000A7220000}"/>
    <cellStyle name="Normal 2 2 2 2 7 3 4" xfId="3504" xr:uid="{00000000-0005-0000-0000-0000A8220000}"/>
    <cellStyle name="Normal 2 2 2 2 7 3 4 2" xfId="7986" xr:uid="{00000000-0005-0000-0000-0000A9220000}"/>
    <cellStyle name="Normal 2 2 2 2 7 3 4 2 2" xfId="17016" xr:uid="{00000000-0005-0000-0000-0000AA220000}"/>
    <cellStyle name="Normal 2 2 2 2 7 3 4 2 2 2" xfId="37068" xr:uid="{00000000-0005-0000-0000-0000AB220000}"/>
    <cellStyle name="Normal 2 2 2 2 7 3 4 2 3" xfId="28038" xr:uid="{00000000-0005-0000-0000-0000AC220000}"/>
    <cellStyle name="Normal 2 2 2 2 7 3 4 3" xfId="12534" xr:uid="{00000000-0005-0000-0000-0000AD220000}"/>
    <cellStyle name="Normal 2 2 2 2 7 3 4 3 2" xfId="32586" xr:uid="{00000000-0005-0000-0000-0000AE220000}"/>
    <cellStyle name="Normal 2 2 2 2 7 3 4 4" xfId="23556" xr:uid="{00000000-0005-0000-0000-0000AF220000}"/>
    <cellStyle name="Normal 2 2 2 2 7 3 5" xfId="4998" xr:uid="{00000000-0005-0000-0000-0000B0220000}"/>
    <cellStyle name="Normal 2 2 2 2 7 3 5 2" xfId="14028" xr:uid="{00000000-0005-0000-0000-0000B1220000}"/>
    <cellStyle name="Normal 2 2 2 2 7 3 5 2 2" xfId="34080" xr:uid="{00000000-0005-0000-0000-0000B2220000}"/>
    <cellStyle name="Normal 2 2 2 2 7 3 5 3" xfId="25050" xr:uid="{00000000-0005-0000-0000-0000B3220000}"/>
    <cellStyle name="Normal 2 2 2 2 7 3 6" xfId="9546" xr:uid="{00000000-0005-0000-0000-0000B4220000}"/>
    <cellStyle name="Normal 2 2 2 2 7 3 6 2" xfId="29598" xr:uid="{00000000-0005-0000-0000-0000B5220000}"/>
    <cellStyle name="Normal 2 2 2 2 7 3 7" xfId="20568" xr:uid="{00000000-0005-0000-0000-0000B6220000}"/>
    <cellStyle name="Normal 2 2 2 2 7 4" xfId="702" xr:uid="{00000000-0005-0000-0000-0000B7220000}"/>
    <cellStyle name="Normal 2 2 2 2 7 4 2" xfId="1449" xr:uid="{00000000-0005-0000-0000-0000B8220000}"/>
    <cellStyle name="Normal 2 2 2 2 7 4 2 2" xfId="2943" xr:uid="{00000000-0005-0000-0000-0000B9220000}"/>
    <cellStyle name="Normal 2 2 2 2 7 4 2 2 2" xfId="7425" xr:uid="{00000000-0005-0000-0000-0000BA220000}"/>
    <cellStyle name="Normal 2 2 2 2 7 4 2 2 2 2" xfId="16455" xr:uid="{00000000-0005-0000-0000-0000BB220000}"/>
    <cellStyle name="Normal 2 2 2 2 7 4 2 2 2 2 2" xfId="36507" xr:uid="{00000000-0005-0000-0000-0000BC220000}"/>
    <cellStyle name="Normal 2 2 2 2 7 4 2 2 2 3" xfId="27477" xr:uid="{00000000-0005-0000-0000-0000BD220000}"/>
    <cellStyle name="Normal 2 2 2 2 7 4 2 2 3" xfId="11973" xr:uid="{00000000-0005-0000-0000-0000BE220000}"/>
    <cellStyle name="Normal 2 2 2 2 7 4 2 2 3 2" xfId="32025" xr:uid="{00000000-0005-0000-0000-0000BF220000}"/>
    <cellStyle name="Normal 2 2 2 2 7 4 2 2 4" xfId="22995" xr:uid="{00000000-0005-0000-0000-0000C0220000}"/>
    <cellStyle name="Normal 2 2 2 2 7 4 2 3" xfId="4437" xr:uid="{00000000-0005-0000-0000-0000C1220000}"/>
    <cellStyle name="Normal 2 2 2 2 7 4 2 3 2" xfId="8919" xr:uid="{00000000-0005-0000-0000-0000C2220000}"/>
    <cellStyle name="Normal 2 2 2 2 7 4 2 3 2 2" xfId="17949" xr:uid="{00000000-0005-0000-0000-0000C3220000}"/>
    <cellStyle name="Normal 2 2 2 2 7 4 2 3 2 2 2" xfId="38001" xr:uid="{00000000-0005-0000-0000-0000C4220000}"/>
    <cellStyle name="Normal 2 2 2 2 7 4 2 3 2 3" xfId="28971" xr:uid="{00000000-0005-0000-0000-0000C5220000}"/>
    <cellStyle name="Normal 2 2 2 2 7 4 2 3 3" xfId="13467" xr:uid="{00000000-0005-0000-0000-0000C6220000}"/>
    <cellStyle name="Normal 2 2 2 2 7 4 2 3 3 2" xfId="33519" xr:uid="{00000000-0005-0000-0000-0000C7220000}"/>
    <cellStyle name="Normal 2 2 2 2 7 4 2 3 4" xfId="24489" xr:uid="{00000000-0005-0000-0000-0000C8220000}"/>
    <cellStyle name="Normal 2 2 2 2 7 4 2 4" xfId="5931" xr:uid="{00000000-0005-0000-0000-0000C9220000}"/>
    <cellStyle name="Normal 2 2 2 2 7 4 2 4 2" xfId="14961" xr:uid="{00000000-0005-0000-0000-0000CA220000}"/>
    <cellStyle name="Normal 2 2 2 2 7 4 2 4 2 2" xfId="35013" xr:uid="{00000000-0005-0000-0000-0000CB220000}"/>
    <cellStyle name="Normal 2 2 2 2 7 4 2 4 3" xfId="25983" xr:uid="{00000000-0005-0000-0000-0000CC220000}"/>
    <cellStyle name="Normal 2 2 2 2 7 4 2 5" xfId="10479" xr:uid="{00000000-0005-0000-0000-0000CD220000}"/>
    <cellStyle name="Normal 2 2 2 2 7 4 2 5 2" xfId="30531" xr:uid="{00000000-0005-0000-0000-0000CE220000}"/>
    <cellStyle name="Normal 2 2 2 2 7 4 2 6" xfId="21501" xr:uid="{00000000-0005-0000-0000-0000CF220000}"/>
    <cellStyle name="Normal 2 2 2 2 7 4 3" xfId="2196" xr:uid="{00000000-0005-0000-0000-0000D0220000}"/>
    <cellStyle name="Normal 2 2 2 2 7 4 3 2" xfId="6678" xr:uid="{00000000-0005-0000-0000-0000D1220000}"/>
    <cellStyle name="Normal 2 2 2 2 7 4 3 2 2" xfId="15708" xr:uid="{00000000-0005-0000-0000-0000D2220000}"/>
    <cellStyle name="Normal 2 2 2 2 7 4 3 2 2 2" xfId="35760" xr:uid="{00000000-0005-0000-0000-0000D3220000}"/>
    <cellStyle name="Normal 2 2 2 2 7 4 3 2 3" xfId="26730" xr:uid="{00000000-0005-0000-0000-0000D4220000}"/>
    <cellStyle name="Normal 2 2 2 2 7 4 3 3" xfId="11226" xr:uid="{00000000-0005-0000-0000-0000D5220000}"/>
    <cellStyle name="Normal 2 2 2 2 7 4 3 3 2" xfId="31278" xr:uid="{00000000-0005-0000-0000-0000D6220000}"/>
    <cellStyle name="Normal 2 2 2 2 7 4 3 4" xfId="22248" xr:uid="{00000000-0005-0000-0000-0000D7220000}"/>
    <cellStyle name="Normal 2 2 2 2 7 4 4" xfId="3690" xr:uid="{00000000-0005-0000-0000-0000D8220000}"/>
    <cellStyle name="Normal 2 2 2 2 7 4 4 2" xfId="8172" xr:uid="{00000000-0005-0000-0000-0000D9220000}"/>
    <cellStyle name="Normal 2 2 2 2 7 4 4 2 2" xfId="17202" xr:uid="{00000000-0005-0000-0000-0000DA220000}"/>
    <cellStyle name="Normal 2 2 2 2 7 4 4 2 2 2" xfId="37254" xr:uid="{00000000-0005-0000-0000-0000DB220000}"/>
    <cellStyle name="Normal 2 2 2 2 7 4 4 2 3" xfId="28224" xr:uid="{00000000-0005-0000-0000-0000DC220000}"/>
    <cellStyle name="Normal 2 2 2 2 7 4 4 3" xfId="12720" xr:uid="{00000000-0005-0000-0000-0000DD220000}"/>
    <cellStyle name="Normal 2 2 2 2 7 4 4 3 2" xfId="32772" xr:uid="{00000000-0005-0000-0000-0000DE220000}"/>
    <cellStyle name="Normal 2 2 2 2 7 4 4 4" xfId="23742" xr:uid="{00000000-0005-0000-0000-0000DF220000}"/>
    <cellStyle name="Normal 2 2 2 2 7 4 5" xfId="5184" xr:uid="{00000000-0005-0000-0000-0000E0220000}"/>
    <cellStyle name="Normal 2 2 2 2 7 4 5 2" xfId="14214" xr:uid="{00000000-0005-0000-0000-0000E1220000}"/>
    <cellStyle name="Normal 2 2 2 2 7 4 5 2 2" xfId="34266" xr:uid="{00000000-0005-0000-0000-0000E2220000}"/>
    <cellStyle name="Normal 2 2 2 2 7 4 5 3" xfId="25236" xr:uid="{00000000-0005-0000-0000-0000E3220000}"/>
    <cellStyle name="Normal 2 2 2 2 7 4 6" xfId="9732" xr:uid="{00000000-0005-0000-0000-0000E4220000}"/>
    <cellStyle name="Normal 2 2 2 2 7 4 6 2" xfId="29784" xr:uid="{00000000-0005-0000-0000-0000E5220000}"/>
    <cellStyle name="Normal 2 2 2 2 7 4 7" xfId="20754" xr:uid="{00000000-0005-0000-0000-0000E6220000}"/>
    <cellStyle name="Normal 2 2 2 2 7 5" xfId="889" xr:uid="{00000000-0005-0000-0000-0000E7220000}"/>
    <cellStyle name="Normal 2 2 2 2 7 5 2" xfId="2383" xr:uid="{00000000-0005-0000-0000-0000E8220000}"/>
    <cellStyle name="Normal 2 2 2 2 7 5 2 2" xfId="6865" xr:uid="{00000000-0005-0000-0000-0000E9220000}"/>
    <cellStyle name="Normal 2 2 2 2 7 5 2 2 2" xfId="15895" xr:uid="{00000000-0005-0000-0000-0000EA220000}"/>
    <cellStyle name="Normal 2 2 2 2 7 5 2 2 2 2" xfId="35947" xr:uid="{00000000-0005-0000-0000-0000EB220000}"/>
    <cellStyle name="Normal 2 2 2 2 7 5 2 2 3" xfId="26917" xr:uid="{00000000-0005-0000-0000-0000EC220000}"/>
    <cellStyle name="Normal 2 2 2 2 7 5 2 3" xfId="11413" xr:uid="{00000000-0005-0000-0000-0000ED220000}"/>
    <cellStyle name="Normal 2 2 2 2 7 5 2 3 2" xfId="31465" xr:uid="{00000000-0005-0000-0000-0000EE220000}"/>
    <cellStyle name="Normal 2 2 2 2 7 5 2 4" xfId="22435" xr:uid="{00000000-0005-0000-0000-0000EF220000}"/>
    <cellStyle name="Normal 2 2 2 2 7 5 3" xfId="3877" xr:uid="{00000000-0005-0000-0000-0000F0220000}"/>
    <cellStyle name="Normal 2 2 2 2 7 5 3 2" xfId="8359" xr:uid="{00000000-0005-0000-0000-0000F1220000}"/>
    <cellStyle name="Normal 2 2 2 2 7 5 3 2 2" xfId="17389" xr:uid="{00000000-0005-0000-0000-0000F2220000}"/>
    <cellStyle name="Normal 2 2 2 2 7 5 3 2 2 2" xfId="37441" xr:uid="{00000000-0005-0000-0000-0000F3220000}"/>
    <cellStyle name="Normal 2 2 2 2 7 5 3 2 3" xfId="28411" xr:uid="{00000000-0005-0000-0000-0000F4220000}"/>
    <cellStyle name="Normal 2 2 2 2 7 5 3 3" xfId="12907" xr:uid="{00000000-0005-0000-0000-0000F5220000}"/>
    <cellStyle name="Normal 2 2 2 2 7 5 3 3 2" xfId="32959" xr:uid="{00000000-0005-0000-0000-0000F6220000}"/>
    <cellStyle name="Normal 2 2 2 2 7 5 3 4" xfId="23929" xr:uid="{00000000-0005-0000-0000-0000F7220000}"/>
    <cellStyle name="Normal 2 2 2 2 7 5 4" xfId="5371" xr:uid="{00000000-0005-0000-0000-0000F8220000}"/>
    <cellStyle name="Normal 2 2 2 2 7 5 4 2" xfId="14401" xr:uid="{00000000-0005-0000-0000-0000F9220000}"/>
    <cellStyle name="Normal 2 2 2 2 7 5 4 2 2" xfId="34453" xr:uid="{00000000-0005-0000-0000-0000FA220000}"/>
    <cellStyle name="Normal 2 2 2 2 7 5 4 3" xfId="25423" xr:uid="{00000000-0005-0000-0000-0000FB220000}"/>
    <cellStyle name="Normal 2 2 2 2 7 5 5" xfId="9919" xr:uid="{00000000-0005-0000-0000-0000FC220000}"/>
    <cellStyle name="Normal 2 2 2 2 7 5 5 2" xfId="29971" xr:uid="{00000000-0005-0000-0000-0000FD220000}"/>
    <cellStyle name="Normal 2 2 2 2 7 5 6" xfId="20941" xr:uid="{00000000-0005-0000-0000-0000FE220000}"/>
    <cellStyle name="Normal 2 2 2 2 7 6" xfId="1638" xr:uid="{00000000-0005-0000-0000-0000FF220000}"/>
    <cellStyle name="Normal 2 2 2 2 7 6 2" xfId="6120" xr:uid="{00000000-0005-0000-0000-000000230000}"/>
    <cellStyle name="Normal 2 2 2 2 7 6 2 2" xfId="15150" xr:uid="{00000000-0005-0000-0000-000001230000}"/>
    <cellStyle name="Normal 2 2 2 2 7 6 2 2 2" xfId="35202" xr:uid="{00000000-0005-0000-0000-000002230000}"/>
    <cellStyle name="Normal 2 2 2 2 7 6 2 3" xfId="26172" xr:uid="{00000000-0005-0000-0000-000003230000}"/>
    <cellStyle name="Normal 2 2 2 2 7 6 3" xfId="10668" xr:uid="{00000000-0005-0000-0000-000004230000}"/>
    <cellStyle name="Normal 2 2 2 2 7 6 3 2" xfId="30720" xr:uid="{00000000-0005-0000-0000-000005230000}"/>
    <cellStyle name="Normal 2 2 2 2 7 6 4" xfId="21690" xr:uid="{00000000-0005-0000-0000-000006230000}"/>
    <cellStyle name="Normal 2 2 2 2 7 7" xfId="3132" xr:uid="{00000000-0005-0000-0000-000007230000}"/>
    <cellStyle name="Normal 2 2 2 2 7 7 2" xfId="7614" xr:uid="{00000000-0005-0000-0000-000008230000}"/>
    <cellStyle name="Normal 2 2 2 2 7 7 2 2" xfId="16644" xr:uid="{00000000-0005-0000-0000-000009230000}"/>
    <cellStyle name="Normal 2 2 2 2 7 7 2 2 2" xfId="36696" xr:uid="{00000000-0005-0000-0000-00000A230000}"/>
    <cellStyle name="Normal 2 2 2 2 7 7 2 3" xfId="27666" xr:uid="{00000000-0005-0000-0000-00000B230000}"/>
    <cellStyle name="Normal 2 2 2 2 7 7 3" xfId="12162" xr:uid="{00000000-0005-0000-0000-00000C230000}"/>
    <cellStyle name="Normal 2 2 2 2 7 7 3 2" xfId="32214" xr:uid="{00000000-0005-0000-0000-00000D230000}"/>
    <cellStyle name="Normal 2 2 2 2 7 7 4" xfId="23184" xr:uid="{00000000-0005-0000-0000-00000E230000}"/>
    <cellStyle name="Normal 2 2 2 2 7 8" xfId="4626" xr:uid="{00000000-0005-0000-0000-00000F230000}"/>
    <cellStyle name="Normal 2 2 2 2 7 8 2" xfId="13656" xr:uid="{00000000-0005-0000-0000-000010230000}"/>
    <cellStyle name="Normal 2 2 2 2 7 8 2 2" xfId="33708" xr:uid="{00000000-0005-0000-0000-000011230000}"/>
    <cellStyle name="Normal 2 2 2 2 7 8 3" xfId="24678" xr:uid="{00000000-0005-0000-0000-000012230000}"/>
    <cellStyle name="Normal 2 2 2 2 7 9" xfId="9174" xr:uid="{00000000-0005-0000-0000-000013230000}"/>
    <cellStyle name="Normal 2 2 2 2 7 9 2" xfId="29226" xr:uid="{00000000-0005-0000-0000-000014230000}"/>
    <cellStyle name="Normal 2 2 2 2 8" xfId="167" xr:uid="{00000000-0005-0000-0000-000015230000}"/>
    <cellStyle name="Normal 2 2 2 2 8 10" xfId="20219" xr:uid="{00000000-0005-0000-0000-000016230000}"/>
    <cellStyle name="Normal 2 2 2 2 8 2" xfId="353" xr:uid="{00000000-0005-0000-0000-000017230000}"/>
    <cellStyle name="Normal 2 2 2 2 8 2 2" xfId="1096" xr:uid="{00000000-0005-0000-0000-000018230000}"/>
    <cellStyle name="Normal 2 2 2 2 8 2 2 2" xfId="2590" xr:uid="{00000000-0005-0000-0000-000019230000}"/>
    <cellStyle name="Normal 2 2 2 2 8 2 2 2 2" xfId="7072" xr:uid="{00000000-0005-0000-0000-00001A230000}"/>
    <cellStyle name="Normal 2 2 2 2 8 2 2 2 2 2" xfId="16102" xr:uid="{00000000-0005-0000-0000-00001B230000}"/>
    <cellStyle name="Normal 2 2 2 2 8 2 2 2 2 2 2" xfId="36154" xr:uid="{00000000-0005-0000-0000-00001C230000}"/>
    <cellStyle name="Normal 2 2 2 2 8 2 2 2 2 3" xfId="27124" xr:uid="{00000000-0005-0000-0000-00001D230000}"/>
    <cellStyle name="Normal 2 2 2 2 8 2 2 2 3" xfId="11620" xr:uid="{00000000-0005-0000-0000-00001E230000}"/>
    <cellStyle name="Normal 2 2 2 2 8 2 2 2 3 2" xfId="31672" xr:uid="{00000000-0005-0000-0000-00001F230000}"/>
    <cellStyle name="Normal 2 2 2 2 8 2 2 2 4" xfId="22642" xr:uid="{00000000-0005-0000-0000-000020230000}"/>
    <cellStyle name="Normal 2 2 2 2 8 2 2 3" xfId="4084" xr:uid="{00000000-0005-0000-0000-000021230000}"/>
    <cellStyle name="Normal 2 2 2 2 8 2 2 3 2" xfId="8566" xr:uid="{00000000-0005-0000-0000-000022230000}"/>
    <cellStyle name="Normal 2 2 2 2 8 2 2 3 2 2" xfId="17596" xr:uid="{00000000-0005-0000-0000-000023230000}"/>
    <cellStyle name="Normal 2 2 2 2 8 2 2 3 2 2 2" xfId="37648" xr:uid="{00000000-0005-0000-0000-000024230000}"/>
    <cellStyle name="Normal 2 2 2 2 8 2 2 3 2 3" xfId="28618" xr:uid="{00000000-0005-0000-0000-000025230000}"/>
    <cellStyle name="Normal 2 2 2 2 8 2 2 3 3" xfId="13114" xr:uid="{00000000-0005-0000-0000-000026230000}"/>
    <cellStyle name="Normal 2 2 2 2 8 2 2 3 3 2" xfId="33166" xr:uid="{00000000-0005-0000-0000-000027230000}"/>
    <cellStyle name="Normal 2 2 2 2 8 2 2 3 4" xfId="24136" xr:uid="{00000000-0005-0000-0000-000028230000}"/>
    <cellStyle name="Normal 2 2 2 2 8 2 2 4" xfId="5578" xr:uid="{00000000-0005-0000-0000-000029230000}"/>
    <cellStyle name="Normal 2 2 2 2 8 2 2 4 2" xfId="14608" xr:uid="{00000000-0005-0000-0000-00002A230000}"/>
    <cellStyle name="Normal 2 2 2 2 8 2 2 4 2 2" xfId="34660" xr:uid="{00000000-0005-0000-0000-00002B230000}"/>
    <cellStyle name="Normal 2 2 2 2 8 2 2 4 3" xfId="25630" xr:uid="{00000000-0005-0000-0000-00002C230000}"/>
    <cellStyle name="Normal 2 2 2 2 8 2 2 5" xfId="10126" xr:uid="{00000000-0005-0000-0000-00002D230000}"/>
    <cellStyle name="Normal 2 2 2 2 8 2 2 5 2" xfId="30178" xr:uid="{00000000-0005-0000-0000-00002E230000}"/>
    <cellStyle name="Normal 2 2 2 2 8 2 2 6" xfId="21148" xr:uid="{00000000-0005-0000-0000-00002F230000}"/>
    <cellStyle name="Normal 2 2 2 2 8 2 3" xfId="1847" xr:uid="{00000000-0005-0000-0000-000030230000}"/>
    <cellStyle name="Normal 2 2 2 2 8 2 3 2" xfId="6329" xr:uid="{00000000-0005-0000-0000-000031230000}"/>
    <cellStyle name="Normal 2 2 2 2 8 2 3 2 2" xfId="15359" xr:uid="{00000000-0005-0000-0000-000032230000}"/>
    <cellStyle name="Normal 2 2 2 2 8 2 3 2 2 2" xfId="35411" xr:uid="{00000000-0005-0000-0000-000033230000}"/>
    <cellStyle name="Normal 2 2 2 2 8 2 3 2 3" xfId="26381" xr:uid="{00000000-0005-0000-0000-000034230000}"/>
    <cellStyle name="Normal 2 2 2 2 8 2 3 3" xfId="10877" xr:uid="{00000000-0005-0000-0000-000035230000}"/>
    <cellStyle name="Normal 2 2 2 2 8 2 3 3 2" xfId="30929" xr:uid="{00000000-0005-0000-0000-000036230000}"/>
    <cellStyle name="Normal 2 2 2 2 8 2 3 4" xfId="21899" xr:uid="{00000000-0005-0000-0000-000037230000}"/>
    <cellStyle name="Normal 2 2 2 2 8 2 4" xfId="3341" xr:uid="{00000000-0005-0000-0000-000038230000}"/>
    <cellStyle name="Normal 2 2 2 2 8 2 4 2" xfId="7823" xr:uid="{00000000-0005-0000-0000-000039230000}"/>
    <cellStyle name="Normal 2 2 2 2 8 2 4 2 2" xfId="16853" xr:uid="{00000000-0005-0000-0000-00003A230000}"/>
    <cellStyle name="Normal 2 2 2 2 8 2 4 2 2 2" xfId="36905" xr:uid="{00000000-0005-0000-0000-00003B230000}"/>
    <cellStyle name="Normal 2 2 2 2 8 2 4 2 3" xfId="27875" xr:uid="{00000000-0005-0000-0000-00003C230000}"/>
    <cellStyle name="Normal 2 2 2 2 8 2 4 3" xfId="12371" xr:uid="{00000000-0005-0000-0000-00003D230000}"/>
    <cellStyle name="Normal 2 2 2 2 8 2 4 3 2" xfId="32423" xr:uid="{00000000-0005-0000-0000-00003E230000}"/>
    <cellStyle name="Normal 2 2 2 2 8 2 4 4" xfId="23393" xr:uid="{00000000-0005-0000-0000-00003F230000}"/>
    <cellStyle name="Normal 2 2 2 2 8 2 5" xfId="4835" xr:uid="{00000000-0005-0000-0000-000040230000}"/>
    <cellStyle name="Normal 2 2 2 2 8 2 5 2" xfId="13865" xr:uid="{00000000-0005-0000-0000-000041230000}"/>
    <cellStyle name="Normal 2 2 2 2 8 2 5 2 2" xfId="33917" xr:uid="{00000000-0005-0000-0000-000042230000}"/>
    <cellStyle name="Normal 2 2 2 2 8 2 5 3" xfId="24887" xr:uid="{00000000-0005-0000-0000-000043230000}"/>
    <cellStyle name="Normal 2 2 2 2 8 2 6" xfId="9383" xr:uid="{00000000-0005-0000-0000-000044230000}"/>
    <cellStyle name="Normal 2 2 2 2 8 2 6 2" xfId="29435" xr:uid="{00000000-0005-0000-0000-000045230000}"/>
    <cellStyle name="Normal 2 2 2 2 8 2 7" xfId="20405" xr:uid="{00000000-0005-0000-0000-000046230000}"/>
    <cellStyle name="Normal 2 2 2 2 8 3" xfId="539" xr:uid="{00000000-0005-0000-0000-000047230000}"/>
    <cellStyle name="Normal 2 2 2 2 8 3 2" xfId="1286" xr:uid="{00000000-0005-0000-0000-000048230000}"/>
    <cellStyle name="Normal 2 2 2 2 8 3 2 2" xfId="2780" xr:uid="{00000000-0005-0000-0000-000049230000}"/>
    <cellStyle name="Normal 2 2 2 2 8 3 2 2 2" xfId="7262" xr:uid="{00000000-0005-0000-0000-00004A230000}"/>
    <cellStyle name="Normal 2 2 2 2 8 3 2 2 2 2" xfId="16292" xr:uid="{00000000-0005-0000-0000-00004B230000}"/>
    <cellStyle name="Normal 2 2 2 2 8 3 2 2 2 2 2" xfId="36344" xr:uid="{00000000-0005-0000-0000-00004C230000}"/>
    <cellStyle name="Normal 2 2 2 2 8 3 2 2 2 3" xfId="27314" xr:uid="{00000000-0005-0000-0000-00004D230000}"/>
    <cellStyle name="Normal 2 2 2 2 8 3 2 2 3" xfId="11810" xr:uid="{00000000-0005-0000-0000-00004E230000}"/>
    <cellStyle name="Normal 2 2 2 2 8 3 2 2 3 2" xfId="31862" xr:uid="{00000000-0005-0000-0000-00004F230000}"/>
    <cellStyle name="Normal 2 2 2 2 8 3 2 2 4" xfId="22832" xr:uid="{00000000-0005-0000-0000-000050230000}"/>
    <cellStyle name="Normal 2 2 2 2 8 3 2 3" xfId="4274" xr:uid="{00000000-0005-0000-0000-000051230000}"/>
    <cellStyle name="Normal 2 2 2 2 8 3 2 3 2" xfId="8756" xr:uid="{00000000-0005-0000-0000-000052230000}"/>
    <cellStyle name="Normal 2 2 2 2 8 3 2 3 2 2" xfId="17786" xr:uid="{00000000-0005-0000-0000-000053230000}"/>
    <cellStyle name="Normal 2 2 2 2 8 3 2 3 2 2 2" xfId="37838" xr:uid="{00000000-0005-0000-0000-000054230000}"/>
    <cellStyle name="Normal 2 2 2 2 8 3 2 3 2 3" xfId="28808" xr:uid="{00000000-0005-0000-0000-000055230000}"/>
    <cellStyle name="Normal 2 2 2 2 8 3 2 3 3" xfId="13304" xr:uid="{00000000-0005-0000-0000-000056230000}"/>
    <cellStyle name="Normal 2 2 2 2 8 3 2 3 3 2" xfId="33356" xr:uid="{00000000-0005-0000-0000-000057230000}"/>
    <cellStyle name="Normal 2 2 2 2 8 3 2 3 4" xfId="24326" xr:uid="{00000000-0005-0000-0000-000058230000}"/>
    <cellStyle name="Normal 2 2 2 2 8 3 2 4" xfId="5768" xr:uid="{00000000-0005-0000-0000-000059230000}"/>
    <cellStyle name="Normal 2 2 2 2 8 3 2 4 2" xfId="14798" xr:uid="{00000000-0005-0000-0000-00005A230000}"/>
    <cellStyle name="Normal 2 2 2 2 8 3 2 4 2 2" xfId="34850" xr:uid="{00000000-0005-0000-0000-00005B230000}"/>
    <cellStyle name="Normal 2 2 2 2 8 3 2 4 3" xfId="25820" xr:uid="{00000000-0005-0000-0000-00005C230000}"/>
    <cellStyle name="Normal 2 2 2 2 8 3 2 5" xfId="10316" xr:uid="{00000000-0005-0000-0000-00005D230000}"/>
    <cellStyle name="Normal 2 2 2 2 8 3 2 5 2" xfId="30368" xr:uid="{00000000-0005-0000-0000-00005E230000}"/>
    <cellStyle name="Normal 2 2 2 2 8 3 2 6" xfId="21338" xr:uid="{00000000-0005-0000-0000-00005F230000}"/>
    <cellStyle name="Normal 2 2 2 2 8 3 3" xfId="2033" xr:uid="{00000000-0005-0000-0000-000060230000}"/>
    <cellStyle name="Normal 2 2 2 2 8 3 3 2" xfId="6515" xr:uid="{00000000-0005-0000-0000-000061230000}"/>
    <cellStyle name="Normal 2 2 2 2 8 3 3 2 2" xfId="15545" xr:uid="{00000000-0005-0000-0000-000062230000}"/>
    <cellStyle name="Normal 2 2 2 2 8 3 3 2 2 2" xfId="35597" xr:uid="{00000000-0005-0000-0000-000063230000}"/>
    <cellStyle name="Normal 2 2 2 2 8 3 3 2 3" xfId="26567" xr:uid="{00000000-0005-0000-0000-000064230000}"/>
    <cellStyle name="Normal 2 2 2 2 8 3 3 3" xfId="11063" xr:uid="{00000000-0005-0000-0000-000065230000}"/>
    <cellStyle name="Normal 2 2 2 2 8 3 3 3 2" xfId="31115" xr:uid="{00000000-0005-0000-0000-000066230000}"/>
    <cellStyle name="Normal 2 2 2 2 8 3 3 4" xfId="22085" xr:uid="{00000000-0005-0000-0000-000067230000}"/>
    <cellStyle name="Normal 2 2 2 2 8 3 4" xfId="3527" xr:uid="{00000000-0005-0000-0000-000068230000}"/>
    <cellStyle name="Normal 2 2 2 2 8 3 4 2" xfId="8009" xr:uid="{00000000-0005-0000-0000-000069230000}"/>
    <cellStyle name="Normal 2 2 2 2 8 3 4 2 2" xfId="17039" xr:uid="{00000000-0005-0000-0000-00006A230000}"/>
    <cellStyle name="Normal 2 2 2 2 8 3 4 2 2 2" xfId="37091" xr:uid="{00000000-0005-0000-0000-00006B230000}"/>
    <cellStyle name="Normal 2 2 2 2 8 3 4 2 3" xfId="28061" xr:uid="{00000000-0005-0000-0000-00006C230000}"/>
    <cellStyle name="Normal 2 2 2 2 8 3 4 3" xfId="12557" xr:uid="{00000000-0005-0000-0000-00006D230000}"/>
    <cellStyle name="Normal 2 2 2 2 8 3 4 3 2" xfId="32609" xr:uid="{00000000-0005-0000-0000-00006E230000}"/>
    <cellStyle name="Normal 2 2 2 2 8 3 4 4" xfId="23579" xr:uid="{00000000-0005-0000-0000-00006F230000}"/>
    <cellStyle name="Normal 2 2 2 2 8 3 5" xfId="5021" xr:uid="{00000000-0005-0000-0000-000070230000}"/>
    <cellStyle name="Normal 2 2 2 2 8 3 5 2" xfId="14051" xr:uid="{00000000-0005-0000-0000-000071230000}"/>
    <cellStyle name="Normal 2 2 2 2 8 3 5 2 2" xfId="34103" xr:uid="{00000000-0005-0000-0000-000072230000}"/>
    <cellStyle name="Normal 2 2 2 2 8 3 5 3" xfId="25073" xr:uid="{00000000-0005-0000-0000-000073230000}"/>
    <cellStyle name="Normal 2 2 2 2 8 3 6" xfId="9569" xr:uid="{00000000-0005-0000-0000-000074230000}"/>
    <cellStyle name="Normal 2 2 2 2 8 3 6 2" xfId="29621" xr:uid="{00000000-0005-0000-0000-000075230000}"/>
    <cellStyle name="Normal 2 2 2 2 8 3 7" xfId="20591" xr:uid="{00000000-0005-0000-0000-000076230000}"/>
    <cellStyle name="Normal 2 2 2 2 8 4" xfId="725" xr:uid="{00000000-0005-0000-0000-000077230000}"/>
    <cellStyle name="Normal 2 2 2 2 8 4 2" xfId="1472" xr:uid="{00000000-0005-0000-0000-000078230000}"/>
    <cellStyle name="Normal 2 2 2 2 8 4 2 2" xfId="2966" xr:uid="{00000000-0005-0000-0000-000079230000}"/>
    <cellStyle name="Normal 2 2 2 2 8 4 2 2 2" xfId="7448" xr:uid="{00000000-0005-0000-0000-00007A230000}"/>
    <cellStyle name="Normal 2 2 2 2 8 4 2 2 2 2" xfId="16478" xr:uid="{00000000-0005-0000-0000-00007B230000}"/>
    <cellStyle name="Normal 2 2 2 2 8 4 2 2 2 2 2" xfId="36530" xr:uid="{00000000-0005-0000-0000-00007C230000}"/>
    <cellStyle name="Normal 2 2 2 2 8 4 2 2 2 3" xfId="27500" xr:uid="{00000000-0005-0000-0000-00007D230000}"/>
    <cellStyle name="Normal 2 2 2 2 8 4 2 2 3" xfId="11996" xr:uid="{00000000-0005-0000-0000-00007E230000}"/>
    <cellStyle name="Normal 2 2 2 2 8 4 2 2 3 2" xfId="32048" xr:uid="{00000000-0005-0000-0000-00007F230000}"/>
    <cellStyle name="Normal 2 2 2 2 8 4 2 2 4" xfId="23018" xr:uid="{00000000-0005-0000-0000-000080230000}"/>
    <cellStyle name="Normal 2 2 2 2 8 4 2 3" xfId="4460" xr:uid="{00000000-0005-0000-0000-000081230000}"/>
    <cellStyle name="Normal 2 2 2 2 8 4 2 3 2" xfId="8942" xr:uid="{00000000-0005-0000-0000-000082230000}"/>
    <cellStyle name="Normal 2 2 2 2 8 4 2 3 2 2" xfId="17972" xr:uid="{00000000-0005-0000-0000-000083230000}"/>
    <cellStyle name="Normal 2 2 2 2 8 4 2 3 2 2 2" xfId="38024" xr:uid="{00000000-0005-0000-0000-000084230000}"/>
    <cellStyle name="Normal 2 2 2 2 8 4 2 3 2 3" xfId="28994" xr:uid="{00000000-0005-0000-0000-000085230000}"/>
    <cellStyle name="Normal 2 2 2 2 8 4 2 3 3" xfId="13490" xr:uid="{00000000-0005-0000-0000-000086230000}"/>
    <cellStyle name="Normal 2 2 2 2 8 4 2 3 3 2" xfId="33542" xr:uid="{00000000-0005-0000-0000-000087230000}"/>
    <cellStyle name="Normal 2 2 2 2 8 4 2 3 4" xfId="24512" xr:uid="{00000000-0005-0000-0000-000088230000}"/>
    <cellStyle name="Normal 2 2 2 2 8 4 2 4" xfId="5954" xr:uid="{00000000-0005-0000-0000-000089230000}"/>
    <cellStyle name="Normal 2 2 2 2 8 4 2 4 2" xfId="14984" xr:uid="{00000000-0005-0000-0000-00008A230000}"/>
    <cellStyle name="Normal 2 2 2 2 8 4 2 4 2 2" xfId="35036" xr:uid="{00000000-0005-0000-0000-00008B230000}"/>
    <cellStyle name="Normal 2 2 2 2 8 4 2 4 3" xfId="26006" xr:uid="{00000000-0005-0000-0000-00008C230000}"/>
    <cellStyle name="Normal 2 2 2 2 8 4 2 5" xfId="10502" xr:uid="{00000000-0005-0000-0000-00008D230000}"/>
    <cellStyle name="Normal 2 2 2 2 8 4 2 5 2" xfId="30554" xr:uid="{00000000-0005-0000-0000-00008E230000}"/>
    <cellStyle name="Normal 2 2 2 2 8 4 2 6" xfId="21524" xr:uid="{00000000-0005-0000-0000-00008F230000}"/>
    <cellStyle name="Normal 2 2 2 2 8 4 3" xfId="2219" xr:uid="{00000000-0005-0000-0000-000090230000}"/>
    <cellStyle name="Normal 2 2 2 2 8 4 3 2" xfId="6701" xr:uid="{00000000-0005-0000-0000-000091230000}"/>
    <cellStyle name="Normal 2 2 2 2 8 4 3 2 2" xfId="15731" xr:uid="{00000000-0005-0000-0000-000092230000}"/>
    <cellStyle name="Normal 2 2 2 2 8 4 3 2 2 2" xfId="35783" xr:uid="{00000000-0005-0000-0000-000093230000}"/>
    <cellStyle name="Normal 2 2 2 2 8 4 3 2 3" xfId="26753" xr:uid="{00000000-0005-0000-0000-000094230000}"/>
    <cellStyle name="Normal 2 2 2 2 8 4 3 3" xfId="11249" xr:uid="{00000000-0005-0000-0000-000095230000}"/>
    <cellStyle name="Normal 2 2 2 2 8 4 3 3 2" xfId="31301" xr:uid="{00000000-0005-0000-0000-000096230000}"/>
    <cellStyle name="Normal 2 2 2 2 8 4 3 4" xfId="22271" xr:uid="{00000000-0005-0000-0000-000097230000}"/>
    <cellStyle name="Normal 2 2 2 2 8 4 4" xfId="3713" xr:uid="{00000000-0005-0000-0000-000098230000}"/>
    <cellStyle name="Normal 2 2 2 2 8 4 4 2" xfId="8195" xr:uid="{00000000-0005-0000-0000-000099230000}"/>
    <cellStyle name="Normal 2 2 2 2 8 4 4 2 2" xfId="17225" xr:uid="{00000000-0005-0000-0000-00009A230000}"/>
    <cellStyle name="Normal 2 2 2 2 8 4 4 2 2 2" xfId="37277" xr:uid="{00000000-0005-0000-0000-00009B230000}"/>
    <cellStyle name="Normal 2 2 2 2 8 4 4 2 3" xfId="28247" xr:uid="{00000000-0005-0000-0000-00009C230000}"/>
    <cellStyle name="Normal 2 2 2 2 8 4 4 3" xfId="12743" xr:uid="{00000000-0005-0000-0000-00009D230000}"/>
    <cellStyle name="Normal 2 2 2 2 8 4 4 3 2" xfId="32795" xr:uid="{00000000-0005-0000-0000-00009E230000}"/>
    <cellStyle name="Normal 2 2 2 2 8 4 4 4" xfId="23765" xr:uid="{00000000-0005-0000-0000-00009F230000}"/>
    <cellStyle name="Normal 2 2 2 2 8 4 5" xfId="5207" xr:uid="{00000000-0005-0000-0000-0000A0230000}"/>
    <cellStyle name="Normal 2 2 2 2 8 4 5 2" xfId="14237" xr:uid="{00000000-0005-0000-0000-0000A1230000}"/>
    <cellStyle name="Normal 2 2 2 2 8 4 5 2 2" xfId="34289" xr:uid="{00000000-0005-0000-0000-0000A2230000}"/>
    <cellStyle name="Normal 2 2 2 2 8 4 5 3" xfId="25259" xr:uid="{00000000-0005-0000-0000-0000A3230000}"/>
    <cellStyle name="Normal 2 2 2 2 8 4 6" xfId="9755" xr:uid="{00000000-0005-0000-0000-0000A4230000}"/>
    <cellStyle name="Normal 2 2 2 2 8 4 6 2" xfId="29807" xr:uid="{00000000-0005-0000-0000-0000A5230000}"/>
    <cellStyle name="Normal 2 2 2 2 8 4 7" xfId="20777" xr:uid="{00000000-0005-0000-0000-0000A6230000}"/>
    <cellStyle name="Normal 2 2 2 2 8 5" xfId="912" xr:uid="{00000000-0005-0000-0000-0000A7230000}"/>
    <cellStyle name="Normal 2 2 2 2 8 5 2" xfId="2406" xr:uid="{00000000-0005-0000-0000-0000A8230000}"/>
    <cellStyle name="Normal 2 2 2 2 8 5 2 2" xfId="6888" xr:uid="{00000000-0005-0000-0000-0000A9230000}"/>
    <cellStyle name="Normal 2 2 2 2 8 5 2 2 2" xfId="15918" xr:uid="{00000000-0005-0000-0000-0000AA230000}"/>
    <cellStyle name="Normal 2 2 2 2 8 5 2 2 2 2" xfId="35970" xr:uid="{00000000-0005-0000-0000-0000AB230000}"/>
    <cellStyle name="Normal 2 2 2 2 8 5 2 2 3" xfId="26940" xr:uid="{00000000-0005-0000-0000-0000AC230000}"/>
    <cellStyle name="Normal 2 2 2 2 8 5 2 3" xfId="11436" xr:uid="{00000000-0005-0000-0000-0000AD230000}"/>
    <cellStyle name="Normal 2 2 2 2 8 5 2 3 2" xfId="31488" xr:uid="{00000000-0005-0000-0000-0000AE230000}"/>
    <cellStyle name="Normal 2 2 2 2 8 5 2 4" xfId="22458" xr:uid="{00000000-0005-0000-0000-0000AF230000}"/>
    <cellStyle name="Normal 2 2 2 2 8 5 3" xfId="3900" xr:uid="{00000000-0005-0000-0000-0000B0230000}"/>
    <cellStyle name="Normal 2 2 2 2 8 5 3 2" xfId="8382" xr:uid="{00000000-0005-0000-0000-0000B1230000}"/>
    <cellStyle name="Normal 2 2 2 2 8 5 3 2 2" xfId="17412" xr:uid="{00000000-0005-0000-0000-0000B2230000}"/>
    <cellStyle name="Normal 2 2 2 2 8 5 3 2 2 2" xfId="37464" xr:uid="{00000000-0005-0000-0000-0000B3230000}"/>
    <cellStyle name="Normal 2 2 2 2 8 5 3 2 3" xfId="28434" xr:uid="{00000000-0005-0000-0000-0000B4230000}"/>
    <cellStyle name="Normal 2 2 2 2 8 5 3 3" xfId="12930" xr:uid="{00000000-0005-0000-0000-0000B5230000}"/>
    <cellStyle name="Normal 2 2 2 2 8 5 3 3 2" xfId="32982" xr:uid="{00000000-0005-0000-0000-0000B6230000}"/>
    <cellStyle name="Normal 2 2 2 2 8 5 3 4" xfId="23952" xr:uid="{00000000-0005-0000-0000-0000B7230000}"/>
    <cellStyle name="Normal 2 2 2 2 8 5 4" xfId="5394" xr:uid="{00000000-0005-0000-0000-0000B8230000}"/>
    <cellStyle name="Normal 2 2 2 2 8 5 4 2" xfId="14424" xr:uid="{00000000-0005-0000-0000-0000B9230000}"/>
    <cellStyle name="Normal 2 2 2 2 8 5 4 2 2" xfId="34476" xr:uid="{00000000-0005-0000-0000-0000BA230000}"/>
    <cellStyle name="Normal 2 2 2 2 8 5 4 3" xfId="25446" xr:uid="{00000000-0005-0000-0000-0000BB230000}"/>
    <cellStyle name="Normal 2 2 2 2 8 5 5" xfId="9942" xr:uid="{00000000-0005-0000-0000-0000BC230000}"/>
    <cellStyle name="Normal 2 2 2 2 8 5 5 2" xfId="29994" xr:uid="{00000000-0005-0000-0000-0000BD230000}"/>
    <cellStyle name="Normal 2 2 2 2 8 5 6" xfId="20964" xr:uid="{00000000-0005-0000-0000-0000BE230000}"/>
    <cellStyle name="Normal 2 2 2 2 8 6" xfId="1661" xr:uid="{00000000-0005-0000-0000-0000BF230000}"/>
    <cellStyle name="Normal 2 2 2 2 8 6 2" xfId="6143" xr:uid="{00000000-0005-0000-0000-0000C0230000}"/>
    <cellStyle name="Normal 2 2 2 2 8 6 2 2" xfId="15173" xr:uid="{00000000-0005-0000-0000-0000C1230000}"/>
    <cellStyle name="Normal 2 2 2 2 8 6 2 2 2" xfId="35225" xr:uid="{00000000-0005-0000-0000-0000C2230000}"/>
    <cellStyle name="Normal 2 2 2 2 8 6 2 3" xfId="26195" xr:uid="{00000000-0005-0000-0000-0000C3230000}"/>
    <cellStyle name="Normal 2 2 2 2 8 6 3" xfId="10691" xr:uid="{00000000-0005-0000-0000-0000C4230000}"/>
    <cellStyle name="Normal 2 2 2 2 8 6 3 2" xfId="30743" xr:uid="{00000000-0005-0000-0000-0000C5230000}"/>
    <cellStyle name="Normal 2 2 2 2 8 6 4" xfId="21713" xr:uid="{00000000-0005-0000-0000-0000C6230000}"/>
    <cellStyle name="Normal 2 2 2 2 8 7" xfId="3155" xr:uid="{00000000-0005-0000-0000-0000C7230000}"/>
    <cellStyle name="Normal 2 2 2 2 8 7 2" xfId="7637" xr:uid="{00000000-0005-0000-0000-0000C8230000}"/>
    <cellStyle name="Normal 2 2 2 2 8 7 2 2" xfId="16667" xr:uid="{00000000-0005-0000-0000-0000C9230000}"/>
    <cellStyle name="Normal 2 2 2 2 8 7 2 2 2" xfId="36719" xr:uid="{00000000-0005-0000-0000-0000CA230000}"/>
    <cellStyle name="Normal 2 2 2 2 8 7 2 3" xfId="27689" xr:uid="{00000000-0005-0000-0000-0000CB230000}"/>
    <cellStyle name="Normal 2 2 2 2 8 7 3" xfId="12185" xr:uid="{00000000-0005-0000-0000-0000CC230000}"/>
    <cellStyle name="Normal 2 2 2 2 8 7 3 2" xfId="32237" xr:uid="{00000000-0005-0000-0000-0000CD230000}"/>
    <cellStyle name="Normal 2 2 2 2 8 7 4" xfId="23207" xr:uid="{00000000-0005-0000-0000-0000CE230000}"/>
    <cellStyle name="Normal 2 2 2 2 8 8" xfId="4649" xr:uid="{00000000-0005-0000-0000-0000CF230000}"/>
    <cellStyle name="Normal 2 2 2 2 8 8 2" xfId="13679" xr:uid="{00000000-0005-0000-0000-0000D0230000}"/>
    <cellStyle name="Normal 2 2 2 2 8 8 2 2" xfId="33731" xr:uid="{00000000-0005-0000-0000-0000D1230000}"/>
    <cellStyle name="Normal 2 2 2 2 8 8 3" xfId="24701" xr:uid="{00000000-0005-0000-0000-0000D2230000}"/>
    <cellStyle name="Normal 2 2 2 2 8 9" xfId="9197" xr:uid="{00000000-0005-0000-0000-0000D3230000}"/>
    <cellStyle name="Normal 2 2 2 2 8 9 2" xfId="29249" xr:uid="{00000000-0005-0000-0000-0000D4230000}"/>
    <cellStyle name="Normal 2 2 2 2 9" xfId="190" xr:uid="{00000000-0005-0000-0000-0000D5230000}"/>
    <cellStyle name="Normal 2 2 2 2 9 10" xfId="20242" xr:uid="{00000000-0005-0000-0000-0000D6230000}"/>
    <cellStyle name="Normal 2 2 2 2 9 2" xfId="376" xr:uid="{00000000-0005-0000-0000-0000D7230000}"/>
    <cellStyle name="Normal 2 2 2 2 9 2 2" xfId="1119" xr:uid="{00000000-0005-0000-0000-0000D8230000}"/>
    <cellStyle name="Normal 2 2 2 2 9 2 2 2" xfId="2613" xr:uid="{00000000-0005-0000-0000-0000D9230000}"/>
    <cellStyle name="Normal 2 2 2 2 9 2 2 2 2" xfId="7095" xr:uid="{00000000-0005-0000-0000-0000DA230000}"/>
    <cellStyle name="Normal 2 2 2 2 9 2 2 2 2 2" xfId="16125" xr:uid="{00000000-0005-0000-0000-0000DB230000}"/>
    <cellStyle name="Normal 2 2 2 2 9 2 2 2 2 2 2" xfId="36177" xr:uid="{00000000-0005-0000-0000-0000DC230000}"/>
    <cellStyle name="Normal 2 2 2 2 9 2 2 2 2 3" xfId="27147" xr:uid="{00000000-0005-0000-0000-0000DD230000}"/>
    <cellStyle name="Normal 2 2 2 2 9 2 2 2 3" xfId="11643" xr:uid="{00000000-0005-0000-0000-0000DE230000}"/>
    <cellStyle name="Normal 2 2 2 2 9 2 2 2 3 2" xfId="31695" xr:uid="{00000000-0005-0000-0000-0000DF230000}"/>
    <cellStyle name="Normal 2 2 2 2 9 2 2 2 4" xfId="22665" xr:uid="{00000000-0005-0000-0000-0000E0230000}"/>
    <cellStyle name="Normal 2 2 2 2 9 2 2 3" xfId="4107" xr:uid="{00000000-0005-0000-0000-0000E1230000}"/>
    <cellStyle name="Normal 2 2 2 2 9 2 2 3 2" xfId="8589" xr:uid="{00000000-0005-0000-0000-0000E2230000}"/>
    <cellStyle name="Normal 2 2 2 2 9 2 2 3 2 2" xfId="17619" xr:uid="{00000000-0005-0000-0000-0000E3230000}"/>
    <cellStyle name="Normal 2 2 2 2 9 2 2 3 2 2 2" xfId="37671" xr:uid="{00000000-0005-0000-0000-0000E4230000}"/>
    <cellStyle name="Normal 2 2 2 2 9 2 2 3 2 3" xfId="28641" xr:uid="{00000000-0005-0000-0000-0000E5230000}"/>
    <cellStyle name="Normal 2 2 2 2 9 2 2 3 3" xfId="13137" xr:uid="{00000000-0005-0000-0000-0000E6230000}"/>
    <cellStyle name="Normal 2 2 2 2 9 2 2 3 3 2" xfId="33189" xr:uid="{00000000-0005-0000-0000-0000E7230000}"/>
    <cellStyle name="Normal 2 2 2 2 9 2 2 3 4" xfId="24159" xr:uid="{00000000-0005-0000-0000-0000E8230000}"/>
    <cellStyle name="Normal 2 2 2 2 9 2 2 4" xfId="5601" xr:uid="{00000000-0005-0000-0000-0000E9230000}"/>
    <cellStyle name="Normal 2 2 2 2 9 2 2 4 2" xfId="14631" xr:uid="{00000000-0005-0000-0000-0000EA230000}"/>
    <cellStyle name="Normal 2 2 2 2 9 2 2 4 2 2" xfId="34683" xr:uid="{00000000-0005-0000-0000-0000EB230000}"/>
    <cellStyle name="Normal 2 2 2 2 9 2 2 4 3" xfId="25653" xr:uid="{00000000-0005-0000-0000-0000EC230000}"/>
    <cellStyle name="Normal 2 2 2 2 9 2 2 5" xfId="10149" xr:uid="{00000000-0005-0000-0000-0000ED230000}"/>
    <cellStyle name="Normal 2 2 2 2 9 2 2 5 2" xfId="30201" xr:uid="{00000000-0005-0000-0000-0000EE230000}"/>
    <cellStyle name="Normal 2 2 2 2 9 2 2 6" xfId="21171" xr:uid="{00000000-0005-0000-0000-0000EF230000}"/>
    <cellStyle name="Normal 2 2 2 2 9 2 3" xfId="1870" xr:uid="{00000000-0005-0000-0000-0000F0230000}"/>
    <cellStyle name="Normal 2 2 2 2 9 2 3 2" xfId="6352" xr:uid="{00000000-0005-0000-0000-0000F1230000}"/>
    <cellStyle name="Normal 2 2 2 2 9 2 3 2 2" xfId="15382" xr:uid="{00000000-0005-0000-0000-0000F2230000}"/>
    <cellStyle name="Normal 2 2 2 2 9 2 3 2 2 2" xfId="35434" xr:uid="{00000000-0005-0000-0000-0000F3230000}"/>
    <cellStyle name="Normal 2 2 2 2 9 2 3 2 3" xfId="26404" xr:uid="{00000000-0005-0000-0000-0000F4230000}"/>
    <cellStyle name="Normal 2 2 2 2 9 2 3 3" xfId="10900" xr:uid="{00000000-0005-0000-0000-0000F5230000}"/>
    <cellStyle name="Normal 2 2 2 2 9 2 3 3 2" xfId="30952" xr:uid="{00000000-0005-0000-0000-0000F6230000}"/>
    <cellStyle name="Normal 2 2 2 2 9 2 3 4" xfId="21922" xr:uid="{00000000-0005-0000-0000-0000F7230000}"/>
    <cellStyle name="Normal 2 2 2 2 9 2 4" xfId="3364" xr:uid="{00000000-0005-0000-0000-0000F8230000}"/>
    <cellStyle name="Normal 2 2 2 2 9 2 4 2" xfId="7846" xr:uid="{00000000-0005-0000-0000-0000F9230000}"/>
    <cellStyle name="Normal 2 2 2 2 9 2 4 2 2" xfId="16876" xr:uid="{00000000-0005-0000-0000-0000FA230000}"/>
    <cellStyle name="Normal 2 2 2 2 9 2 4 2 2 2" xfId="36928" xr:uid="{00000000-0005-0000-0000-0000FB230000}"/>
    <cellStyle name="Normal 2 2 2 2 9 2 4 2 3" xfId="27898" xr:uid="{00000000-0005-0000-0000-0000FC230000}"/>
    <cellStyle name="Normal 2 2 2 2 9 2 4 3" xfId="12394" xr:uid="{00000000-0005-0000-0000-0000FD230000}"/>
    <cellStyle name="Normal 2 2 2 2 9 2 4 3 2" xfId="32446" xr:uid="{00000000-0005-0000-0000-0000FE230000}"/>
    <cellStyle name="Normal 2 2 2 2 9 2 4 4" xfId="23416" xr:uid="{00000000-0005-0000-0000-0000FF230000}"/>
    <cellStyle name="Normal 2 2 2 2 9 2 5" xfId="4858" xr:uid="{00000000-0005-0000-0000-000000240000}"/>
    <cellStyle name="Normal 2 2 2 2 9 2 5 2" xfId="13888" xr:uid="{00000000-0005-0000-0000-000001240000}"/>
    <cellStyle name="Normal 2 2 2 2 9 2 5 2 2" xfId="33940" xr:uid="{00000000-0005-0000-0000-000002240000}"/>
    <cellStyle name="Normal 2 2 2 2 9 2 5 3" xfId="24910" xr:uid="{00000000-0005-0000-0000-000003240000}"/>
    <cellStyle name="Normal 2 2 2 2 9 2 6" xfId="9406" xr:uid="{00000000-0005-0000-0000-000004240000}"/>
    <cellStyle name="Normal 2 2 2 2 9 2 6 2" xfId="29458" xr:uid="{00000000-0005-0000-0000-000005240000}"/>
    <cellStyle name="Normal 2 2 2 2 9 2 7" xfId="20428" xr:uid="{00000000-0005-0000-0000-000006240000}"/>
    <cellStyle name="Normal 2 2 2 2 9 3" xfId="562" xr:uid="{00000000-0005-0000-0000-000007240000}"/>
    <cellStyle name="Normal 2 2 2 2 9 3 2" xfId="1309" xr:uid="{00000000-0005-0000-0000-000008240000}"/>
    <cellStyle name="Normal 2 2 2 2 9 3 2 2" xfId="2803" xr:uid="{00000000-0005-0000-0000-000009240000}"/>
    <cellStyle name="Normal 2 2 2 2 9 3 2 2 2" xfId="7285" xr:uid="{00000000-0005-0000-0000-00000A240000}"/>
    <cellStyle name="Normal 2 2 2 2 9 3 2 2 2 2" xfId="16315" xr:uid="{00000000-0005-0000-0000-00000B240000}"/>
    <cellStyle name="Normal 2 2 2 2 9 3 2 2 2 2 2" xfId="36367" xr:uid="{00000000-0005-0000-0000-00000C240000}"/>
    <cellStyle name="Normal 2 2 2 2 9 3 2 2 2 3" xfId="27337" xr:uid="{00000000-0005-0000-0000-00000D240000}"/>
    <cellStyle name="Normal 2 2 2 2 9 3 2 2 3" xfId="11833" xr:uid="{00000000-0005-0000-0000-00000E240000}"/>
    <cellStyle name="Normal 2 2 2 2 9 3 2 2 3 2" xfId="31885" xr:uid="{00000000-0005-0000-0000-00000F240000}"/>
    <cellStyle name="Normal 2 2 2 2 9 3 2 2 4" xfId="22855" xr:uid="{00000000-0005-0000-0000-000010240000}"/>
    <cellStyle name="Normal 2 2 2 2 9 3 2 3" xfId="4297" xr:uid="{00000000-0005-0000-0000-000011240000}"/>
    <cellStyle name="Normal 2 2 2 2 9 3 2 3 2" xfId="8779" xr:uid="{00000000-0005-0000-0000-000012240000}"/>
    <cellStyle name="Normal 2 2 2 2 9 3 2 3 2 2" xfId="17809" xr:uid="{00000000-0005-0000-0000-000013240000}"/>
    <cellStyle name="Normal 2 2 2 2 9 3 2 3 2 2 2" xfId="37861" xr:uid="{00000000-0005-0000-0000-000014240000}"/>
    <cellStyle name="Normal 2 2 2 2 9 3 2 3 2 3" xfId="28831" xr:uid="{00000000-0005-0000-0000-000015240000}"/>
    <cellStyle name="Normal 2 2 2 2 9 3 2 3 3" xfId="13327" xr:uid="{00000000-0005-0000-0000-000016240000}"/>
    <cellStyle name="Normal 2 2 2 2 9 3 2 3 3 2" xfId="33379" xr:uid="{00000000-0005-0000-0000-000017240000}"/>
    <cellStyle name="Normal 2 2 2 2 9 3 2 3 4" xfId="24349" xr:uid="{00000000-0005-0000-0000-000018240000}"/>
    <cellStyle name="Normal 2 2 2 2 9 3 2 4" xfId="5791" xr:uid="{00000000-0005-0000-0000-000019240000}"/>
    <cellStyle name="Normal 2 2 2 2 9 3 2 4 2" xfId="14821" xr:uid="{00000000-0005-0000-0000-00001A240000}"/>
    <cellStyle name="Normal 2 2 2 2 9 3 2 4 2 2" xfId="34873" xr:uid="{00000000-0005-0000-0000-00001B240000}"/>
    <cellStyle name="Normal 2 2 2 2 9 3 2 4 3" xfId="25843" xr:uid="{00000000-0005-0000-0000-00001C240000}"/>
    <cellStyle name="Normal 2 2 2 2 9 3 2 5" xfId="10339" xr:uid="{00000000-0005-0000-0000-00001D240000}"/>
    <cellStyle name="Normal 2 2 2 2 9 3 2 5 2" xfId="30391" xr:uid="{00000000-0005-0000-0000-00001E240000}"/>
    <cellStyle name="Normal 2 2 2 2 9 3 2 6" xfId="21361" xr:uid="{00000000-0005-0000-0000-00001F240000}"/>
    <cellStyle name="Normal 2 2 2 2 9 3 3" xfId="2056" xr:uid="{00000000-0005-0000-0000-000020240000}"/>
    <cellStyle name="Normal 2 2 2 2 9 3 3 2" xfId="6538" xr:uid="{00000000-0005-0000-0000-000021240000}"/>
    <cellStyle name="Normal 2 2 2 2 9 3 3 2 2" xfId="15568" xr:uid="{00000000-0005-0000-0000-000022240000}"/>
    <cellStyle name="Normal 2 2 2 2 9 3 3 2 2 2" xfId="35620" xr:uid="{00000000-0005-0000-0000-000023240000}"/>
    <cellStyle name="Normal 2 2 2 2 9 3 3 2 3" xfId="26590" xr:uid="{00000000-0005-0000-0000-000024240000}"/>
    <cellStyle name="Normal 2 2 2 2 9 3 3 3" xfId="11086" xr:uid="{00000000-0005-0000-0000-000025240000}"/>
    <cellStyle name="Normal 2 2 2 2 9 3 3 3 2" xfId="31138" xr:uid="{00000000-0005-0000-0000-000026240000}"/>
    <cellStyle name="Normal 2 2 2 2 9 3 3 4" xfId="22108" xr:uid="{00000000-0005-0000-0000-000027240000}"/>
    <cellStyle name="Normal 2 2 2 2 9 3 4" xfId="3550" xr:uid="{00000000-0005-0000-0000-000028240000}"/>
    <cellStyle name="Normal 2 2 2 2 9 3 4 2" xfId="8032" xr:uid="{00000000-0005-0000-0000-000029240000}"/>
    <cellStyle name="Normal 2 2 2 2 9 3 4 2 2" xfId="17062" xr:uid="{00000000-0005-0000-0000-00002A240000}"/>
    <cellStyle name="Normal 2 2 2 2 9 3 4 2 2 2" xfId="37114" xr:uid="{00000000-0005-0000-0000-00002B240000}"/>
    <cellStyle name="Normal 2 2 2 2 9 3 4 2 3" xfId="28084" xr:uid="{00000000-0005-0000-0000-00002C240000}"/>
    <cellStyle name="Normal 2 2 2 2 9 3 4 3" xfId="12580" xr:uid="{00000000-0005-0000-0000-00002D240000}"/>
    <cellStyle name="Normal 2 2 2 2 9 3 4 3 2" xfId="32632" xr:uid="{00000000-0005-0000-0000-00002E240000}"/>
    <cellStyle name="Normal 2 2 2 2 9 3 4 4" xfId="23602" xr:uid="{00000000-0005-0000-0000-00002F240000}"/>
    <cellStyle name="Normal 2 2 2 2 9 3 5" xfId="5044" xr:uid="{00000000-0005-0000-0000-000030240000}"/>
    <cellStyle name="Normal 2 2 2 2 9 3 5 2" xfId="14074" xr:uid="{00000000-0005-0000-0000-000031240000}"/>
    <cellStyle name="Normal 2 2 2 2 9 3 5 2 2" xfId="34126" xr:uid="{00000000-0005-0000-0000-000032240000}"/>
    <cellStyle name="Normal 2 2 2 2 9 3 5 3" xfId="25096" xr:uid="{00000000-0005-0000-0000-000033240000}"/>
    <cellStyle name="Normal 2 2 2 2 9 3 6" xfId="9592" xr:uid="{00000000-0005-0000-0000-000034240000}"/>
    <cellStyle name="Normal 2 2 2 2 9 3 6 2" xfId="29644" xr:uid="{00000000-0005-0000-0000-000035240000}"/>
    <cellStyle name="Normal 2 2 2 2 9 3 7" xfId="20614" xr:uid="{00000000-0005-0000-0000-000036240000}"/>
    <cellStyle name="Normal 2 2 2 2 9 4" xfId="748" xr:uid="{00000000-0005-0000-0000-000037240000}"/>
    <cellStyle name="Normal 2 2 2 2 9 4 2" xfId="1495" xr:uid="{00000000-0005-0000-0000-000038240000}"/>
    <cellStyle name="Normal 2 2 2 2 9 4 2 2" xfId="2989" xr:uid="{00000000-0005-0000-0000-000039240000}"/>
    <cellStyle name="Normal 2 2 2 2 9 4 2 2 2" xfId="7471" xr:uid="{00000000-0005-0000-0000-00003A240000}"/>
    <cellStyle name="Normal 2 2 2 2 9 4 2 2 2 2" xfId="16501" xr:uid="{00000000-0005-0000-0000-00003B240000}"/>
    <cellStyle name="Normal 2 2 2 2 9 4 2 2 2 2 2" xfId="36553" xr:uid="{00000000-0005-0000-0000-00003C240000}"/>
    <cellStyle name="Normal 2 2 2 2 9 4 2 2 2 3" xfId="27523" xr:uid="{00000000-0005-0000-0000-00003D240000}"/>
    <cellStyle name="Normal 2 2 2 2 9 4 2 2 3" xfId="12019" xr:uid="{00000000-0005-0000-0000-00003E240000}"/>
    <cellStyle name="Normal 2 2 2 2 9 4 2 2 3 2" xfId="32071" xr:uid="{00000000-0005-0000-0000-00003F240000}"/>
    <cellStyle name="Normal 2 2 2 2 9 4 2 2 4" xfId="23041" xr:uid="{00000000-0005-0000-0000-000040240000}"/>
    <cellStyle name="Normal 2 2 2 2 9 4 2 3" xfId="4483" xr:uid="{00000000-0005-0000-0000-000041240000}"/>
    <cellStyle name="Normal 2 2 2 2 9 4 2 3 2" xfId="8965" xr:uid="{00000000-0005-0000-0000-000042240000}"/>
    <cellStyle name="Normal 2 2 2 2 9 4 2 3 2 2" xfId="17995" xr:uid="{00000000-0005-0000-0000-000043240000}"/>
    <cellStyle name="Normal 2 2 2 2 9 4 2 3 2 2 2" xfId="38047" xr:uid="{00000000-0005-0000-0000-000044240000}"/>
    <cellStyle name="Normal 2 2 2 2 9 4 2 3 2 3" xfId="29017" xr:uid="{00000000-0005-0000-0000-000045240000}"/>
    <cellStyle name="Normal 2 2 2 2 9 4 2 3 3" xfId="13513" xr:uid="{00000000-0005-0000-0000-000046240000}"/>
    <cellStyle name="Normal 2 2 2 2 9 4 2 3 3 2" xfId="33565" xr:uid="{00000000-0005-0000-0000-000047240000}"/>
    <cellStyle name="Normal 2 2 2 2 9 4 2 3 4" xfId="24535" xr:uid="{00000000-0005-0000-0000-000048240000}"/>
    <cellStyle name="Normal 2 2 2 2 9 4 2 4" xfId="5977" xr:uid="{00000000-0005-0000-0000-000049240000}"/>
    <cellStyle name="Normal 2 2 2 2 9 4 2 4 2" xfId="15007" xr:uid="{00000000-0005-0000-0000-00004A240000}"/>
    <cellStyle name="Normal 2 2 2 2 9 4 2 4 2 2" xfId="35059" xr:uid="{00000000-0005-0000-0000-00004B240000}"/>
    <cellStyle name="Normal 2 2 2 2 9 4 2 4 3" xfId="26029" xr:uid="{00000000-0005-0000-0000-00004C240000}"/>
    <cellStyle name="Normal 2 2 2 2 9 4 2 5" xfId="10525" xr:uid="{00000000-0005-0000-0000-00004D240000}"/>
    <cellStyle name="Normal 2 2 2 2 9 4 2 5 2" xfId="30577" xr:uid="{00000000-0005-0000-0000-00004E240000}"/>
    <cellStyle name="Normal 2 2 2 2 9 4 2 6" xfId="21547" xr:uid="{00000000-0005-0000-0000-00004F240000}"/>
    <cellStyle name="Normal 2 2 2 2 9 4 3" xfId="2242" xr:uid="{00000000-0005-0000-0000-000050240000}"/>
    <cellStyle name="Normal 2 2 2 2 9 4 3 2" xfId="6724" xr:uid="{00000000-0005-0000-0000-000051240000}"/>
    <cellStyle name="Normal 2 2 2 2 9 4 3 2 2" xfId="15754" xr:uid="{00000000-0005-0000-0000-000052240000}"/>
    <cellStyle name="Normal 2 2 2 2 9 4 3 2 2 2" xfId="35806" xr:uid="{00000000-0005-0000-0000-000053240000}"/>
    <cellStyle name="Normal 2 2 2 2 9 4 3 2 3" xfId="26776" xr:uid="{00000000-0005-0000-0000-000054240000}"/>
    <cellStyle name="Normal 2 2 2 2 9 4 3 3" xfId="11272" xr:uid="{00000000-0005-0000-0000-000055240000}"/>
    <cellStyle name="Normal 2 2 2 2 9 4 3 3 2" xfId="31324" xr:uid="{00000000-0005-0000-0000-000056240000}"/>
    <cellStyle name="Normal 2 2 2 2 9 4 3 4" xfId="22294" xr:uid="{00000000-0005-0000-0000-000057240000}"/>
    <cellStyle name="Normal 2 2 2 2 9 4 4" xfId="3736" xr:uid="{00000000-0005-0000-0000-000058240000}"/>
    <cellStyle name="Normal 2 2 2 2 9 4 4 2" xfId="8218" xr:uid="{00000000-0005-0000-0000-000059240000}"/>
    <cellStyle name="Normal 2 2 2 2 9 4 4 2 2" xfId="17248" xr:uid="{00000000-0005-0000-0000-00005A240000}"/>
    <cellStyle name="Normal 2 2 2 2 9 4 4 2 2 2" xfId="37300" xr:uid="{00000000-0005-0000-0000-00005B240000}"/>
    <cellStyle name="Normal 2 2 2 2 9 4 4 2 3" xfId="28270" xr:uid="{00000000-0005-0000-0000-00005C240000}"/>
    <cellStyle name="Normal 2 2 2 2 9 4 4 3" xfId="12766" xr:uid="{00000000-0005-0000-0000-00005D240000}"/>
    <cellStyle name="Normal 2 2 2 2 9 4 4 3 2" xfId="32818" xr:uid="{00000000-0005-0000-0000-00005E240000}"/>
    <cellStyle name="Normal 2 2 2 2 9 4 4 4" xfId="23788" xr:uid="{00000000-0005-0000-0000-00005F240000}"/>
    <cellStyle name="Normal 2 2 2 2 9 4 5" xfId="5230" xr:uid="{00000000-0005-0000-0000-000060240000}"/>
    <cellStyle name="Normal 2 2 2 2 9 4 5 2" xfId="14260" xr:uid="{00000000-0005-0000-0000-000061240000}"/>
    <cellStyle name="Normal 2 2 2 2 9 4 5 2 2" xfId="34312" xr:uid="{00000000-0005-0000-0000-000062240000}"/>
    <cellStyle name="Normal 2 2 2 2 9 4 5 3" xfId="25282" xr:uid="{00000000-0005-0000-0000-000063240000}"/>
    <cellStyle name="Normal 2 2 2 2 9 4 6" xfId="9778" xr:uid="{00000000-0005-0000-0000-000064240000}"/>
    <cellStyle name="Normal 2 2 2 2 9 4 6 2" xfId="29830" xr:uid="{00000000-0005-0000-0000-000065240000}"/>
    <cellStyle name="Normal 2 2 2 2 9 4 7" xfId="20800" xr:uid="{00000000-0005-0000-0000-000066240000}"/>
    <cellStyle name="Normal 2 2 2 2 9 5" xfId="935" xr:uid="{00000000-0005-0000-0000-000067240000}"/>
    <cellStyle name="Normal 2 2 2 2 9 5 2" xfId="2429" xr:uid="{00000000-0005-0000-0000-000068240000}"/>
    <cellStyle name="Normal 2 2 2 2 9 5 2 2" xfId="6911" xr:uid="{00000000-0005-0000-0000-000069240000}"/>
    <cellStyle name="Normal 2 2 2 2 9 5 2 2 2" xfId="15941" xr:uid="{00000000-0005-0000-0000-00006A240000}"/>
    <cellStyle name="Normal 2 2 2 2 9 5 2 2 2 2" xfId="35993" xr:uid="{00000000-0005-0000-0000-00006B240000}"/>
    <cellStyle name="Normal 2 2 2 2 9 5 2 2 3" xfId="26963" xr:uid="{00000000-0005-0000-0000-00006C240000}"/>
    <cellStyle name="Normal 2 2 2 2 9 5 2 3" xfId="11459" xr:uid="{00000000-0005-0000-0000-00006D240000}"/>
    <cellStyle name="Normal 2 2 2 2 9 5 2 3 2" xfId="31511" xr:uid="{00000000-0005-0000-0000-00006E240000}"/>
    <cellStyle name="Normal 2 2 2 2 9 5 2 4" xfId="22481" xr:uid="{00000000-0005-0000-0000-00006F240000}"/>
    <cellStyle name="Normal 2 2 2 2 9 5 3" xfId="3923" xr:uid="{00000000-0005-0000-0000-000070240000}"/>
    <cellStyle name="Normal 2 2 2 2 9 5 3 2" xfId="8405" xr:uid="{00000000-0005-0000-0000-000071240000}"/>
    <cellStyle name="Normal 2 2 2 2 9 5 3 2 2" xfId="17435" xr:uid="{00000000-0005-0000-0000-000072240000}"/>
    <cellStyle name="Normal 2 2 2 2 9 5 3 2 2 2" xfId="37487" xr:uid="{00000000-0005-0000-0000-000073240000}"/>
    <cellStyle name="Normal 2 2 2 2 9 5 3 2 3" xfId="28457" xr:uid="{00000000-0005-0000-0000-000074240000}"/>
    <cellStyle name="Normal 2 2 2 2 9 5 3 3" xfId="12953" xr:uid="{00000000-0005-0000-0000-000075240000}"/>
    <cellStyle name="Normal 2 2 2 2 9 5 3 3 2" xfId="33005" xr:uid="{00000000-0005-0000-0000-000076240000}"/>
    <cellStyle name="Normal 2 2 2 2 9 5 3 4" xfId="23975" xr:uid="{00000000-0005-0000-0000-000077240000}"/>
    <cellStyle name="Normal 2 2 2 2 9 5 4" xfId="5417" xr:uid="{00000000-0005-0000-0000-000078240000}"/>
    <cellStyle name="Normal 2 2 2 2 9 5 4 2" xfId="14447" xr:uid="{00000000-0005-0000-0000-000079240000}"/>
    <cellStyle name="Normal 2 2 2 2 9 5 4 2 2" xfId="34499" xr:uid="{00000000-0005-0000-0000-00007A240000}"/>
    <cellStyle name="Normal 2 2 2 2 9 5 4 3" xfId="25469" xr:uid="{00000000-0005-0000-0000-00007B240000}"/>
    <cellStyle name="Normal 2 2 2 2 9 5 5" xfId="9965" xr:uid="{00000000-0005-0000-0000-00007C240000}"/>
    <cellStyle name="Normal 2 2 2 2 9 5 5 2" xfId="30017" xr:uid="{00000000-0005-0000-0000-00007D240000}"/>
    <cellStyle name="Normal 2 2 2 2 9 5 6" xfId="20987" xr:uid="{00000000-0005-0000-0000-00007E240000}"/>
    <cellStyle name="Normal 2 2 2 2 9 6" xfId="1684" xr:uid="{00000000-0005-0000-0000-00007F240000}"/>
    <cellStyle name="Normal 2 2 2 2 9 6 2" xfId="6166" xr:uid="{00000000-0005-0000-0000-000080240000}"/>
    <cellStyle name="Normal 2 2 2 2 9 6 2 2" xfId="15196" xr:uid="{00000000-0005-0000-0000-000081240000}"/>
    <cellStyle name="Normal 2 2 2 2 9 6 2 2 2" xfId="35248" xr:uid="{00000000-0005-0000-0000-000082240000}"/>
    <cellStyle name="Normal 2 2 2 2 9 6 2 3" xfId="26218" xr:uid="{00000000-0005-0000-0000-000083240000}"/>
    <cellStyle name="Normal 2 2 2 2 9 6 3" xfId="10714" xr:uid="{00000000-0005-0000-0000-000084240000}"/>
    <cellStyle name="Normal 2 2 2 2 9 6 3 2" xfId="30766" xr:uid="{00000000-0005-0000-0000-000085240000}"/>
    <cellStyle name="Normal 2 2 2 2 9 6 4" xfId="21736" xr:uid="{00000000-0005-0000-0000-000086240000}"/>
    <cellStyle name="Normal 2 2 2 2 9 7" xfId="3178" xr:uid="{00000000-0005-0000-0000-000087240000}"/>
    <cellStyle name="Normal 2 2 2 2 9 7 2" xfId="7660" xr:uid="{00000000-0005-0000-0000-000088240000}"/>
    <cellStyle name="Normal 2 2 2 2 9 7 2 2" xfId="16690" xr:uid="{00000000-0005-0000-0000-000089240000}"/>
    <cellStyle name="Normal 2 2 2 2 9 7 2 2 2" xfId="36742" xr:uid="{00000000-0005-0000-0000-00008A240000}"/>
    <cellStyle name="Normal 2 2 2 2 9 7 2 3" xfId="27712" xr:uid="{00000000-0005-0000-0000-00008B240000}"/>
    <cellStyle name="Normal 2 2 2 2 9 7 3" xfId="12208" xr:uid="{00000000-0005-0000-0000-00008C240000}"/>
    <cellStyle name="Normal 2 2 2 2 9 7 3 2" xfId="32260" xr:uid="{00000000-0005-0000-0000-00008D240000}"/>
    <cellStyle name="Normal 2 2 2 2 9 7 4" xfId="23230" xr:uid="{00000000-0005-0000-0000-00008E240000}"/>
    <cellStyle name="Normal 2 2 2 2 9 8" xfId="4672" xr:uid="{00000000-0005-0000-0000-00008F240000}"/>
    <cellStyle name="Normal 2 2 2 2 9 8 2" xfId="13702" xr:uid="{00000000-0005-0000-0000-000090240000}"/>
    <cellStyle name="Normal 2 2 2 2 9 8 2 2" xfId="33754" xr:uid="{00000000-0005-0000-0000-000091240000}"/>
    <cellStyle name="Normal 2 2 2 2 9 8 3" xfId="24724" xr:uid="{00000000-0005-0000-0000-000092240000}"/>
    <cellStyle name="Normal 2 2 2 2 9 9" xfId="9220" xr:uid="{00000000-0005-0000-0000-000093240000}"/>
    <cellStyle name="Normal 2 2 2 2 9 9 2" xfId="29272" xr:uid="{00000000-0005-0000-0000-000094240000}"/>
    <cellStyle name="Normal 2 2 2 3" xfId="29" xr:uid="{00000000-0005-0000-0000-000095240000}"/>
    <cellStyle name="Normal 2 2 2 3 10" xfId="401" xr:uid="{00000000-0005-0000-0000-000096240000}"/>
    <cellStyle name="Normal 2 2 2 3 10 2" xfId="1148" xr:uid="{00000000-0005-0000-0000-000097240000}"/>
    <cellStyle name="Normal 2 2 2 3 10 2 2" xfId="2642" xr:uid="{00000000-0005-0000-0000-000098240000}"/>
    <cellStyle name="Normal 2 2 2 3 10 2 2 2" xfId="7124" xr:uid="{00000000-0005-0000-0000-000099240000}"/>
    <cellStyle name="Normal 2 2 2 3 10 2 2 2 2" xfId="16154" xr:uid="{00000000-0005-0000-0000-00009A240000}"/>
    <cellStyle name="Normal 2 2 2 3 10 2 2 2 2 2" xfId="36206" xr:uid="{00000000-0005-0000-0000-00009B240000}"/>
    <cellStyle name="Normal 2 2 2 3 10 2 2 2 3" xfId="27176" xr:uid="{00000000-0005-0000-0000-00009C240000}"/>
    <cellStyle name="Normal 2 2 2 3 10 2 2 3" xfId="11672" xr:uid="{00000000-0005-0000-0000-00009D240000}"/>
    <cellStyle name="Normal 2 2 2 3 10 2 2 3 2" xfId="31724" xr:uid="{00000000-0005-0000-0000-00009E240000}"/>
    <cellStyle name="Normal 2 2 2 3 10 2 2 4" xfId="22694" xr:uid="{00000000-0005-0000-0000-00009F240000}"/>
    <cellStyle name="Normal 2 2 2 3 10 2 3" xfId="4136" xr:uid="{00000000-0005-0000-0000-0000A0240000}"/>
    <cellStyle name="Normal 2 2 2 3 10 2 3 2" xfId="8618" xr:uid="{00000000-0005-0000-0000-0000A1240000}"/>
    <cellStyle name="Normal 2 2 2 3 10 2 3 2 2" xfId="17648" xr:uid="{00000000-0005-0000-0000-0000A2240000}"/>
    <cellStyle name="Normal 2 2 2 3 10 2 3 2 2 2" xfId="37700" xr:uid="{00000000-0005-0000-0000-0000A3240000}"/>
    <cellStyle name="Normal 2 2 2 3 10 2 3 2 3" xfId="28670" xr:uid="{00000000-0005-0000-0000-0000A4240000}"/>
    <cellStyle name="Normal 2 2 2 3 10 2 3 3" xfId="13166" xr:uid="{00000000-0005-0000-0000-0000A5240000}"/>
    <cellStyle name="Normal 2 2 2 3 10 2 3 3 2" xfId="33218" xr:uid="{00000000-0005-0000-0000-0000A6240000}"/>
    <cellStyle name="Normal 2 2 2 3 10 2 3 4" xfId="24188" xr:uid="{00000000-0005-0000-0000-0000A7240000}"/>
    <cellStyle name="Normal 2 2 2 3 10 2 4" xfId="5630" xr:uid="{00000000-0005-0000-0000-0000A8240000}"/>
    <cellStyle name="Normal 2 2 2 3 10 2 4 2" xfId="14660" xr:uid="{00000000-0005-0000-0000-0000A9240000}"/>
    <cellStyle name="Normal 2 2 2 3 10 2 4 2 2" xfId="34712" xr:uid="{00000000-0005-0000-0000-0000AA240000}"/>
    <cellStyle name="Normal 2 2 2 3 10 2 4 3" xfId="25682" xr:uid="{00000000-0005-0000-0000-0000AB240000}"/>
    <cellStyle name="Normal 2 2 2 3 10 2 5" xfId="10178" xr:uid="{00000000-0005-0000-0000-0000AC240000}"/>
    <cellStyle name="Normal 2 2 2 3 10 2 5 2" xfId="30230" xr:uid="{00000000-0005-0000-0000-0000AD240000}"/>
    <cellStyle name="Normal 2 2 2 3 10 2 6" xfId="21200" xr:uid="{00000000-0005-0000-0000-0000AE240000}"/>
    <cellStyle name="Normal 2 2 2 3 10 3" xfId="1895" xr:uid="{00000000-0005-0000-0000-0000AF240000}"/>
    <cellStyle name="Normal 2 2 2 3 10 3 2" xfId="6377" xr:uid="{00000000-0005-0000-0000-0000B0240000}"/>
    <cellStyle name="Normal 2 2 2 3 10 3 2 2" xfId="15407" xr:uid="{00000000-0005-0000-0000-0000B1240000}"/>
    <cellStyle name="Normal 2 2 2 3 10 3 2 2 2" xfId="35459" xr:uid="{00000000-0005-0000-0000-0000B2240000}"/>
    <cellStyle name="Normal 2 2 2 3 10 3 2 3" xfId="26429" xr:uid="{00000000-0005-0000-0000-0000B3240000}"/>
    <cellStyle name="Normal 2 2 2 3 10 3 3" xfId="10925" xr:uid="{00000000-0005-0000-0000-0000B4240000}"/>
    <cellStyle name="Normal 2 2 2 3 10 3 3 2" xfId="30977" xr:uid="{00000000-0005-0000-0000-0000B5240000}"/>
    <cellStyle name="Normal 2 2 2 3 10 3 4" xfId="21947" xr:uid="{00000000-0005-0000-0000-0000B6240000}"/>
    <cellStyle name="Normal 2 2 2 3 10 4" xfId="3389" xr:uid="{00000000-0005-0000-0000-0000B7240000}"/>
    <cellStyle name="Normal 2 2 2 3 10 4 2" xfId="7871" xr:uid="{00000000-0005-0000-0000-0000B8240000}"/>
    <cellStyle name="Normal 2 2 2 3 10 4 2 2" xfId="16901" xr:uid="{00000000-0005-0000-0000-0000B9240000}"/>
    <cellStyle name="Normal 2 2 2 3 10 4 2 2 2" xfId="36953" xr:uid="{00000000-0005-0000-0000-0000BA240000}"/>
    <cellStyle name="Normal 2 2 2 3 10 4 2 3" xfId="27923" xr:uid="{00000000-0005-0000-0000-0000BB240000}"/>
    <cellStyle name="Normal 2 2 2 3 10 4 3" xfId="12419" xr:uid="{00000000-0005-0000-0000-0000BC240000}"/>
    <cellStyle name="Normal 2 2 2 3 10 4 3 2" xfId="32471" xr:uid="{00000000-0005-0000-0000-0000BD240000}"/>
    <cellStyle name="Normal 2 2 2 3 10 4 4" xfId="23441" xr:uid="{00000000-0005-0000-0000-0000BE240000}"/>
    <cellStyle name="Normal 2 2 2 3 10 5" xfId="4883" xr:uid="{00000000-0005-0000-0000-0000BF240000}"/>
    <cellStyle name="Normal 2 2 2 3 10 5 2" xfId="13913" xr:uid="{00000000-0005-0000-0000-0000C0240000}"/>
    <cellStyle name="Normal 2 2 2 3 10 5 2 2" xfId="33965" xr:uid="{00000000-0005-0000-0000-0000C1240000}"/>
    <cellStyle name="Normal 2 2 2 3 10 5 3" xfId="24935" xr:uid="{00000000-0005-0000-0000-0000C2240000}"/>
    <cellStyle name="Normal 2 2 2 3 10 6" xfId="9431" xr:uid="{00000000-0005-0000-0000-0000C3240000}"/>
    <cellStyle name="Normal 2 2 2 3 10 6 2" xfId="29483" xr:uid="{00000000-0005-0000-0000-0000C4240000}"/>
    <cellStyle name="Normal 2 2 2 3 10 7" xfId="20453" xr:uid="{00000000-0005-0000-0000-0000C5240000}"/>
    <cellStyle name="Normal 2 2 2 3 11" xfId="587" xr:uid="{00000000-0005-0000-0000-0000C6240000}"/>
    <cellStyle name="Normal 2 2 2 3 11 2" xfId="1334" xr:uid="{00000000-0005-0000-0000-0000C7240000}"/>
    <cellStyle name="Normal 2 2 2 3 11 2 2" xfId="2828" xr:uid="{00000000-0005-0000-0000-0000C8240000}"/>
    <cellStyle name="Normal 2 2 2 3 11 2 2 2" xfId="7310" xr:uid="{00000000-0005-0000-0000-0000C9240000}"/>
    <cellStyle name="Normal 2 2 2 3 11 2 2 2 2" xfId="16340" xr:uid="{00000000-0005-0000-0000-0000CA240000}"/>
    <cellStyle name="Normal 2 2 2 3 11 2 2 2 2 2" xfId="36392" xr:uid="{00000000-0005-0000-0000-0000CB240000}"/>
    <cellStyle name="Normal 2 2 2 3 11 2 2 2 3" xfId="27362" xr:uid="{00000000-0005-0000-0000-0000CC240000}"/>
    <cellStyle name="Normal 2 2 2 3 11 2 2 3" xfId="11858" xr:uid="{00000000-0005-0000-0000-0000CD240000}"/>
    <cellStyle name="Normal 2 2 2 3 11 2 2 3 2" xfId="31910" xr:uid="{00000000-0005-0000-0000-0000CE240000}"/>
    <cellStyle name="Normal 2 2 2 3 11 2 2 4" xfId="22880" xr:uid="{00000000-0005-0000-0000-0000CF240000}"/>
    <cellStyle name="Normal 2 2 2 3 11 2 3" xfId="4322" xr:uid="{00000000-0005-0000-0000-0000D0240000}"/>
    <cellStyle name="Normal 2 2 2 3 11 2 3 2" xfId="8804" xr:uid="{00000000-0005-0000-0000-0000D1240000}"/>
    <cellStyle name="Normal 2 2 2 3 11 2 3 2 2" xfId="17834" xr:uid="{00000000-0005-0000-0000-0000D2240000}"/>
    <cellStyle name="Normal 2 2 2 3 11 2 3 2 2 2" xfId="37886" xr:uid="{00000000-0005-0000-0000-0000D3240000}"/>
    <cellStyle name="Normal 2 2 2 3 11 2 3 2 3" xfId="28856" xr:uid="{00000000-0005-0000-0000-0000D4240000}"/>
    <cellStyle name="Normal 2 2 2 3 11 2 3 3" xfId="13352" xr:uid="{00000000-0005-0000-0000-0000D5240000}"/>
    <cellStyle name="Normal 2 2 2 3 11 2 3 3 2" xfId="33404" xr:uid="{00000000-0005-0000-0000-0000D6240000}"/>
    <cellStyle name="Normal 2 2 2 3 11 2 3 4" xfId="24374" xr:uid="{00000000-0005-0000-0000-0000D7240000}"/>
    <cellStyle name="Normal 2 2 2 3 11 2 4" xfId="5816" xr:uid="{00000000-0005-0000-0000-0000D8240000}"/>
    <cellStyle name="Normal 2 2 2 3 11 2 4 2" xfId="14846" xr:uid="{00000000-0005-0000-0000-0000D9240000}"/>
    <cellStyle name="Normal 2 2 2 3 11 2 4 2 2" xfId="34898" xr:uid="{00000000-0005-0000-0000-0000DA240000}"/>
    <cellStyle name="Normal 2 2 2 3 11 2 4 3" xfId="25868" xr:uid="{00000000-0005-0000-0000-0000DB240000}"/>
    <cellStyle name="Normal 2 2 2 3 11 2 5" xfId="10364" xr:uid="{00000000-0005-0000-0000-0000DC240000}"/>
    <cellStyle name="Normal 2 2 2 3 11 2 5 2" xfId="30416" xr:uid="{00000000-0005-0000-0000-0000DD240000}"/>
    <cellStyle name="Normal 2 2 2 3 11 2 6" xfId="21386" xr:uid="{00000000-0005-0000-0000-0000DE240000}"/>
    <cellStyle name="Normal 2 2 2 3 11 3" xfId="2081" xr:uid="{00000000-0005-0000-0000-0000DF240000}"/>
    <cellStyle name="Normal 2 2 2 3 11 3 2" xfId="6563" xr:uid="{00000000-0005-0000-0000-0000E0240000}"/>
    <cellStyle name="Normal 2 2 2 3 11 3 2 2" xfId="15593" xr:uid="{00000000-0005-0000-0000-0000E1240000}"/>
    <cellStyle name="Normal 2 2 2 3 11 3 2 2 2" xfId="35645" xr:uid="{00000000-0005-0000-0000-0000E2240000}"/>
    <cellStyle name="Normal 2 2 2 3 11 3 2 3" xfId="26615" xr:uid="{00000000-0005-0000-0000-0000E3240000}"/>
    <cellStyle name="Normal 2 2 2 3 11 3 3" xfId="11111" xr:uid="{00000000-0005-0000-0000-0000E4240000}"/>
    <cellStyle name="Normal 2 2 2 3 11 3 3 2" xfId="31163" xr:uid="{00000000-0005-0000-0000-0000E5240000}"/>
    <cellStyle name="Normal 2 2 2 3 11 3 4" xfId="22133" xr:uid="{00000000-0005-0000-0000-0000E6240000}"/>
    <cellStyle name="Normal 2 2 2 3 11 4" xfId="3575" xr:uid="{00000000-0005-0000-0000-0000E7240000}"/>
    <cellStyle name="Normal 2 2 2 3 11 4 2" xfId="8057" xr:uid="{00000000-0005-0000-0000-0000E8240000}"/>
    <cellStyle name="Normal 2 2 2 3 11 4 2 2" xfId="17087" xr:uid="{00000000-0005-0000-0000-0000E9240000}"/>
    <cellStyle name="Normal 2 2 2 3 11 4 2 2 2" xfId="37139" xr:uid="{00000000-0005-0000-0000-0000EA240000}"/>
    <cellStyle name="Normal 2 2 2 3 11 4 2 3" xfId="28109" xr:uid="{00000000-0005-0000-0000-0000EB240000}"/>
    <cellStyle name="Normal 2 2 2 3 11 4 3" xfId="12605" xr:uid="{00000000-0005-0000-0000-0000EC240000}"/>
    <cellStyle name="Normal 2 2 2 3 11 4 3 2" xfId="32657" xr:uid="{00000000-0005-0000-0000-0000ED240000}"/>
    <cellStyle name="Normal 2 2 2 3 11 4 4" xfId="23627" xr:uid="{00000000-0005-0000-0000-0000EE240000}"/>
    <cellStyle name="Normal 2 2 2 3 11 5" xfId="5069" xr:uid="{00000000-0005-0000-0000-0000EF240000}"/>
    <cellStyle name="Normal 2 2 2 3 11 5 2" xfId="14099" xr:uid="{00000000-0005-0000-0000-0000F0240000}"/>
    <cellStyle name="Normal 2 2 2 3 11 5 2 2" xfId="34151" xr:uid="{00000000-0005-0000-0000-0000F1240000}"/>
    <cellStyle name="Normal 2 2 2 3 11 5 3" xfId="25121" xr:uid="{00000000-0005-0000-0000-0000F2240000}"/>
    <cellStyle name="Normal 2 2 2 3 11 6" xfId="9617" xr:uid="{00000000-0005-0000-0000-0000F3240000}"/>
    <cellStyle name="Normal 2 2 2 3 11 6 2" xfId="29669" xr:uid="{00000000-0005-0000-0000-0000F4240000}"/>
    <cellStyle name="Normal 2 2 2 3 11 7" xfId="20639" xr:uid="{00000000-0005-0000-0000-0000F5240000}"/>
    <cellStyle name="Normal 2 2 2 3 12" xfId="774" xr:uid="{00000000-0005-0000-0000-0000F6240000}"/>
    <cellStyle name="Normal 2 2 2 3 12 2" xfId="2268" xr:uid="{00000000-0005-0000-0000-0000F7240000}"/>
    <cellStyle name="Normal 2 2 2 3 12 2 2" xfId="6750" xr:uid="{00000000-0005-0000-0000-0000F8240000}"/>
    <cellStyle name="Normal 2 2 2 3 12 2 2 2" xfId="15780" xr:uid="{00000000-0005-0000-0000-0000F9240000}"/>
    <cellStyle name="Normal 2 2 2 3 12 2 2 2 2" xfId="35832" xr:uid="{00000000-0005-0000-0000-0000FA240000}"/>
    <cellStyle name="Normal 2 2 2 3 12 2 2 3" xfId="26802" xr:uid="{00000000-0005-0000-0000-0000FB240000}"/>
    <cellStyle name="Normal 2 2 2 3 12 2 3" xfId="11298" xr:uid="{00000000-0005-0000-0000-0000FC240000}"/>
    <cellStyle name="Normal 2 2 2 3 12 2 3 2" xfId="31350" xr:uid="{00000000-0005-0000-0000-0000FD240000}"/>
    <cellStyle name="Normal 2 2 2 3 12 2 4" xfId="22320" xr:uid="{00000000-0005-0000-0000-0000FE240000}"/>
    <cellStyle name="Normal 2 2 2 3 12 3" xfId="3762" xr:uid="{00000000-0005-0000-0000-0000FF240000}"/>
    <cellStyle name="Normal 2 2 2 3 12 3 2" xfId="8244" xr:uid="{00000000-0005-0000-0000-000000250000}"/>
    <cellStyle name="Normal 2 2 2 3 12 3 2 2" xfId="17274" xr:uid="{00000000-0005-0000-0000-000001250000}"/>
    <cellStyle name="Normal 2 2 2 3 12 3 2 2 2" xfId="37326" xr:uid="{00000000-0005-0000-0000-000002250000}"/>
    <cellStyle name="Normal 2 2 2 3 12 3 2 3" xfId="28296" xr:uid="{00000000-0005-0000-0000-000003250000}"/>
    <cellStyle name="Normal 2 2 2 3 12 3 3" xfId="12792" xr:uid="{00000000-0005-0000-0000-000004250000}"/>
    <cellStyle name="Normal 2 2 2 3 12 3 3 2" xfId="32844" xr:uid="{00000000-0005-0000-0000-000005250000}"/>
    <cellStyle name="Normal 2 2 2 3 12 3 4" xfId="23814" xr:uid="{00000000-0005-0000-0000-000006250000}"/>
    <cellStyle name="Normal 2 2 2 3 12 4" xfId="5256" xr:uid="{00000000-0005-0000-0000-000007250000}"/>
    <cellStyle name="Normal 2 2 2 3 12 4 2" xfId="14286" xr:uid="{00000000-0005-0000-0000-000008250000}"/>
    <cellStyle name="Normal 2 2 2 3 12 4 2 2" xfId="34338" xr:uid="{00000000-0005-0000-0000-000009250000}"/>
    <cellStyle name="Normal 2 2 2 3 12 4 3" xfId="25308" xr:uid="{00000000-0005-0000-0000-00000A250000}"/>
    <cellStyle name="Normal 2 2 2 3 12 5" xfId="9804" xr:uid="{00000000-0005-0000-0000-00000B250000}"/>
    <cellStyle name="Normal 2 2 2 3 12 5 2" xfId="29856" xr:uid="{00000000-0005-0000-0000-00000C250000}"/>
    <cellStyle name="Normal 2 2 2 3 12 6" xfId="20826" xr:uid="{00000000-0005-0000-0000-00000D250000}"/>
    <cellStyle name="Normal 2 2 2 3 13" xfId="1523" xr:uid="{00000000-0005-0000-0000-00000E250000}"/>
    <cellStyle name="Normal 2 2 2 3 13 2" xfId="6005" xr:uid="{00000000-0005-0000-0000-00000F250000}"/>
    <cellStyle name="Normal 2 2 2 3 13 2 2" xfId="15035" xr:uid="{00000000-0005-0000-0000-000010250000}"/>
    <cellStyle name="Normal 2 2 2 3 13 2 2 2" xfId="35087" xr:uid="{00000000-0005-0000-0000-000011250000}"/>
    <cellStyle name="Normal 2 2 2 3 13 2 3" xfId="26057" xr:uid="{00000000-0005-0000-0000-000012250000}"/>
    <cellStyle name="Normal 2 2 2 3 13 3" xfId="10553" xr:uid="{00000000-0005-0000-0000-000013250000}"/>
    <cellStyle name="Normal 2 2 2 3 13 3 2" xfId="30605" xr:uid="{00000000-0005-0000-0000-000014250000}"/>
    <cellStyle name="Normal 2 2 2 3 13 4" xfId="21575" xr:uid="{00000000-0005-0000-0000-000015250000}"/>
    <cellStyle name="Normal 2 2 2 3 14" xfId="3017" xr:uid="{00000000-0005-0000-0000-000016250000}"/>
    <cellStyle name="Normal 2 2 2 3 14 2" xfId="7499" xr:uid="{00000000-0005-0000-0000-000017250000}"/>
    <cellStyle name="Normal 2 2 2 3 14 2 2" xfId="16529" xr:uid="{00000000-0005-0000-0000-000018250000}"/>
    <cellStyle name="Normal 2 2 2 3 14 2 2 2" xfId="36581" xr:uid="{00000000-0005-0000-0000-000019250000}"/>
    <cellStyle name="Normal 2 2 2 3 14 2 3" xfId="27551" xr:uid="{00000000-0005-0000-0000-00001A250000}"/>
    <cellStyle name="Normal 2 2 2 3 14 3" xfId="12047" xr:uid="{00000000-0005-0000-0000-00001B250000}"/>
    <cellStyle name="Normal 2 2 2 3 14 3 2" xfId="32099" xr:uid="{00000000-0005-0000-0000-00001C250000}"/>
    <cellStyle name="Normal 2 2 2 3 14 4" xfId="23069" xr:uid="{00000000-0005-0000-0000-00001D250000}"/>
    <cellStyle name="Normal 2 2 2 3 15" xfId="4511" xr:uid="{00000000-0005-0000-0000-00001E250000}"/>
    <cellStyle name="Normal 2 2 2 3 15 2" xfId="13541" xr:uid="{00000000-0005-0000-0000-00001F250000}"/>
    <cellStyle name="Normal 2 2 2 3 15 2 2" xfId="33593" xr:uid="{00000000-0005-0000-0000-000020250000}"/>
    <cellStyle name="Normal 2 2 2 3 15 3" xfId="24563" xr:uid="{00000000-0005-0000-0000-000021250000}"/>
    <cellStyle name="Normal 2 2 2 3 16" xfId="9059" xr:uid="{00000000-0005-0000-0000-000022250000}"/>
    <cellStyle name="Normal 2 2 2 3 16 2" xfId="29111" xr:uid="{00000000-0005-0000-0000-000023250000}"/>
    <cellStyle name="Normal 2 2 2 3 17" xfId="20081" xr:uid="{00000000-0005-0000-0000-000024250000}"/>
    <cellStyle name="Normal 2 2 2 3 2" xfId="52" xr:uid="{00000000-0005-0000-0000-000025250000}"/>
    <cellStyle name="Normal 2 2 2 3 2 10" xfId="20104" xr:uid="{00000000-0005-0000-0000-000026250000}"/>
    <cellStyle name="Normal 2 2 2 3 2 2" xfId="238" xr:uid="{00000000-0005-0000-0000-000027250000}"/>
    <cellStyle name="Normal 2 2 2 3 2 2 2" xfId="983" xr:uid="{00000000-0005-0000-0000-000028250000}"/>
    <cellStyle name="Normal 2 2 2 3 2 2 2 2" xfId="2477" xr:uid="{00000000-0005-0000-0000-000029250000}"/>
    <cellStyle name="Normal 2 2 2 3 2 2 2 2 2" xfId="6959" xr:uid="{00000000-0005-0000-0000-00002A250000}"/>
    <cellStyle name="Normal 2 2 2 3 2 2 2 2 2 2" xfId="15989" xr:uid="{00000000-0005-0000-0000-00002B250000}"/>
    <cellStyle name="Normal 2 2 2 3 2 2 2 2 2 2 2" xfId="36041" xr:uid="{00000000-0005-0000-0000-00002C250000}"/>
    <cellStyle name="Normal 2 2 2 3 2 2 2 2 2 3" xfId="27011" xr:uid="{00000000-0005-0000-0000-00002D250000}"/>
    <cellStyle name="Normal 2 2 2 3 2 2 2 2 3" xfId="11507" xr:uid="{00000000-0005-0000-0000-00002E250000}"/>
    <cellStyle name="Normal 2 2 2 3 2 2 2 2 3 2" xfId="31559" xr:uid="{00000000-0005-0000-0000-00002F250000}"/>
    <cellStyle name="Normal 2 2 2 3 2 2 2 2 4" xfId="22529" xr:uid="{00000000-0005-0000-0000-000030250000}"/>
    <cellStyle name="Normal 2 2 2 3 2 2 2 3" xfId="3971" xr:uid="{00000000-0005-0000-0000-000031250000}"/>
    <cellStyle name="Normal 2 2 2 3 2 2 2 3 2" xfId="8453" xr:uid="{00000000-0005-0000-0000-000032250000}"/>
    <cellStyle name="Normal 2 2 2 3 2 2 2 3 2 2" xfId="17483" xr:uid="{00000000-0005-0000-0000-000033250000}"/>
    <cellStyle name="Normal 2 2 2 3 2 2 2 3 2 2 2" xfId="37535" xr:uid="{00000000-0005-0000-0000-000034250000}"/>
    <cellStyle name="Normal 2 2 2 3 2 2 2 3 2 3" xfId="28505" xr:uid="{00000000-0005-0000-0000-000035250000}"/>
    <cellStyle name="Normal 2 2 2 3 2 2 2 3 3" xfId="13001" xr:uid="{00000000-0005-0000-0000-000036250000}"/>
    <cellStyle name="Normal 2 2 2 3 2 2 2 3 3 2" xfId="33053" xr:uid="{00000000-0005-0000-0000-000037250000}"/>
    <cellStyle name="Normal 2 2 2 3 2 2 2 3 4" xfId="24023" xr:uid="{00000000-0005-0000-0000-000038250000}"/>
    <cellStyle name="Normal 2 2 2 3 2 2 2 4" xfId="5465" xr:uid="{00000000-0005-0000-0000-000039250000}"/>
    <cellStyle name="Normal 2 2 2 3 2 2 2 4 2" xfId="14495" xr:uid="{00000000-0005-0000-0000-00003A250000}"/>
    <cellStyle name="Normal 2 2 2 3 2 2 2 4 2 2" xfId="34547" xr:uid="{00000000-0005-0000-0000-00003B250000}"/>
    <cellStyle name="Normal 2 2 2 3 2 2 2 4 3" xfId="25517" xr:uid="{00000000-0005-0000-0000-00003C250000}"/>
    <cellStyle name="Normal 2 2 2 3 2 2 2 5" xfId="10013" xr:uid="{00000000-0005-0000-0000-00003D250000}"/>
    <cellStyle name="Normal 2 2 2 3 2 2 2 5 2" xfId="30065" xr:uid="{00000000-0005-0000-0000-00003E250000}"/>
    <cellStyle name="Normal 2 2 2 3 2 2 2 6" xfId="21035" xr:uid="{00000000-0005-0000-0000-00003F250000}"/>
    <cellStyle name="Normal 2 2 2 3 2 2 3" xfId="1732" xr:uid="{00000000-0005-0000-0000-000040250000}"/>
    <cellStyle name="Normal 2 2 2 3 2 2 3 2" xfId="6214" xr:uid="{00000000-0005-0000-0000-000041250000}"/>
    <cellStyle name="Normal 2 2 2 3 2 2 3 2 2" xfId="15244" xr:uid="{00000000-0005-0000-0000-000042250000}"/>
    <cellStyle name="Normal 2 2 2 3 2 2 3 2 2 2" xfId="35296" xr:uid="{00000000-0005-0000-0000-000043250000}"/>
    <cellStyle name="Normal 2 2 2 3 2 2 3 2 3" xfId="26266" xr:uid="{00000000-0005-0000-0000-000044250000}"/>
    <cellStyle name="Normal 2 2 2 3 2 2 3 3" xfId="10762" xr:uid="{00000000-0005-0000-0000-000045250000}"/>
    <cellStyle name="Normal 2 2 2 3 2 2 3 3 2" xfId="30814" xr:uid="{00000000-0005-0000-0000-000046250000}"/>
    <cellStyle name="Normal 2 2 2 3 2 2 3 4" xfId="21784" xr:uid="{00000000-0005-0000-0000-000047250000}"/>
    <cellStyle name="Normal 2 2 2 3 2 2 4" xfId="3226" xr:uid="{00000000-0005-0000-0000-000048250000}"/>
    <cellStyle name="Normal 2 2 2 3 2 2 4 2" xfId="7708" xr:uid="{00000000-0005-0000-0000-000049250000}"/>
    <cellStyle name="Normal 2 2 2 3 2 2 4 2 2" xfId="16738" xr:uid="{00000000-0005-0000-0000-00004A250000}"/>
    <cellStyle name="Normal 2 2 2 3 2 2 4 2 2 2" xfId="36790" xr:uid="{00000000-0005-0000-0000-00004B250000}"/>
    <cellStyle name="Normal 2 2 2 3 2 2 4 2 3" xfId="27760" xr:uid="{00000000-0005-0000-0000-00004C250000}"/>
    <cellStyle name="Normal 2 2 2 3 2 2 4 3" xfId="12256" xr:uid="{00000000-0005-0000-0000-00004D250000}"/>
    <cellStyle name="Normal 2 2 2 3 2 2 4 3 2" xfId="32308" xr:uid="{00000000-0005-0000-0000-00004E250000}"/>
    <cellStyle name="Normal 2 2 2 3 2 2 4 4" xfId="23278" xr:uid="{00000000-0005-0000-0000-00004F250000}"/>
    <cellStyle name="Normal 2 2 2 3 2 2 5" xfId="4720" xr:uid="{00000000-0005-0000-0000-000050250000}"/>
    <cellStyle name="Normal 2 2 2 3 2 2 5 2" xfId="13750" xr:uid="{00000000-0005-0000-0000-000051250000}"/>
    <cellStyle name="Normal 2 2 2 3 2 2 5 2 2" xfId="33802" xr:uid="{00000000-0005-0000-0000-000052250000}"/>
    <cellStyle name="Normal 2 2 2 3 2 2 5 3" xfId="24772" xr:uid="{00000000-0005-0000-0000-000053250000}"/>
    <cellStyle name="Normal 2 2 2 3 2 2 6" xfId="9268" xr:uid="{00000000-0005-0000-0000-000054250000}"/>
    <cellStyle name="Normal 2 2 2 3 2 2 6 2" xfId="29320" xr:uid="{00000000-0005-0000-0000-000055250000}"/>
    <cellStyle name="Normal 2 2 2 3 2 2 7" xfId="20290" xr:uid="{00000000-0005-0000-0000-000056250000}"/>
    <cellStyle name="Normal 2 2 2 3 2 3" xfId="424" xr:uid="{00000000-0005-0000-0000-000057250000}"/>
    <cellStyle name="Normal 2 2 2 3 2 3 2" xfId="1171" xr:uid="{00000000-0005-0000-0000-000058250000}"/>
    <cellStyle name="Normal 2 2 2 3 2 3 2 2" xfId="2665" xr:uid="{00000000-0005-0000-0000-000059250000}"/>
    <cellStyle name="Normal 2 2 2 3 2 3 2 2 2" xfId="7147" xr:uid="{00000000-0005-0000-0000-00005A250000}"/>
    <cellStyle name="Normal 2 2 2 3 2 3 2 2 2 2" xfId="16177" xr:uid="{00000000-0005-0000-0000-00005B250000}"/>
    <cellStyle name="Normal 2 2 2 3 2 3 2 2 2 2 2" xfId="36229" xr:uid="{00000000-0005-0000-0000-00005C250000}"/>
    <cellStyle name="Normal 2 2 2 3 2 3 2 2 2 3" xfId="27199" xr:uid="{00000000-0005-0000-0000-00005D250000}"/>
    <cellStyle name="Normal 2 2 2 3 2 3 2 2 3" xfId="11695" xr:uid="{00000000-0005-0000-0000-00005E250000}"/>
    <cellStyle name="Normal 2 2 2 3 2 3 2 2 3 2" xfId="31747" xr:uid="{00000000-0005-0000-0000-00005F250000}"/>
    <cellStyle name="Normal 2 2 2 3 2 3 2 2 4" xfId="22717" xr:uid="{00000000-0005-0000-0000-000060250000}"/>
    <cellStyle name="Normal 2 2 2 3 2 3 2 3" xfId="4159" xr:uid="{00000000-0005-0000-0000-000061250000}"/>
    <cellStyle name="Normal 2 2 2 3 2 3 2 3 2" xfId="8641" xr:uid="{00000000-0005-0000-0000-000062250000}"/>
    <cellStyle name="Normal 2 2 2 3 2 3 2 3 2 2" xfId="17671" xr:uid="{00000000-0005-0000-0000-000063250000}"/>
    <cellStyle name="Normal 2 2 2 3 2 3 2 3 2 2 2" xfId="37723" xr:uid="{00000000-0005-0000-0000-000064250000}"/>
    <cellStyle name="Normal 2 2 2 3 2 3 2 3 2 3" xfId="28693" xr:uid="{00000000-0005-0000-0000-000065250000}"/>
    <cellStyle name="Normal 2 2 2 3 2 3 2 3 3" xfId="13189" xr:uid="{00000000-0005-0000-0000-000066250000}"/>
    <cellStyle name="Normal 2 2 2 3 2 3 2 3 3 2" xfId="33241" xr:uid="{00000000-0005-0000-0000-000067250000}"/>
    <cellStyle name="Normal 2 2 2 3 2 3 2 3 4" xfId="24211" xr:uid="{00000000-0005-0000-0000-000068250000}"/>
    <cellStyle name="Normal 2 2 2 3 2 3 2 4" xfId="5653" xr:uid="{00000000-0005-0000-0000-000069250000}"/>
    <cellStyle name="Normal 2 2 2 3 2 3 2 4 2" xfId="14683" xr:uid="{00000000-0005-0000-0000-00006A250000}"/>
    <cellStyle name="Normal 2 2 2 3 2 3 2 4 2 2" xfId="34735" xr:uid="{00000000-0005-0000-0000-00006B250000}"/>
    <cellStyle name="Normal 2 2 2 3 2 3 2 4 3" xfId="25705" xr:uid="{00000000-0005-0000-0000-00006C250000}"/>
    <cellStyle name="Normal 2 2 2 3 2 3 2 5" xfId="10201" xr:uid="{00000000-0005-0000-0000-00006D250000}"/>
    <cellStyle name="Normal 2 2 2 3 2 3 2 5 2" xfId="30253" xr:uid="{00000000-0005-0000-0000-00006E250000}"/>
    <cellStyle name="Normal 2 2 2 3 2 3 2 6" xfId="21223" xr:uid="{00000000-0005-0000-0000-00006F250000}"/>
    <cellStyle name="Normal 2 2 2 3 2 3 3" xfId="1918" xr:uid="{00000000-0005-0000-0000-000070250000}"/>
    <cellStyle name="Normal 2 2 2 3 2 3 3 2" xfId="6400" xr:uid="{00000000-0005-0000-0000-000071250000}"/>
    <cellStyle name="Normal 2 2 2 3 2 3 3 2 2" xfId="15430" xr:uid="{00000000-0005-0000-0000-000072250000}"/>
    <cellStyle name="Normal 2 2 2 3 2 3 3 2 2 2" xfId="35482" xr:uid="{00000000-0005-0000-0000-000073250000}"/>
    <cellStyle name="Normal 2 2 2 3 2 3 3 2 3" xfId="26452" xr:uid="{00000000-0005-0000-0000-000074250000}"/>
    <cellStyle name="Normal 2 2 2 3 2 3 3 3" xfId="10948" xr:uid="{00000000-0005-0000-0000-000075250000}"/>
    <cellStyle name="Normal 2 2 2 3 2 3 3 3 2" xfId="31000" xr:uid="{00000000-0005-0000-0000-000076250000}"/>
    <cellStyle name="Normal 2 2 2 3 2 3 3 4" xfId="21970" xr:uid="{00000000-0005-0000-0000-000077250000}"/>
    <cellStyle name="Normal 2 2 2 3 2 3 4" xfId="3412" xr:uid="{00000000-0005-0000-0000-000078250000}"/>
    <cellStyle name="Normal 2 2 2 3 2 3 4 2" xfId="7894" xr:uid="{00000000-0005-0000-0000-000079250000}"/>
    <cellStyle name="Normal 2 2 2 3 2 3 4 2 2" xfId="16924" xr:uid="{00000000-0005-0000-0000-00007A250000}"/>
    <cellStyle name="Normal 2 2 2 3 2 3 4 2 2 2" xfId="36976" xr:uid="{00000000-0005-0000-0000-00007B250000}"/>
    <cellStyle name="Normal 2 2 2 3 2 3 4 2 3" xfId="27946" xr:uid="{00000000-0005-0000-0000-00007C250000}"/>
    <cellStyle name="Normal 2 2 2 3 2 3 4 3" xfId="12442" xr:uid="{00000000-0005-0000-0000-00007D250000}"/>
    <cellStyle name="Normal 2 2 2 3 2 3 4 3 2" xfId="32494" xr:uid="{00000000-0005-0000-0000-00007E250000}"/>
    <cellStyle name="Normal 2 2 2 3 2 3 4 4" xfId="23464" xr:uid="{00000000-0005-0000-0000-00007F250000}"/>
    <cellStyle name="Normal 2 2 2 3 2 3 5" xfId="4906" xr:uid="{00000000-0005-0000-0000-000080250000}"/>
    <cellStyle name="Normal 2 2 2 3 2 3 5 2" xfId="13936" xr:uid="{00000000-0005-0000-0000-000081250000}"/>
    <cellStyle name="Normal 2 2 2 3 2 3 5 2 2" xfId="33988" xr:uid="{00000000-0005-0000-0000-000082250000}"/>
    <cellStyle name="Normal 2 2 2 3 2 3 5 3" xfId="24958" xr:uid="{00000000-0005-0000-0000-000083250000}"/>
    <cellStyle name="Normal 2 2 2 3 2 3 6" xfId="9454" xr:uid="{00000000-0005-0000-0000-000084250000}"/>
    <cellStyle name="Normal 2 2 2 3 2 3 6 2" xfId="29506" xr:uid="{00000000-0005-0000-0000-000085250000}"/>
    <cellStyle name="Normal 2 2 2 3 2 3 7" xfId="20476" xr:uid="{00000000-0005-0000-0000-000086250000}"/>
    <cellStyle name="Normal 2 2 2 3 2 4" xfId="610" xr:uid="{00000000-0005-0000-0000-000087250000}"/>
    <cellStyle name="Normal 2 2 2 3 2 4 2" xfId="1357" xr:uid="{00000000-0005-0000-0000-000088250000}"/>
    <cellStyle name="Normal 2 2 2 3 2 4 2 2" xfId="2851" xr:uid="{00000000-0005-0000-0000-000089250000}"/>
    <cellStyle name="Normal 2 2 2 3 2 4 2 2 2" xfId="7333" xr:uid="{00000000-0005-0000-0000-00008A250000}"/>
    <cellStyle name="Normal 2 2 2 3 2 4 2 2 2 2" xfId="16363" xr:uid="{00000000-0005-0000-0000-00008B250000}"/>
    <cellStyle name="Normal 2 2 2 3 2 4 2 2 2 2 2" xfId="36415" xr:uid="{00000000-0005-0000-0000-00008C250000}"/>
    <cellStyle name="Normal 2 2 2 3 2 4 2 2 2 3" xfId="27385" xr:uid="{00000000-0005-0000-0000-00008D250000}"/>
    <cellStyle name="Normal 2 2 2 3 2 4 2 2 3" xfId="11881" xr:uid="{00000000-0005-0000-0000-00008E250000}"/>
    <cellStyle name="Normal 2 2 2 3 2 4 2 2 3 2" xfId="31933" xr:uid="{00000000-0005-0000-0000-00008F250000}"/>
    <cellStyle name="Normal 2 2 2 3 2 4 2 2 4" xfId="22903" xr:uid="{00000000-0005-0000-0000-000090250000}"/>
    <cellStyle name="Normal 2 2 2 3 2 4 2 3" xfId="4345" xr:uid="{00000000-0005-0000-0000-000091250000}"/>
    <cellStyle name="Normal 2 2 2 3 2 4 2 3 2" xfId="8827" xr:uid="{00000000-0005-0000-0000-000092250000}"/>
    <cellStyle name="Normal 2 2 2 3 2 4 2 3 2 2" xfId="17857" xr:uid="{00000000-0005-0000-0000-000093250000}"/>
    <cellStyle name="Normal 2 2 2 3 2 4 2 3 2 2 2" xfId="37909" xr:uid="{00000000-0005-0000-0000-000094250000}"/>
    <cellStyle name="Normal 2 2 2 3 2 4 2 3 2 3" xfId="28879" xr:uid="{00000000-0005-0000-0000-000095250000}"/>
    <cellStyle name="Normal 2 2 2 3 2 4 2 3 3" xfId="13375" xr:uid="{00000000-0005-0000-0000-000096250000}"/>
    <cellStyle name="Normal 2 2 2 3 2 4 2 3 3 2" xfId="33427" xr:uid="{00000000-0005-0000-0000-000097250000}"/>
    <cellStyle name="Normal 2 2 2 3 2 4 2 3 4" xfId="24397" xr:uid="{00000000-0005-0000-0000-000098250000}"/>
    <cellStyle name="Normal 2 2 2 3 2 4 2 4" xfId="5839" xr:uid="{00000000-0005-0000-0000-000099250000}"/>
    <cellStyle name="Normal 2 2 2 3 2 4 2 4 2" xfId="14869" xr:uid="{00000000-0005-0000-0000-00009A250000}"/>
    <cellStyle name="Normal 2 2 2 3 2 4 2 4 2 2" xfId="34921" xr:uid="{00000000-0005-0000-0000-00009B250000}"/>
    <cellStyle name="Normal 2 2 2 3 2 4 2 4 3" xfId="25891" xr:uid="{00000000-0005-0000-0000-00009C250000}"/>
    <cellStyle name="Normal 2 2 2 3 2 4 2 5" xfId="10387" xr:uid="{00000000-0005-0000-0000-00009D250000}"/>
    <cellStyle name="Normal 2 2 2 3 2 4 2 5 2" xfId="30439" xr:uid="{00000000-0005-0000-0000-00009E250000}"/>
    <cellStyle name="Normal 2 2 2 3 2 4 2 6" xfId="21409" xr:uid="{00000000-0005-0000-0000-00009F250000}"/>
    <cellStyle name="Normal 2 2 2 3 2 4 3" xfId="2104" xr:uid="{00000000-0005-0000-0000-0000A0250000}"/>
    <cellStyle name="Normal 2 2 2 3 2 4 3 2" xfId="6586" xr:uid="{00000000-0005-0000-0000-0000A1250000}"/>
    <cellStyle name="Normal 2 2 2 3 2 4 3 2 2" xfId="15616" xr:uid="{00000000-0005-0000-0000-0000A2250000}"/>
    <cellStyle name="Normal 2 2 2 3 2 4 3 2 2 2" xfId="35668" xr:uid="{00000000-0005-0000-0000-0000A3250000}"/>
    <cellStyle name="Normal 2 2 2 3 2 4 3 2 3" xfId="26638" xr:uid="{00000000-0005-0000-0000-0000A4250000}"/>
    <cellStyle name="Normal 2 2 2 3 2 4 3 3" xfId="11134" xr:uid="{00000000-0005-0000-0000-0000A5250000}"/>
    <cellStyle name="Normal 2 2 2 3 2 4 3 3 2" xfId="31186" xr:uid="{00000000-0005-0000-0000-0000A6250000}"/>
    <cellStyle name="Normal 2 2 2 3 2 4 3 4" xfId="22156" xr:uid="{00000000-0005-0000-0000-0000A7250000}"/>
    <cellStyle name="Normal 2 2 2 3 2 4 4" xfId="3598" xr:uid="{00000000-0005-0000-0000-0000A8250000}"/>
    <cellStyle name="Normal 2 2 2 3 2 4 4 2" xfId="8080" xr:uid="{00000000-0005-0000-0000-0000A9250000}"/>
    <cellStyle name="Normal 2 2 2 3 2 4 4 2 2" xfId="17110" xr:uid="{00000000-0005-0000-0000-0000AA250000}"/>
    <cellStyle name="Normal 2 2 2 3 2 4 4 2 2 2" xfId="37162" xr:uid="{00000000-0005-0000-0000-0000AB250000}"/>
    <cellStyle name="Normal 2 2 2 3 2 4 4 2 3" xfId="28132" xr:uid="{00000000-0005-0000-0000-0000AC250000}"/>
    <cellStyle name="Normal 2 2 2 3 2 4 4 3" xfId="12628" xr:uid="{00000000-0005-0000-0000-0000AD250000}"/>
    <cellStyle name="Normal 2 2 2 3 2 4 4 3 2" xfId="32680" xr:uid="{00000000-0005-0000-0000-0000AE250000}"/>
    <cellStyle name="Normal 2 2 2 3 2 4 4 4" xfId="23650" xr:uid="{00000000-0005-0000-0000-0000AF250000}"/>
    <cellStyle name="Normal 2 2 2 3 2 4 5" xfId="5092" xr:uid="{00000000-0005-0000-0000-0000B0250000}"/>
    <cellStyle name="Normal 2 2 2 3 2 4 5 2" xfId="14122" xr:uid="{00000000-0005-0000-0000-0000B1250000}"/>
    <cellStyle name="Normal 2 2 2 3 2 4 5 2 2" xfId="34174" xr:uid="{00000000-0005-0000-0000-0000B2250000}"/>
    <cellStyle name="Normal 2 2 2 3 2 4 5 3" xfId="25144" xr:uid="{00000000-0005-0000-0000-0000B3250000}"/>
    <cellStyle name="Normal 2 2 2 3 2 4 6" xfId="9640" xr:uid="{00000000-0005-0000-0000-0000B4250000}"/>
    <cellStyle name="Normal 2 2 2 3 2 4 6 2" xfId="29692" xr:uid="{00000000-0005-0000-0000-0000B5250000}"/>
    <cellStyle name="Normal 2 2 2 3 2 4 7" xfId="20662" xr:uid="{00000000-0005-0000-0000-0000B6250000}"/>
    <cellStyle name="Normal 2 2 2 3 2 5" xfId="797" xr:uid="{00000000-0005-0000-0000-0000B7250000}"/>
    <cellStyle name="Normal 2 2 2 3 2 5 2" xfId="2291" xr:uid="{00000000-0005-0000-0000-0000B8250000}"/>
    <cellStyle name="Normal 2 2 2 3 2 5 2 2" xfId="6773" xr:uid="{00000000-0005-0000-0000-0000B9250000}"/>
    <cellStyle name="Normal 2 2 2 3 2 5 2 2 2" xfId="15803" xr:uid="{00000000-0005-0000-0000-0000BA250000}"/>
    <cellStyle name="Normal 2 2 2 3 2 5 2 2 2 2" xfId="35855" xr:uid="{00000000-0005-0000-0000-0000BB250000}"/>
    <cellStyle name="Normal 2 2 2 3 2 5 2 2 3" xfId="26825" xr:uid="{00000000-0005-0000-0000-0000BC250000}"/>
    <cellStyle name="Normal 2 2 2 3 2 5 2 3" xfId="11321" xr:uid="{00000000-0005-0000-0000-0000BD250000}"/>
    <cellStyle name="Normal 2 2 2 3 2 5 2 3 2" xfId="31373" xr:uid="{00000000-0005-0000-0000-0000BE250000}"/>
    <cellStyle name="Normal 2 2 2 3 2 5 2 4" xfId="22343" xr:uid="{00000000-0005-0000-0000-0000BF250000}"/>
    <cellStyle name="Normal 2 2 2 3 2 5 3" xfId="3785" xr:uid="{00000000-0005-0000-0000-0000C0250000}"/>
    <cellStyle name="Normal 2 2 2 3 2 5 3 2" xfId="8267" xr:uid="{00000000-0005-0000-0000-0000C1250000}"/>
    <cellStyle name="Normal 2 2 2 3 2 5 3 2 2" xfId="17297" xr:uid="{00000000-0005-0000-0000-0000C2250000}"/>
    <cellStyle name="Normal 2 2 2 3 2 5 3 2 2 2" xfId="37349" xr:uid="{00000000-0005-0000-0000-0000C3250000}"/>
    <cellStyle name="Normal 2 2 2 3 2 5 3 2 3" xfId="28319" xr:uid="{00000000-0005-0000-0000-0000C4250000}"/>
    <cellStyle name="Normal 2 2 2 3 2 5 3 3" xfId="12815" xr:uid="{00000000-0005-0000-0000-0000C5250000}"/>
    <cellStyle name="Normal 2 2 2 3 2 5 3 3 2" xfId="32867" xr:uid="{00000000-0005-0000-0000-0000C6250000}"/>
    <cellStyle name="Normal 2 2 2 3 2 5 3 4" xfId="23837" xr:uid="{00000000-0005-0000-0000-0000C7250000}"/>
    <cellStyle name="Normal 2 2 2 3 2 5 4" xfId="5279" xr:uid="{00000000-0005-0000-0000-0000C8250000}"/>
    <cellStyle name="Normal 2 2 2 3 2 5 4 2" xfId="14309" xr:uid="{00000000-0005-0000-0000-0000C9250000}"/>
    <cellStyle name="Normal 2 2 2 3 2 5 4 2 2" xfId="34361" xr:uid="{00000000-0005-0000-0000-0000CA250000}"/>
    <cellStyle name="Normal 2 2 2 3 2 5 4 3" xfId="25331" xr:uid="{00000000-0005-0000-0000-0000CB250000}"/>
    <cellStyle name="Normal 2 2 2 3 2 5 5" xfId="9827" xr:uid="{00000000-0005-0000-0000-0000CC250000}"/>
    <cellStyle name="Normal 2 2 2 3 2 5 5 2" xfId="29879" xr:uid="{00000000-0005-0000-0000-0000CD250000}"/>
    <cellStyle name="Normal 2 2 2 3 2 5 6" xfId="20849" xr:uid="{00000000-0005-0000-0000-0000CE250000}"/>
    <cellStyle name="Normal 2 2 2 3 2 6" xfId="1546" xr:uid="{00000000-0005-0000-0000-0000CF250000}"/>
    <cellStyle name="Normal 2 2 2 3 2 6 2" xfId="6028" xr:uid="{00000000-0005-0000-0000-0000D0250000}"/>
    <cellStyle name="Normal 2 2 2 3 2 6 2 2" xfId="15058" xr:uid="{00000000-0005-0000-0000-0000D1250000}"/>
    <cellStyle name="Normal 2 2 2 3 2 6 2 2 2" xfId="35110" xr:uid="{00000000-0005-0000-0000-0000D2250000}"/>
    <cellStyle name="Normal 2 2 2 3 2 6 2 3" xfId="26080" xr:uid="{00000000-0005-0000-0000-0000D3250000}"/>
    <cellStyle name="Normal 2 2 2 3 2 6 3" xfId="10576" xr:uid="{00000000-0005-0000-0000-0000D4250000}"/>
    <cellStyle name="Normal 2 2 2 3 2 6 3 2" xfId="30628" xr:uid="{00000000-0005-0000-0000-0000D5250000}"/>
    <cellStyle name="Normal 2 2 2 3 2 6 4" xfId="21598" xr:uid="{00000000-0005-0000-0000-0000D6250000}"/>
    <cellStyle name="Normal 2 2 2 3 2 7" xfId="3040" xr:uid="{00000000-0005-0000-0000-0000D7250000}"/>
    <cellStyle name="Normal 2 2 2 3 2 7 2" xfId="7522" xr:uid="{00000000-0005-0000-0000-0000D8250000}"/>
    <cellStyle name="Normal 2 2 2 3 2 7 2 2" xfId="16552" xr:uid="{00000000-0005-0000-0000-0000D9250000}"/>
    <cellStyle name="Normal 2 2 2 3 2 7 2 2 2" xfId="36604" xr:uid="{00000000-0005-0000-0000-0000DA250000}"/>
    <cellStyle name="Normal 2 2 2 3 2 7 2 3" xfId="27574" xr:uid="{00000000-0005-0000-0000-0000DB250000}"/>
    <cellStyle name="Normal 2 2 2 3 2 7 3" xfId="12070" xr:uid="{00000000-0005-0000-0000-0000DC250000}"/>
    <cellStyle name="Normal 2 2 2 3 2 7 3 2" xfId="32122" xr:uid="{00000000-0005-0000-0000-0000DD250000}"/>
    <cellStyle name="Normal 2 2 2 3 2 7 4" xfId="23092" xr:uid="{00000000-0005-0000-0000-0000DE250000}"/>
    <cellStyle name="Normal 2 2 2 3 2 8" xfId="4534" xr:uid="{00000000-0005-0000-0000-0000DF250000}"/>
    <cellStyle name="Normal 2 2 2 3 2 8 2" xfId="13564" xr:uid="{00000000-0005-0000-0000-0000E0250000}"/>
    <cellStyle name="Normal 2 2 2 3 2 8 2 2" xfId="33616" xr:uid="{00000000-0005-0000-0000-0000E1250000}"/>
    <cellStyle name="Normal 2 2 2 3 2 8 3" xfId="24586" xr:uid="{00000000-0005-0000-0000-0000E2250000}"/>
    <cellStyle name="Normal 2 2 2 3 2 9" xfId="9082" xr:uid="{00000000-0005-0000-0000-0000E3250000}"/>
    <cellStyle name="Normal 2 2 2 3 2 9 2" xfId="29134" xr:uid="{00000000-0005-0000-0000-0000E4250000}"/>
    <cellStyle name="Normal 2 2 2 3 3" xfId="75" xr:uid="{00000000-0005-0000-0000-0000E5250000}"/>
    <cellStyle name="Normal 2 2 2 3 3 10" xfId="20127" xr:uid="{00000000-0005-0000-0000-0000E6250000}"/>
    <cellStyle name="Normal 2 2 2 3 3 2" xfId="261" xr:uid="{00000000-0005-0000-0000-0000E7250000}"/>
    <cellStyle name="Normal 2 2 2 3 3 2 2" xfId="1006" xr:uid="{00000000-0005-0000-0000-0000E8250000}"/>
    <cellStyle name="Normal 2 2 2 3 3 2 2 2" xfId="2500" xr:uid="{00000000-0005-0000-0000-0000E9250000}"/>
    <cellStyle name="Normal 2 2 2 3 3 2 2 2 2" xfId="6982" xr:uid="{00000000-0005-0000-0000-0000EA250000}"/>
    <cellStyle name="Normal 2 2 2 3 3 2 2 2 2 2" xfId="16012" xr:uid="{00000000-0005-0000-0000-0000EB250000}"/>
    <cellStyle name="Normal 2 2 2 3 3 2 2 2 2 2 2" xfId="36064" xr:uid="{00000000-0005-0000-0000-0000EC250000}"/>
    <cellStyle name="Normal 2 2 2 3 3 2 2 2 2 3" xfId="27034" xr:uid="{00000000-0005-0000-0000-0000ED250000}"/>
    <cellStyle name="Normal 2 2 2 3 3 2 2 2 3" xfId="11530" xr:uid="{00000000-0005-0000-0000-0000EE250000}"/>
    <cellStyle name="Normal 2 2 2 3 3 2 2 2 3 2" xfId="31582" xr:uid="{00000000-0005-0000-0000-0000EF250000}"/>
    <cellStyle name="Normal 2 2 2 3 3 2 2 2 4" xfId="22552" xr:uid="{00000000-0005-0000-0000-0000F0250000}"/>
    <cellStyle name="Normal 2 2 2 3 3 2 2 3" xfId="3994" xr:uid="{00000000-0005-0000-0000-0000F1250000}"/>
    <cellStyle name="Normal 2 2 2 3 3 2 2 3 2" xfId="8476" xr:uid="{00000000-0005-0000-0000-0000F2250000}"/>
    <cellStyle name="Normal 2 2 2 3 3 2 2 3 2 2" xfId="17506" xr:uid="{00000000-0005-0000-0000-0000F3250000}"/>
    <cellStyle name="Normal 2 2 2 3 3 2 2 3 2 2 2" xfId="37558" xr:uid="{00000000-0005-0000-0000-0000F4250000}"/>
    <cellStyle name="Normal 2 2 2 3 3 2 2 3 2 3" xfId="28528" xr:uid="{00000000-0005-0000-0000-0000F5250000}"/>
    <cellStyle name="Normal 2 2 2 3 3 2 2 3 3" xfId="13024" xr:uid="{00000000-0005-0000-0000-0000F6250000}"/>
    <cellStyle name="Normal 2 2 2 3 3 2 2 3 3 2" xfId="33076" xr:uid="{00000000-0005-0000-0000-0000F7250000}"/>
    <cellStyle name="Normal 2 2 2 3 3 2 2 3 4" xfId="24046" xr:uid="{00000000-0005-0000-0000-0000F8250000}"/>
    <cellStyle name="Normal 2 2 2 3 3 2 2 4" xfId="5488" xr:uid="{00000000-0005-0000-0000-0000F9250000}"/>
    <cellStyle name="Normal 2 2 2 3 3 2 2 4 2" xfId="14518" xr:uid="{00000000-0005-0000-0000-0000FA250000}"/>
    <cellStyle name="Normal 2 2 2 3 3 2 2 4 2 2" xfId="34570" xr:uid="{00000000-0005-0000-0000-0000FB250000}"/>
    <cellStyle name="Normal 2 2 2 3 3 2 2 4 3" xfId="25540" xr:uid="{00000000-0005-0000-0000-0000FC250000}"/>
    <cellStyle name="Normal 2 2 2 3 3 2 2 5" xfId="10036" xr:uid="{00000000-0005-0000-0000-0000FD250000}"/>
    <cellStyle name="Normal 2 2 2 3 3 2 2 5 2" xfId="30088" xr:uid="{00000000-0005-0000-0000-0000FE250000}"/>
    <cellStyle name="Normal 2 2 2 3 3 2 2 6" xfId="21058" xr:uid="{00000000-0005-0000-0000-0000FF250000}"/>
    <cellStyle name="Normal 2 2 2 3 3 2 3" xfId="1755" xr:uid="{00000000-0005-0000-0000-000000260000}"/>
    <cellStyle name="Normal 2 2 2 3 3 2 3 2" xfId="6237" xr:uid="{00000000-0005-0000-0000-000001260000}"/>
    <cellStyle name="Normal 2 2 2 3 3 2 3 2 2" xfId="15267" xr:uid="{00000000-0005-0000-0000-000002260000}"/>
    <cellStyle name="Normal 2 2 2 3 3 2 3 2 2 2" xfId="35319" xr:uid="{00000000-0005-0000-0000-000003260000}"/>
    <cellStyle name="Normal 2 2 2 3 3 2 3 2 3" xfId="26289" xr:uid="{00000000-0005-0000-0000-000004260000}"/>
    <cellStyle name="Normal 2 2 2 3 3 2 3 3" xfId="10785" xr:uid="{00000000-0005-0000-0000-000005260000}"/>
    <cellStyle name="Normal 2 2 2 3 3 2 3 3 2" xfId="30837" xr:uid="{00000000-0005-0000-0000-000006260000}"/>
    <cellStyle name="Normal 2 2 2 3 3 2 3 4" xfId="21807" xr:uid="{00000000-0005-0000-0000-000007260000}"/>
    <cellStyle name="Normal 2 2 2 3 3 2 4" xfId="3249" xr:uid="{00000000-0005-0000-0000-000008260000}"/>
    <cellStyle name="Normal 2 2 2 3 3 2 4 2" xfId="7731" xr:uid="{00000000-0005-0000-0000-000009260000}"/>
    <cellStyle name="Normal 2 2 2 3 3 2 4 2 2" xfId="16761" xr:uid="{00000000-0005-0000-0000-00000A260000}"/>
    <cellStyle name="Normal 2 2 2 3 3 2 4 2 2 2" xfId="36813" xr:uid="{00000000-0005-0000-0000-00000B260000}"/>
    <cellStyle name="Normal 2 2 2 3 3 2 4 2 3" xfId="27783" xr:uid="{00000000-0005-0000-0000-00000C260000}"/>
    <cellStyle name="Normal 2 2 2 3 3 2 4 3" xfId="12279" xr:uid="{00000000-0005-0000-0000-00000D260000}"/>
    <cellStyle name="Normal 2 2 2 3 3 2 4 3 2" xfId="32331" xr:uid="{00000000-0005-0000-0000-00000E260000}"/>
    <cellStyle name="Normal 2 2 2 3 3 2 4 4" xfId="23301" xr:uid="{00000000-0005-0000-0000-00000F260000}"/>
    <cellStyle name="Normal 2 2 2 3 3 2 5" xfId="4743" xr:uid="{00000000-0005-0000-0000-000010260000}"/>
    <cellStyle name="Normal 2 2 2 3 3 2 5 2" xfId="13773" xr:uid="{00000000-0005-0000-0000-000011260000}"/>
    <cellStyle name="Normal 2 2 2 3 3 2 5 2 2" xfId="33825" xr:uid="{00000000-0005-0000-0000-000012260000}"/>
    <cellStyle name="Normal 2 2 2 3 3 2 5 3" xfId="24795" xr:uid="{00000000-0005-0000-0000-000013260000}"/>
    <cellStyle name="Normal 2 2 2 3 3 2 6" xfId="9291" xr:uid="{00000000-0005-0000-0000-000014260000}"/>
    <cellStyle name="Normal 2 2 2 3 3 2 6 2" xfId="29343" xr:uid="{00000000-0005-0000-0000-000015260000}"/>
    <cellStyle name="Normal 2 2 2 3 3 2 7" xfId="20313" xr:uid="{00000000-0005-0000-0000-000016260000}"/>
    <cellStyle name="Normal 2 2 2 3 3 3" xfId="447" xr:uid="{00000000-0005-0000-0000-000017260000}"/>
    <cellStyle name="Normal 2 2 2 3 3 3 2" xfId="1194" xr:uid="{00000000-0005-0000-0000-000018260000}"/>
    <cellStyle name="Normal 2 2 2 3 3 3 2 2" xfId="2688" xr:uid="{00000000-0005-0000-0000-000019260000}"/>
    <cellStyle name="Normal 2 2 2 3 3 3 2 2 2" xfId="7170" xr:uid="{00000000-0005-0000-0000-00001A260000}"/>
    <cellStyle name="Normal 2 2 2 3 3 3 2 2 2 2" xfId="16200" xr:uid="{00000000-0005-0000-0000-00001B260000}"/>
    <cellStyle name="Normal 2 2 2 3 3 3 2 2 2 2 2" xfId="36252" xr:uid="{00000000-0005-0000-0000-00001C260000}"/>
    <cellStyle name="Normal 2 2 2 3 3 3 2 2 2 3" xfId="27222" xr:uid="{00000000-0005-0000-0000-00001D260000}"/>
    <cellStyle name="Normal 2 2 2 3 3 3 2 2 3" xfId="11718" xr:uid="{00000000-0005-0000-0000-00001E260000}"/>
    <cellStyle name="Normal 2 2 2 3 3 3 2 2 3 2" xfId="31770" xr:uid="{00000000-0005-0000-0000-00001F260000}"/>
    <cellStyle name="Normal 2 2 2 3 3 3 2 2 4" xfId="22740" xr:uid="{00000000-0005-0000-0000-000020260000}"/>
    <cellStyle name="Normal 2 2 2 3 3 3 2 3" xfId="4182" xr:uid="{00000000-0005-0000-0000-000021260000}"/>
    <cellStyle name="Normal 2 2 2 3 3 3 2 3 2" xfId="8664" xr:uid="{00000000-0005-0000-0000-000022260000}"/>
    <cellStyle name="Normal 2 2 2 3 3 3 2 3 2 2" xfId="17694" xr:uid="{00000000-0005-0000-0000-000023260000}"/>
    <cellStyle name="Normal 2 2 2 3 3 3 2 3 2 2 2" xfId="37746" xr:uid="{00000000-0005-0000-0000-000024260000}"/>
    <cellStyle name="Normal 2 2 2 3 3 3 2 3 2 3" xfId="28716" xr:uid="{00000000-0005-0000-0000-000025260000}"/>
    <cellStyle name="Normal 2 2 2 3 3 3 2 3 3" xfId="13212" xr:uid="{00000000-0005-0000-0000-000026260000}"/>
    <cellStyle name="Normal 2 2 2 3 3 3 2 3 3 2" xfId="33264" xr:uid="{00000000-0005-0000-0000-000027260000}"/>
    <cellStyle name="Normal 2 2 2 3 3 3 2 3 4" xfId="24234" xr:uid="{00000000-0005-0000-0000-000028260000}"/>
    <cellStyle name="Normal 2 2 2 3 3 3 2 4" xfId="5676" xr:uid="{00000000-0005-0000-0000-000029260000}"/>
    <cellStyle name="Normal 2 2 2 3 3 3 2 4 2" xfId="14706" xr:uid="{00000000-0005-0000-0000-00002A260000}"/>
    <cellStyle name="Normal 2 2 2 3 3 3 2 4 2 2" xfId="34758" xr:uid="{00000000-0005-0000-0000-00002B260000}"/>
    <cellStyle name="Normal 2 2 2 3 3 3 2 4 3" xfId="25728" xr:uid="{00000000-0005-0000-0000-00002C260000}"/>
    <cellStyle name="Normal 2 2 2 3 3 3 2 5" xfId="10224" xr:uid="{00000000-0005-0000-0000-00002D260000}"/>
    <cellStyle name="Normal 2 2 2 3 3 3 2 5 2" xfId="30276" xr:uid="{00000000-0005-0000-0000-00002E260000}"/>
    <cellStyle name="Normal 2 2 2 3 3 3 2 6" xfId="21246" xr:uid="{00000000-0005-0000-0000-00002F260000}"/>
    <cellStyle name="Normal 2 2 2 3 3 3 3" xfId="1941" xr:uid="{00000000-0005-0000-0000-000030260000}"/>
    <cellStyle name="Normal 2 2 2 3 3 3 3 2" xfId="6423" xr:uid="{00000000-0005-0000-0000-000031260000}"/>
    <cellStyle name="Normal 2 2 2 3 3 3 3 2 2" xfId="15453" xr:uid="{00000000-0005-0000-0000-000032260000}"/>
    <cellStyle name="Normal 2 2 2 3 3 3 3 2 2 2" xfId="35505" xr:uid="{00000000-0005-0000-0000-000033260000}"/>
    <cellStyle name="Normal 2 2 2 3 3 3 3 2 3" xfId="26475" xr:uid="{00000000-0005-0000-0000-000034260000}"/>
    <cellStyle name="Normal 2 2 2 3 3 3 3 3" xfId="10971" xr:uid="{00000000-0005-0000-0000-000035260000}"/>
    <cellStyle name="Normal 2 2 2 3 3 3 3 3 2" xfId="31023" xr:uid="{00000000-0005-0000-0000-000036260000}"/>
    <cellStyle name="Normal 2 2 2 3 3 3 3 4" xfId="21993" xr:uid="{00000000-0005-0000-0000-000037260000}"/>
    <cellStyle name="Normal 2 2 2 3 3 3 4" xfId="3435" xr:uid="{00000000-0005-0000-0000-000038260000}"/>
    <cellStyle name="Normal 2 2 2 3 3 3 4 2" xfId="7917" xr:uid="{00000000-0005-0000-0000-000039260000}"/>
    <cellStyle name="Normal 2 2 2 3 3 3 4 2 2" xfId="16947" xr:uid="{00000000-0005-0000-0000-00003A260000}"/>
    <cellStyle name="Normal 2 2 2 3 3 3 4 2 2 2" xfId="36999" xr:uid="{00000000-0005-0000-0000-00003B260000}"/>
    <cellStyle name="Normal 2 2 2 3 3 3 4 2 3" xfId="27969" xr:uid="{00000000-0005-0000-0000-00003C260000}"/>
    <cellStyle name="Normal 2 2 2 3 3 3 4 3" xfId="12465" xr:uid="{00000000-0005-0000-0000-00003D260000}"/>
    <cellStyle name="Normal 2 2 2 3 3 3 4 3 2" xfId="32517" xr:uid="{00000000-0005-0000-0000-00003E260000}"/>
    <cellStyle name="Normal 2 2 2 3 3 3 4 4" xfId="23487" xr:uid="{00000000-0005-0000-0000-00003F260000}"/>
    <cellStyle name="Normal 2 2 2 3 3 3 5" xfId="4929" xr:uid="{00000000-0005-0000-0000-000040260000}"/>
    <cellStyle name="Normal 2 2 2 3 3 3 5 2" xfId="13959" xr:uid="{00000000-0005-0000-0000-000041260000}"/>
    <cellStyle name="Normal 2 2 2 3 3 3 5 2 2" xfId="34011" xr:uid="{00000000-0005-0000-0000-000042260000}"/>
    <cellStyle name="Normal 2 2 2 3 3 3 5 3" xfId="24981" xr:uid="{00000000-0005-0000-0000-000043260000}"/>
    <cellStyle name="Normal 2 2 2 3 3 3 6" xfId="9477" xr:uid="{00000000-0005-0000-0000-000044260000}"/>
    <cellStyle name="Normal 2 2 2 3 3 3 6 2" xfId="29529" xr:uid="{00000000-0005-0000-0000-000045260000}"/>
    <cellStyle name="Normal 2 2 2 3 3 3 7" xfId="20499" xr:uid="{00000000-0005-0000-0000-000046260000}"/>
    <cellStyle name="Normal 2 2 2 3 3 4" xfId="633" xr:uid="{00000000-0005-0000-0000-000047260000}"/>
    <cellStyle name="Normal 2 2 2 3 3 4 2" xfId="1380" xr:uid="{00000000-0005-0000-0000-000048260000}"/>
    <cellStyle name="Normal 2 2 2 3 3 4 2 2" xfId="2874" xr:uid="{00000000-0005-0000-0000-000049260000}"/>
    <cellStyle name="Normal 2 2 2 3 3 4 2 2 2" xfId="7356" xr:uid="{00000000-0005-0000-0000-00004A260000}"/>
    <cellStyle name="Normal 2 2 2 3 3 4 2 2 2 2" xfId="16386" xr:uid="{00000000-0005-0000-0000-00004B260000}"/>
    <cellStyle name="Normal 2 2 2 3 3 4 2 2 2 2 2" xfId="36438" xr:uid="{00000000-0005-0000-0000-00004C260000}"/>
    <cellStyle name="Normal 2 2 2 3 3 4 2 2 2 3" xfId="27408" xr:uid="{00000000-0005-0000-0000-00004D260000}"/>
    <cellStyle name="Normal 2 2 2 3 3 4 2 2 3" xfId="11904" xr:uid="{00000000-0005-0000-0000-00004E260000}"/>
    <cellStyle name="Normal 2 2 2 3 3 4 2 2 3 2" xfId="31956" xr:uid="{00000000-0005-0000-0000-00004F260000}"/>
    <cellStyle name="Normal 2 2 2 3 3 4 2 2 4" xfId="22926" xr:uid="{00000000-0005-0000-0000-000050260000}"/>
    <cellStyle name="Normal 2 2 2 3 3 4 2 3" xfId="4368" xr:uid="{00000000-0005-0000-0000-000051260000}"/>
    <cellStyle name="Normal 2 2 2 3 3 4 2 3 2" xfId="8850" xr:uid="{00000000-0005-0000-0000-000052260000}"/>
    <cellStyle name="Normal 2 2 2 3 3 4 2 3 2 2" xfId="17880" xr:uid="{00000000-0005-0000-0000-000053260000}"/>
    <cellStyle name="Normal 2 2 2 3 3 4 2 3 2 2 2" xfId="37932" xr:uid="{00000000-0005-0000-0000-000054260000}"/>
    <cellStyle name="Normal 2 2 2 3 3 4 2 3 2 3" xfId="28902" xr:uid="{00000000-0005-0000-0000-000055260000}"/>
    <cellStyle name="Normal 2 2 2 3 3 4 2 3 3" xfId="13398" xr:uid="{00000000-0005-0000-0000-000056260000}"/>
    <cellStyle name="Normal 2 2 2 3 3 4 2 3 3 2" xfId="33450" xr:uid="{00000000-0005-0000-0000-000057260000}"/>
    <cellStyle name="Normal 2 2 2 3 3 4 2 3 4" xfId="24420" xr:uid="{00000000-0005-0000-0000-000058260000}"/>
    <cellStyle name="Normal 2 2 2 3 3 4 2 4" xfId="5862" xr:uid="{00000000-0005-0000-0000-000059260000}"/>
    <cellStyle name="Normal 2 2 2 3 3 4 2 4 2" xfId="14892" xr:uid="{00000000-0005-0000-0000-00005A260000}"/>
    <cellStyle name="Normal 2 2 2 3 3 4 2 4 2 2" xfId="34944" xr:uid="{00000000-0005-0000-0000-00005B260000}"/>
    <cellStyle name="Normal 2 2 2 3 3 4 2 4 3" xfId="25914" xr:uid="{00000000-0005-0000-0000-00005C260000}"/>
    <cellStyle name="Normal 2 2 2 3 3 4 2 5" xfId="10410" xr:uid="{00000000-0005-0000-0000-00005D260000}"/>
    <cellStyle name="Normal 2 2 2 3 3 4 2 5 2" xfId="30462" xr:uid="{00000000-0005-0000-0000-00005E260000}"/>
    <cellStyle name="Normal 2 2 2 3 3 4 2 6" xfId="21432" xr:uid="{00000000-0005-0000-0000-00005F260000}"/>
    <cellStyle name="Normal 2 2 2 3 3 4 3" xfId="2127" xr:uid="{00000000-0005-0000-0000-000060260000}"/>
    <cellStyle name="Normal 2 2 2 3 3 4 3 2" xfId="6609" xr:uid="{00000000-0005-0000-0000-000061260000}"/>
    <cellStyle name="Normal 2 2 2 3 3 4 3 2 2" xfId="15639" xr:uid="{00000000-0005-0000-0000-000062260000}"/>
    <cellStyle name="Normal 2 2 2 3 3 4 3 2 2 2" xfId="35691" xr:uid="{00000000-0005-0000-0000-000063260000}"/>
    <cellStyle name="Normal 2 2 2 3 3 4 3 2 3" xfId="26661" xr:uid="{00000000-0005-0000-0000-000064260000}"/>
    <cellStyle name="Normal 2 2 2 3 3 4 3 3" xfId="11157" xr:uid="{00000000-0005-0000-0000-000065260000}"/>
    <cellStyle name="Normal 2 2 2 3 3 4 3 3 2" xfId="31209" xr:uid="{00000000-0005-0000-0000-000066260000}"/>
    <cellStyle name="Normal 2 2 2 3 3 4 3 4" xfId="22179" xr:uid="{00000000-0005-0000-0000-000067260000}"/>
    <cellStyle name="Normal 2 2 2 3 3 4 4" xfId="3621" xr:uid="{00000000-0005-0000-0000-000068260000}"/>
    <cellStyle name="Normal 2 2 2 3 3 4 4 2" xfId="8103" xr:uid="{00000000-0005-0000-0000-000069260000}"/>
    <cellStyle name="Normal 2 2 2 3 3 4 4 2 2" xfId="17133" xr:uid="{00000000-0005-0000-0000-00006A260000}"/>
    <cellStyle name="Normal 2 2 2 3 3 4 4 2 2 2" xfId="37185" xr:uid="{00000000-0005-0000-0000-00006B260000}"/>
    <cellStyle name="Normal 2 2 2 3 3 4 4 2 3" xfId="28155" xr:uid="{00000000-0005-0000-0000-00006C260000}"/>
    <cellStyle name="Normal 2 2 2 3 3 4 4 3" xfId="12651" xr:uid="{00000000-0005-0000-0000-00006D260000}"/>
    <cellStyle name="Normal 2 2 2 3 3 4 4 3 2" xfId="32703" xr:uid="{00000000-0005-0000-0000-00006E260000}"/>
    <cellStyle name="Normal 2 2 2 3 3 4 4 4" xfId="23673" xr:uid="{00000000-0005-0000-0000-00006F260000}"/>
    <cellStyle name="Normal 2 2 2 3 3 4 5" xfId="5115" xr:uid="{00000000-0005-0000-0000-000070260000}"/>
    <cellStyle name="Normal 2 2 2 3 3 4 5 2" xfId="14145" xr:uid="{00000000-0005-0000-0000-000071260000}"/>
    <cellStyle name="Normal 2 2 2 3 3 4 5 2 2" xfId="34197" xr:uid="{00000000-0005-0000-0000-000072260000}"/>
    <cellStyle name="Normal 2 2 2 3 3 4 5 3" xfId="25167" xr:uid="{00000000-0005-0000-0000-000073260000}"/>
    <cellStyle name="Normal 2 2 2 3 3 4 6" xfId="9663" xr:uid="{00000000-0005-0000-0000-000074260000}"/>
    <cellStyle name="Normal 2 2 2 3 3 4 6 2" xfId="29715" xr:uid="{00000000-0005-0000-0000-000075260000}"/>
    <cellStyle name="Normal 2 2 2 3 3 4 7" xfId="20685" xr:uid="{00000000-0005-0000-0000-000076260000}"/>
    <cellStyle name="Normal 2 2 2 3 3 5" xfId="820" xr:uid="{00000000-0005-0000-0000-000077260000}"/>
    <cellStyle name="Normal 2 2 2 3 3 5 2" xfId="2314" xr:uid="{00000000-0005-0000-0000-000078260000}"/>
    <cellStyle name="Normal 2 2 2 3 3 5 2 2" xfId="6796" xr:uid="{00000000-0005-0000-0000-000079260000}"/>
    <cellStyle name="Normal 2 2 2 3 3 5 2 2 2" xfId="15826" xr:uid="{00000000-0005-0000-0000-00007A260000}"/>
    <cellStyle name="Normal 2 2 2 3 3 5 2 2 2 2" xfId="35878" xr:uid="{00000000-0005-0000-0000-00007B260000}"/>
    <cellStyle name="Normal 2 2 2 3 3 5 2 2 3" xfId="26848" xr:uid="{00000000-0005-0000-0000-00007C260000}"/>
    <cellStyle name="Normal 2 2 2 3 3 5 2 3" xfId="11344" xr:uid="{00000000-0005-0000-0000-00007D260000}"/>
    <cellStyle name="Normal 2 2 2 3 3 5 2 3 2" xfId="31396" xr:uid="{00000000-0005-0000-0000-00007E260000}"/>
    <cellStyle name="Normal 2 2 2 3 3 5 2 4" xfId="22366" xr:uid="{00000000-0005-0000-0000-00007F260000}"/>
    <cellStyle name="Normal 2 2 2 3 3 5 3" xfId="3808" xr:uid="{00000000-0005-0000-0000-000080260000}"/>
    <cellStyle name="Normal 2 2 2 3 3 5 3 2" xfId="8290" xr:uid="{00000000-0005-0000-0000-000081260000}"/>
    <cellStyle name="Normal 2 2 2 3 3 5 3 2 2" xfId="17320" xr:uid="{00000000-0005-0000-0000-000082260000}"/>
    <cellStyle name="Normal 2 2 2 3 3 5 3 2 2 2" xfId="37372" xr:uid="{00000000-0005-0000-0000-000083260000}"/>
    <cellStyle name="Normal 2 2 2 3 3 5 3 2 3" xfId="28342" xr:uid="{00000000-0005-0000-0000-000084260000}"/>
    <cellStyle name="Normal 2 2 2 3 3 5 3 3" xfId="12838" xr:uid="{00000000-0005-0000-0000-000085260000}"/>
    <cellStyle name="Normal 2 2 2 3 3 5 3 3 2" xfId="32890" xr:uid="{00000000-0005-0000-0000-000086260000}"/>
    <cellStyle name="Normal 2 2 2 3 3 5 3 4" xfId="23860" xr:uid="{00000000-0005-0000-0000-000087260000}"/>
    <cellStyle name="Normal 2 2 2 3 3 5 4" xfId="5302" xr:uid="{00000000-0005-0000-0000-000088260000}"/>
    <cellStyle name="Normal 2 2 2 3 3 5 4 2" xfId="14332" xr:uid="{00000000-0005-0000-0000-000089260000}"/>
    <cellStyle name="Normal 2 2 2 3 3 5 4 2 2" xfId="34384" xr:uid="{00000000-0005-0000-0000-00008A260000}"/>
    <cellStyle name="Normal 2 2 2 3 3 5 4 3" xfId="25354" xr:uid="{00000000-0005-0000-0000-00008B260000}"/>
    <cellStyle name="Normal 2 2 2 3 3 5 5" xfId="9850" xr:uid="{00000000-0005-0000-0000-00008C260000}"/>
    <cellStyle name="Normal 2 2 2 3 3 5 5 2" xfId="29902" xr:uid="{00000000-0005-0000-0000-00008D260000}"/>
    <cellStyle name="Normal 2 2 2 3 3 5 6" xfId="20872" xr:uid="{00000000-0005-0000-0000-00008E260000}"/>
    <cellStyle name="Normal 2 2 2 3 3 6" xfId="1569" xr:uid="{00000000-0005-0000-0000-00008F260000}"/>
    <cellStyle name="Normal 2 2 2 3 3 6 2" xfId="6051" xr:uid="{00000000-0005-0000-0000-000090260000}"/>
    <cellStyle name="Normal 2 2 2 3 3 6 2 2" xfId="15081" xr:uid="{00000000-0005-0000-0000-000091260000}"/>
    <cellStyle name="Normal 2 2 2 3 3 6 2 2 2" xfId="35133" xr:uid="{00000000-0005-0000-0000-000092260000}"/>
    <cellStyle name="Normal 2 2 2 3 3 6 2 3" xfId="26103" xr:uid="{00000000-0005-0000-0000-000093260000}"/>
    <cellStyle name="Normal 2 2 2 3 3 6 3" xfId="10599" xr:uid="{00000000-0005-0000-0000-000094260000}"/>
    <cellStyle name="Normal 2 2 2 3 3 6 3 2" xfId="30651" xr:uid="{00000000-0005-0000-0000-000095260000}"/>
    <cellStyle name="Normal 2 2 2 3 3 6 4" xfId="21621" xr:uid="{00000000-0005-0000-0000-000096260000}"/>
    <cellStyle name="Normal 2 2 2 3 3 7" xfId="3063" xr:uid="{00000000-0005-0000-0000-000097260000}"/>
    <cellStyle name="Normal 2 2 2 3 3 7 2" xfId="7545" xr:uid="{00000000-0005-0000-0000-000098260000}"/>
    <cellStyle name="Normal 2 2 2 3 3 7 2 2" xfId="16575" xr:uid="{00000000-0005-0000-0000-000099260000}"/>
    <cellStyle name="Normal 2 2 2 3 3 7 2 2 2" xfId="36627" xr:uid="{00000000-0005-0000-0000-00009A260000}"/>
    <cellStyle name="Normal 2 2 2 3 3 7 2 3" xfId="27597" xr:uid="{00000000-0005-0000-0000-00009B260000}"/>
    <cellStyle name="Normal 2 2 2 3 3 7 3" xfId="12093" xr:uid="{00000000-0005-0000-0000-00009C260000}"/>
    <cellStyle name="Normal 2 2 2 3 3 7 3 2" xfId="32145" xr:uid="{00000000-0005-0000-0000-00009D260000}"/>
    <cellStyle name="Normal 2 2 2 3 3 7 4" xfId="23115" xr:uid="{00000000-0005-0000-0000-00009E260000}"/>
    <cellStyle name="Normal 2 2 2 3 3 8" xfId="4557" xr:uid="{00000000-0005-0000-0000-00009F260000}"/>
    <cellStyle name="Normal 2 2 2 3 3 8 2" xfId="13587" xr:uid="{00000000-0005-0000-0000-0000A0260000}"/>
    <cellStyle name="Normal 2 2 2 3 3 8 2 2" xfId="33639" xr:uid="{00000000-0005-0000-0000-0000A1260000}"/>
    <cellStyle name="Normal 2 2 2 3 3 8 3" xfId="24609" xr:uid="{00000000-0005-0000-0000-0000A2260000}"/>
    <cellStyle name="Normal 2 2 2 3 3 9" xfId="9105" xr:uid="{00000000-0005-0000-0000-0000A3260000}"/>
    <cellStyle name="Normal 2 2 2 3 3 9 2" xfId="29157" xr:uid="{00000000-0005-0000-0000-0000A4260000}"/>
    <cellStyle name="Normal 2 2 2 3 4" xfId="99" xr:uid="{00000000-0005-0000-0000-0000A5260000}"/>
    <cellStyle name="Normal 2 2 2 3 4 10" xfId="20151" xr:uid="{00000000-0005-0000-0000-0000A6260000}"/>
    <cellStyle name="Normal 2 2 2 3 4 2" xfId="285" xr:uid="{00000000-0005-0000-0000-0000A7260000}"/>
    <cellStyle name="Normal 2 2 2 3 4 2 2" xfId="1029" xr:uid="{00000000-0005-0000-0000-0000A8260000}"/>
    <cellStyle name="Normal 2 2 2 3 4 2 2 2" xfId="2523" xr:uid="{00000000-0005-0000-0000-0000A9260000}"/>
    <cellStyle name="Normal 2 2 2 3 4 2 2 2 2" xfId="7005" xr:uid="{00000000-0005-0000-0000-0000AA260000}"/>
    <cellStyle name="Normal 2 2 2 3 4 2 2 2 2 2" xfId="16035" xr:uid="{00000000-0005-0000-0000-0000AB260000}"/>
    <cellStyle name="Normal 2 2 2 3 4 2 2 2 2 2 2" xfId="36087" xr:uid="{00000000-0005-0000-0000-0000AC260000}"/>
    <cellStyle name="Normal 2 2 2 3 4 2 2 2 2 3" xfId="27057" xr:uid="{00000000-0005-0000-0000-0000AD260000}"/>
    <cellStyle name="Normal 2 2 2 3 4 2 2 2 3" xfId="11553" xr:uid="{00000000-0005-0000-0000-0000AE260000}"/>
    <cellStyle name="Normal 2 2 2 3 4 2 2 2 3 2" xfId="31605" xr:uid="{00000000-0005-0000-0000-0000AF260000}"/>
    <cellStyle name="Normal 2 2 2 3 4 2 2 2 4" xfId="22575" xr:uid="{00000000-0005-0000-0000-0000B0260000}"/>
    <cellStyle name="Normal 2 2 2 3 4 2 2 3" xfId="4017" xr:uid="{00000000-0005-0000-0000-0000B1260000}"/>
    <cellStyle name="Normal 2 2 2 3 4 2 2 3 2" xfId="8499" xr:uid="{00000000-0005-0000-0000-0000B2260000}"/>
    <cellStyle name="Normal 2 2 2 3 4 2 2 3 2 2" xfId="17529" xr:uid="{00000000-0005-0000-0000-0000B3260000}"/>
    <cellStyle name="Normal 2 2 2 3 4 2 2 3 2 2 2" xfId="37581" xr:uid="{00000000-0005-0000-0000-0000B4260000}"/>
    <cellStyle name="Normal 2 2 2 3 4 2 2 3 2 3" xfId="28551" xr:uid="{00000000-0005-0000-0000-0000B5260000}"/>
    <cellStyle name="Normal 2 2 2 3 4 2 2 3 3" xfId="13047" xr:uid="{00000000-0005-0000-0000-0000B6260000}"/>
    <cellStyle name="Normal 2 2 2 3 4 2 2 3 3 2" xfId="33099" xr:uid="{00000000-0005-0000-0000-0000B7260000}"/>
    <cellStyle name="Normal 2 2 2 3 4 2 2 3 4" xfId="24069" xr:uid="{00000000-0005-0000-0000-0000B8260000}"/>
    <cellStyle name="Normal 2 2 2 3 4 2 2 4" xfId="5511" xr:uid="{00000000-0005-0000-0000-0000B9260000}"/>
    <cellStyle name="Normal 2 2 2 3 4 2 2 4 2" xfId="14541" xr:uid="{00000000-0005-0000-0000-0000BA260000}"/>
    <cellStyle name="Normal 2 2 2 3 4 2 2 4 2 2" xfId="34593" xr:uid="{00000000-0005-0000-0000-0000BB260000}"/>
    <cellStyle name="Normal 2 2 2 3 4 2 2 4 3" xfId="25563" xr:uid="{00000000-0005-0000-0000-0000BC260000}"/>
    <cellStyle name="Normal 2 2 2 3 4 2 2 5" xfId="10059" xr:uid="{00000000-0005-0000-0000-0000BD260000}"/>
    <cellStyle name="Normal 2 2 2 3 4 2 2 5 2" xfId="30111" xr:uid="{00000000-0005-0000-0000-0000BE260000}"/>
    <cellStyle name="Normal 2 2 2 3 4 2 2 6" xfId="21081" xr:uid="{00000000-0005-0000-0000-0000BF260000}"/>
    <cellStyle name="Normal 2 2 2 3 4 2 3" xfId="1779" xr:uid="{00000000-0005-0000-0000-0000C0260000}"/>
    <cellStyle name="Normal 2 2 2 3 4 2 3 2" xfId="6261" xr:uid="{00000000-0005-0000-0000-0000C1260000}"/>
    <cellStyle name="Normal 2 2 2 3 4 2 3 2 2" xfId="15291" xr:uid="{00000000-0005-0000-0000-0000C2260000}"/>
    <cellStyle name="Normal 2 2 2 3 4 2 3 2 2 2" xfId="35343" xr:uid="{00000000-0005-0000-0000-0000C3260000}"/>
    <cellStyle name="Normal 2 2 2 3 4 2 3 2 3" xfId="26313" xr:uid="{00000000-0005-0000-0000-0000C4260000}"/>
    <cellStyle name="Normal 2 2 2 3 4 2 3 3" xfId="10809" xr:uid="{00000000-0005-0000-0000-0000C5260000}"/>
    <cellStyle name="Normal 2 2 2 3 4 2 3 3 2" xfId="30861" xr:uid="{00000000-0005-0000-0000-0000C6260000}"/>
    <cellStyle name="Normal 2 2 2 3 4 2 3 4" xfId="21831" xr:uid="{00000000-0005-0000-0000-0000C7260000}"/>
    <cellStyle name="Normal 2 2 2 3 4 2 4" xfId="3273" xr:uid="{00000000-0005-0000-0000-0000C8260000}"/>
    <cellStyle name="Normal 2 2 2 3 4 2 4 2" xfId="7755" xr:uid="{00000000-0005-0000-0000-0000C9260000}"/>
    <cellStyle name="Normal 2 2 2 3 4 2 4 2 2" xfId="16785" xr:uid="{00000000-0005-0000-0000-0000CA260000}"/>
    <cellStyle name="Normal 2 2 2 3 4 2 4 2 2 2" xfId="36837" xr:uid="{00000000-0005-0000-0000-0000CB260000}"/>
    <cellStyle name="Normal 2 2 2 3 4 2 4 2 3" xfId="27807" xr:uid="{00000000-0005-0000-0000-0000CC260000}"/>
    <cellStyle name="Normal 2 2 2 3 4 2 4 3" xfId="12303" xr:uid="{00000000-0005-0000-0000-0000CD260000}"/>
    <cellStyle name="Normal 2 2 2 3 4 2 4 3 2" xfId="32355" xr:uid="{00000000-0005-0000-0000-0000CE260000}"/>
    <cellStyle name="Normal 2 2 2 3 4 2 4 4" xfId="23325" xr:uid="{00000000-0005-0000-0000-0000CF260000}"/>
    <cellStyle name="Normal 2 2 2 3 4 2 5" xfId="4767" xr:uid="{00000000-0005-0000-0000-0000D0260000}"/>
    <cellStyle name="Normal 2 2 2 3 4 2 5 2" xfId="13797" xr:uid="{00000000-0005-0000-0000-0000D1260000}"/>
    <cellStyle name="Normal 2 2 2 3 4 2 5 2 2" xfId="33849" xr:uid="{00000000-0005-0000-0000-0000D2260000}"/>
    <cellStyle name="Normal 2 2 2 3 4 2 5 3" xfId="24819" xr:uid="{00000000-0005-0000-0000-0000D3260000}"/>
    <cellStyle name="Normal 2 2 2 3 4 2 6" xfId="9315" xr:uid="{00000000-0005-0000-0000-0000D4260000}"/>
    <cellStyle name="Normal 2 2 2 3 4 2 6 2" xfId="29367" xr:uid="{00000000-0005-0000-0000-0000D5260000}"/>
    <cellStyle name="Normal 2 2 2 3 4 2 7" xfId="20337" xr:uid="{00000000-0005-0000-0000-0000D6260000}"/>
    <cellStyle name="Normal 2 2 2 3 4 3" xfId="471" xr:uid="{00000000-0005-0000-0000-0000D7260000}"/>
    <cellStyle name="Normal 2 2 2 3 4 3 2" xfId="1218" xr:uid="{00000000-0005-0000-0000-0000D8260000}"/>
    <cellStyle name="Normal 2 2 2 3 4 3 2 2" xfId="2712" xr:uid="{00000000-0005-0000-0000-0000D9260000}"/>
    <cellStyle name="Normal 2 2 2 3 4 3 2 2 2" xfId="7194" xr:uid="{00000000-0005-0000-0000-0000DA260000}"/>
    <cellStyle name="Normal 2 2 2 3 4 3 2 2 2 2" xfId="16224" xr:uid="{00000000-0005-0000-0000-0000DB260000}"/>
    <cellStyle name="Normal 2 2 2 3 4 3 2 2 2 2 2" xfId="36276" xr:uid="{00000000-0005-0000-0000-0000DC260000}"/>
    <cellStyle name="Normal 2 2 2 3 4 3 2 2 2 3" xfId="27246" xr:uid="{00000000-0005-0000-0000-0000DD260000}"/>
    <cellStyle name="Normal 2 2 2 3 4 3 2 2 3" xfId="11742" xr:uid="{00000000-0005-0000-0000-0000DE260000}"/>
    <cellStyle name="Normal 2 2 2 3 4 3 2 2 3 2" xfId="31794" xr:uid="{00000000-0005-0000-0000-0000DF260000}"/>
    <cellStyle name="Normal 2 2 2 3 4 3 2 2 4" xfId="22764" xr:uid="{00000000-0005-0000-0000-0000E0260000}"/>
    <cellStyle name="Normal 2 2 2 3 4 3 2 3" xfId="4206" xr:uid="{00000000-0005-0000-0000-0000E1260000}"/>
    <cellStyle name="Normal 2 2 2 3 4 3 2 3 2" xfId="8688" xr:uid="{00000000-0005-0000-0000-0000E2260000}"/>
    <cellStyle name="Normal 2 2 2 3 4 3 2 3 2 2" xfId="17718" xr:uid="{00000000-0005-0000-0000-0000E3260000}"/>
    <cellStyle name="Normal 2 2 2 3 4 3 2 3 2 2 2" xfId="37770" xr:uid="{00000000-0005-0000-0000-0000E4260000}"/>
    <cellStyle name="Normal 2 2 2 3 4 3 2 3 2 3" xfId="28740" xr:uid="{00000000-0005-0000-0000-0000E5260000}"/>
    <cellStyle name="Normal 2 2 2 3 4 3 2 3 3" xfId="13236" xr:uid="{00000000-0005-0000-0000-0000E6260000}"/>
    <cellStyle name="Normal 2 2 2 3 4 3 2 3 3 2" xfId="33288" xr:uid="{00000000-0005-0000-0000-0000E7260000}"/>
    <cellStyle name="Normal 2 2 2 3 4 3 2 3 4" xfId="24258" xr:uid="{00000000-0005-0000-0000-0000E8260000}"/>
    <cellStyle name="Normal 2 2 2 3 4 3 2 4" xfId="5700" xr:uid="{00000000-0005-0000-0000-0000E9260000}"/>
    <cellStyle name="Normal 2 2 2 3 4 3 2 4 2" xfId="14730" xr:uid="{00000000-0005-0000-0000-0000EA260000}"/>
    <cellStyle name="Normal 2 2 2 3 4 3 2 4 2 2" xfId="34782" xr:uid="{00000000-0005-0000-0000-0000EB260000}"/>
    <cellStyle name="Normal 2 2 2 3 4 3 2 4 3" xfId="25752" xr:uid="{00000000-0005-0000-0000-0000EC260000}"/>
    <cellStyle name="Normal 2 2 2 3 4 3 2 5" xfId="10248" xr:uid="{00000000-0005-0000-0000-0000ED260000}"/>
    <cellStyle name="Normal 2 2 2 3 4 3 2 5 2" xfId="30300" xr:uid="{00000000-0005-0000-0000-0000EE260000}"/>
    <cellStyle name="Normal 2 2 2 3 4 3 2 6" xfId="21270" xr:uid="{00000000-0005-0000-0000-0000EF260000}"/>
    <cellStyle name="Normal 2 2 2 3 4 3 3" xfId="1965" xr:uid="{00000000-0005-0000-0000-0000F0260000}"/>
    <cellStyle name="Normal 2 2 2 3 4 3 3 2" xfId="6447" xr:uid="{00000000-0005-0000-0000-0000F1260000}"/>
    <cellStyle name="Normal 2 2 2 3 4 3 3 2 2" xfId="15477" xr:uid="{00000000-0005-0000-0000-0000F2260000}"/>
    <cellStyle name="Normal 2 2 2 3 4 3 3 2 2 2" xfId="35529" xr:uid="{00000000-0005-0000-0000-0000F3260000}"/>
    <cellStyle name="Normal 2 2 2 3 4 3 3 2 3" xfId="26499" xr:uid="{00000000-0005-0000-0000-0000F4260000}"/>
    <cellStyle name="Normal 2 2 2 3 4 3 3 3" xfId="10995" xr:uid="{00000000-0005-0000-0000-0000F5260000}"/>
    <cellStyle name="Normal 2 2 2 3 4 3 3 3 2" xfId="31047" xr:uid="{00000000-0005-0000-0000-0000F6260000}"/>
    <cellStyle name="Normal 2 2 2 3 4 3 3 4" xfId="22017" xr:uid="{00000000-0005-0000-0000-0000F7260000}"/>
    <cellStyle name="Normal 2 2 2 3 4 3 4" xfId="3459" xr:uid="{00000000-0005-0000-0000-0000F8260000}"/>
    <cellStyle name="Normal 2 2 2 3 4 3 4 2" xfId="7941" xr:uid="{00000000-0005-0000-0000-0000F9260000}"/>
    <cellStyle name="Normal 2 2 2 3 4 3 4 2 2" xfId="16971" xr:uid="{00000000-0005-0000-0000-0000FA260000}"/>
    <cellStyle name="Normal 2 2 2 3 4 3 4 2 2 2" xfId="37023" xr:uid="{00000000-0005-0000-0000-0000FB260000}"/>
    <cellStyle name="Normal 2 2 2 3 4 3 4 2 3" xfId="27993" xr:uid="{00000000-0005-0000-0000-0000FC260000}"/>
    <cellStyle name="Normal 2 2 2 3 4 3 4 3" xfId="12489" xr:uid="{00000000-0005-0000-0000-0000FD260000}"/>
    <cellStyle name="Normal 2 2 2 3 4 3 4 3 2" xfId="32541" xr:uid="{00000000-0005-0000-0000-0000FE260000}"/>
    <cellStyle name="Normal 2 2 2 3 4 3 4 4" xfId="23511" xr:uid="{00000000-0005-0000-0000-0000FF260000}"/>
    <cellStyle name="Normal 2 2 2 3 4 3 5" xfId="4953" xr:uid="{00000000-0005-0000-0000-000000270000}"/>
    <cellStyle name="Normal 2 2 2 3 4 3 5 2" xfId="13983" xr:uid="{00000000-0005-0000-0000-000001270000}"/>
    <cellStyle name="Normal 2 2 2 3 4 3 5 2 2" xfId="34035" xr:uid="{00000000-0005-0000-0000-000002270000}"/>
    <cellStyle name="Normal 2 2 2 3 4 3 5 3" xfId="25005" xr:uid="{00000000-0005-0000-0000-000003270000}"/>
    <cellStyle name="Normal 2 2 2 3 4 3 6" xfId="9501" xr:uid="{00000000-0005-0000-0000-000004270000}"/>
    <cellStyle name="Normal 2 2 2 3 4 3 6 2" xfId="29553" xr:uid="{00000000-0005-0000-0000-000005270000}"/>
    <cellStyle name="Normal 2 2 2 3 4 3 7" xfId="20523" xr:uid="{00000000-0005-0000-0000-000006270000}"/>
    <cellStyle name="Normal 2 2 2 3 4 4" xfId="657" xr:uid="{00000000-0005-0000-0000-000007270000}"/>
    <cellStyle name="Normal 2 2 2 3 4 4 2" xfId="1404" xr:uid="{00000000-0005-0000-0000-000008270000}"/>
    <cellStyle name="Normal 2 2 2 3 4 4 2 2" xfId="2898" xr:uid="{00000000-0005-0000-0000-000009270000}"/>
    <cellStyle name="Normal 2 2 2 3 4 4 2 2 2" xfId="7380" xr:uid="{00000000-0005-0000-0000-00000A270000}"/>
    <cellStyle name="Normal 2 2 2 3 4 4 2 2 2 2" xfId="16410" xr:uid="{00000000-0005-0000-0000-00000B270000}"/>
    <cellStyle name="Normal 2 2 2 3 4 4 2 2 2 2 2" xfId="36462" xr:uid="{00000000-0005-0000-0000-00000C270000}"/>
    <cellStyle name="Normal 2 2 2 3 4 4 2 2 2 3" xfId="27432" xr:uid="{00000000-0005-0000-0000-00000D270000}"/>
    <cellStyle name="Normal 2 2 2 3 4 4 2 2 3" xfId="11928" xr:uid="{00000000-0005-0000-0000-00000E270000}"/>
    <cellStyle name="Normal 2 2 2 3 4 4 2 2 3 2" xfId="31980" xr:uid="{00000000-0005-0000-0000-00000F270000}"/>
    <cellStyle name="Normal 2 2 2 3 4 4 2 2 4" xfId="22950" xr:uid="{00000000-0005-0000-0000-000010270000}"/>
    <cellStyle name="Normal 2 2 2 3 4 4 2 3" xfId="4392" xr:uid="{00000000-0005-0000-0000-000011270000}"/>
    <cellStyle name="Normal 2 2 2 3 4 4 2 3 2" xfId="8874" xr:uid="{00000000-0005-0000-0000-000012270000}"/>
    <cellStyle name="Normal 2 2 2 3 4 4 2 3 2 2" xfId="17904" xr:uid="{00000000-0005-0000-0000-000013270000}"/>
    <cellStyle name="Normal 2 2 2 3 4 4 2 3 2 2 2" xfId="37956" xr:uid="{00000000-0005-0000-0000-000014270000}"/>
    <cellStyle name="Normal 2 2 2 3 4 4 2 3 2 3" xfId="28926" xr:uid="{00000000-0005-0000-0000-000015270000}"/>
    <cellStyle name="Normal 2 2 2 3 4 4 2 3 3" xfId="13422" xr:uid="{00000000-0005-0000-0000-000016270000}"/>
    <cellStyle name="Normal 2 2 2 3 4 4 2 3 3 2" xfId="33474" xr:uid="{00000000-0005-0000-0000-000017270000}"/>
    <cellStyle name="Normal 2 2 2 3 4 4 2 3 4" xfId="24444" xr:uid="{00000000-0005-0000-0000-000018270000}"/>
    <cellStyle name="Normal 2 2 2 3 4 4 2 4" xfId="5886" xr:uid="{00000000-0005-0000-0000-000019270000}"/>
    <cellStyle name="Normal 2 2 2 3 4 4 2 4 2" xfId="14916" xr:uid="{00000000-0005-0000-0000-00001A270000}"/>
    <cellStyle name="Normal 2 2 2 3 4 4 2 4 2 2" xfId="34968" xr:uid="{00000000-0005-0000-0000-00001B270000}"/>
    <cellStyle name="Normal 2 2 2 3 4 4 2 4 3" xfId="25938" xr:uid="{00000000-0005-0000-0000-00001C270000}"/>
    <cellStyle name="Normal 2 2 2 3 4 4 2 5" xfId="10434" xr:uid="{00000000-0005-0000-0000-00001D270000}"/>
    <cellStyle name="Normal 2 2 2 3 4 4 2 5 2" xfId="30486" xr:uid="{00000000-0005-0000-0000-00001E270000}"/>
    <cellStyle name="Normal 2 2 2 3 4 4 2 6" xfId="21456" xr:uid="{00000000-0005-0000-0000-00001F270000}"/>
    <cellStyle name="Normal 2 2 2 3 4 4 3" xfId="2151" xr:uid="{00000000-0005-0000-0000-000020270000}"/>
    <cellStyle name="Normal 2 2 2 3 4 4 3 2" xfId="6633" xr:uid="{00000000-0005-0000-0000-000021270000}"/>
    <cellStyle name="Normal 2 2 2 3 4 4 3 2 2" xfId="15663" xr:uid="{00000000-0005-0000-0000-000022270000}"/>
    <cellStyle name="Normal 2 2 2 3 4 4 3 2 2 2" xfId="35715" xr:uid="{00000000-0005-0000-0000-000023270000}"/>
    <cellStyle name="Normal 2 2 2 3 4 4 3 2 3" xfId="26685" xr:uid="{00000000-0005-0000-0000-000024270000}"/>
    <cellStyle name="Normal 2 2 2 3 4 4 3 3" xfId="11181" xr:uid="{00000000-0005-0000-0000-000025270000}"/>
    <cellStyle name="Normal 2 2 2 3 4 4 3 3 2" xfId="31233" xr:uid="{00000000-0005-0000-0000-000026270000}"/>
    <cellStyle name="Normal 2 2 2 3 4 4 3 4" xfId="22203" xr:uid="{00000000-0005-0000-0000-000027270000}"/>
    <cellStyle name="Normal 2 2 2 3 4 4 4" xfId="3645" xr:uid="{00000000-0005-0000-0000-000028270000}"/>
    <cellStyle name="Normal 2 2 2 3 4 4 4 2" xfId="8127" xr:uid="{00000000-0005-0000-0000-000029270000}"/>
    <cellStyle name="Normal 2 2 2 3 4 4 4 2 2" xfId="17157" xr:uid="{00000000-0005-0000-0000-00002A270000}"/>
    <cellStyle name="Normal 2 2 2 3 4 4 4 2 2 2" xfId="37209" xr:uid="{00000000-0005-0000-0000-00002B270000}"/>
    <cellStyle name="Normal 2 2 2 3 4 4 4 2 3" xfId="28179" xr:uid="{00000000-0005-0000-0000-00002C270000}"/>
    <cellStyle name="Normal 2 2 2 3 4 4 4 3" xfId="12675" xr:uid="{00000000-0005-0000-0000-00002D270000}"/>
    <cellStyle name="Normal 2 2 2 3 4 4 4 3 2" xfId="32727" xr:uid="{00000000-0005-0000-0000-00002E270000}"/>
    <cellStyle name="Normal 2 2 2 3 4 4 4 4" xfId="23697" xr:uid="{00000000-0005-0000-0000-00002F270000}"/>
    <cellStyle name="Normal 2 2 2 3 4 4 5" xfId="5139" xr:uid="{00000000-0005-0000-0000-000030270000}"/>
    <cellStyle name="Normal 2 2 2 3 4 4 5 2" xfId="14169" xr:uid="{00000000-0005-0000-0000-000031270000}"/>
    <cellStyle name="Normal 2 2 2 3 4 4 5 2 2" xfId="34221" xr:uid="{00000000-0005-0000-0000-000032270000}"/>
    <cellStyle name="Normal 2 2 2 3 4 4 5 3" xfId="25191" xr:uid="{00000000-0005-0000-0000-000033270000}"/>
    <cellStyle name="Normal 2 2 2 3 4 4 6" xfId="9687" xr:uid="{00000000-0005-0000-0000-000034270000}"/>
    <cellStyle name="Normal 2 2 2 3 4 4 6 2" xfId="29739" xr:uid="{00000000-0005-0000-0000-000035270000}"/>
    <cellStyle name="Normal 2 2 2 3 4 4 7" xfId="20709" xr:uid="{00000000-0005-0000-0000-000036270000}"/>
    <cellStyle name="Normal 2 2 2 3 4 5" xfId="844" xr:uid="{00000000-0005-0000-0000-000037270000}"/>
    <cellStyle name="Normal 2 2 2 3 4 5 2" xfId="2338" xr:uid="{00000000-0005-0000-0000-000038270000}"/>
    <cellStyle name="Normal 2 2 2 3 4 5 2 2" xfId="6820" xr:uid="{00000000-0005-0000-0000-000039270000}"/>
    <cellStyle name="Normal 2 2 2 3 4 5 2 2 2" xfId="15850" xr:uid="{00000000-0005-0000-0000-00003A270000}"/>
    <cellStyle name="Normal 2 2 2 3 4 5 2 2 2 2" xfId="35902" xr:uid="{00000000-0005-0000-0000-00003B270000}"/>
    <cellStyle name="Normal 2 2 2 3 4 5 2 2 3" xfId="26872" xr:uid="{00000000-0005-0000-0000-00003C270000}"/>
    <cellStyle name="Normal 2 2 2 3 4 5 2 3" xfId="11368" xr:uid="{00000000-0005-0000-0000-00003D270000}"/>
    <cellStyle name="Normal 2 2 2 3 4 5 2 3 2" xfId="31420" xr:uid="{00000000-0005-0000-0000-00003E270000}"/>
    <cellStyle name="Normal 2 2 2 3 4 5 2 4" xfId="22390" xr:uid="{00000000-0005-0000-0000-00003F270000}"/>
    <cellStyle name="Normal 2 2 2 3 4 5 3" xfId="3832" xr:uid="{00000000-0005-0000-0000-000040270000}"/>
    <cellStyle name="Normal 2 2 2 3 4 5 3 2" xfId="8314" xr:uid="{00000000-0005-0000-0000-000041270000}"/>
    <cellStyle name="Normal 2 2 2 3 4 5 3 2 2" xfId="17344" xr:uid="{00000000-0005-0000-0000-000042270000}"/>
    <cellStyle name="Normal 2 2 2 3 4 5 3 2 2 2" xfId="37396" xr:uid="{00000000-0005-0000-0000-000043270000}"/>
    <cellStyle name="Normal 2 2 2 3 4 5 3 2 3" xfId="28366" xr:uid="{00000000-0005-0000-0000-000044270000}"/>
    <cellStyle name="Normal 2 2 2 3 4 5 3 3" xfId="12862" xr:uid="{00000000-0005-0000-0000-000045270000}"/>
    <cellStyle name="Normal 2 2 2 3 4 5 3 3 2" xfId="32914" xr:uid="{00000000-0005-0000-0000-000046270000}"/>
    <cellStyle name="Normal 2 2 2 3 4 5 3 4" xfId="23884" xr:uid="{00000000-0005-0000-0000-000047270000}"/>
    <cellStyle name="Normal 2 2 2 3 4 5 4" xfId="5326" xr:uid="{00000000-0005-0000-0000-000048270000}"/>
    <cellStyle name="Normal 2 2 2 3 4 5 4 2" xfId="14356" xr:uid="{00000000-0005-0000-0000-000049270000}"/>
    <cellStyle name="Normal 2 2 2 3 4 5 4 2 2" xfId="34408" xr:uid="{00000000-0005-0000-0000-00004A270000}"/>
    <cellStyle name="Normal 2 2 2 3 4 5 4 3" xfId="25378" xr:uid="{00000000-0005-0000-0000-00004B270000}"/>
    <cellStyle name="Normal 2 2 2 3 4 5 5" xfId="9874" xr:uid="{00000000-0005-0000-0000-00004C270000}"/>
    <cellStyle name="Normal 2 2 2 3 4 5 5 2" xfId="29926" xr:uid="{00000000-0005-0000-0000-00004D270000}"/>
    <cellStyle name="Normal 2 2 2 3 4 5 6" xfId="20896" xr:uid="{00000000-0005-0000-0000-00004E270000}"/>
    <cellStyle name="Normal 2 2 2 3 4 6" xfId="1593" xr:uid="{00000000-0005-0000-0000-00004F270000}"/>
    <cellStyle name="Normal 2 2 2 3 4 6 2" xfId="6075" xr:uid="{00000000-0005-0000-0000-000050270000}"/>
    <cellStyle name="Normal 2 2 2 3 4 6 2 2" xfId="15105" xr:uid="{00000000-0005-0000-0000-000051270000}"/>
    <cellStyle name="Normal 2 2 2 3 4 6 2 2 2" xfId="35157" xr:uid="{00000000-0005-0000-0000-000052270000}"/>
    <cellStyle name="Normal 2 2 2 3 4 6 2 3" xfId="26127" xr:uid="{00000000-0005-0000-0000-000053270000}"/>
    <cellStyle name="Normal 2 2 2 3 4 6 3" xfId="10623" xr:uid="{00000000-0005-0000-0000-000054270000}"/>
    <cellStyle name="Normal 2 2 2 3 4 6 3 2" xfId="30675" xr:uid="{00000000-0005-0000-0000-000055270000}"/>
    <cellStyle name="Normal 2 2 2 3 4 6 4" xfId="21645" xr:uid="{00000000-0005-0000-0000-000056270000}"/>
    <cellStyle name="Normal 2 2 2 3 4 7" xfId="3087" xr:uid="{00000000-0005-0000-0000-000057270000}"/>
    <cellStyle name="Normal 2 2 2 3 4 7 2" xfId="7569" xr:uid="{00000000-0005-0000-0000-000058270000}"/>
    <cellStyle name="Normal 2 2 2 3 4 7 2 2" xfId="16599" xr:uid="{00000000-0005-0000-0000-000059270000}"/>
    <cellStyle name="Normal 2 2 2 3 4 7 2 2 2" xfId="36651" xr:uid="{00000000-0005-0000-0000-00005A270000}"/>
    <cellStyle name="Normal 2 2 2 3 4 7 2 3" xfId="27621" xr:uid="{00000000-0005-0000-0000-00005B270000}"/>
    <cellStyle name="Normal 2 2 2 3 4 7 3" xfId="12117" xr:uid="{00000000-0005-0000-0000-00005C270000}"/>
    <cellStyle name="Normal 2 2 2 3 4 7 3 2" xfId="32169" xr:uid="{00000000-0005-0000-0000-00005D270000}"/>
    <cellStyle name="Normal 2 2 2 3 4 7 4" xfId="23139" xr:uid="{00000000-0005-0000-0000-00005E270000}"/>
    <cellStyle name="Normal 2 2 2 3 4 8" xfId="4581" xr:uid="{00000000-0005-0000-0000-00005F270000}"/>
    <cellStyle name="Normal 2 2 2 3 4 8 2" xfId="13611" xr:uid="{00000000-0005-0000-0000-000060270000}"/>
    <cellStyle name="Normal 2 2 2 3 4 8 2 2" xfId="33663" xr:uid="{00000000-0005-0000-0000-000061270000}"/>
    <cellStyle name="Normal 2 2 2 3 4 8 3" xfId="24633" xr:uid="{00000000-0005-0000-0000-000062270000}"/>
    <cellStyle name="Normal 2 2 2 3 4 9" xfId="9129" xr:uid="{00000000-0005-0000-0000-000063270000}"/>
    <cellStyle name="Normal 2 2 2 3 4 9 2" xfId="29181" xr:uid="{00000000-0005-0000-0000-000064270000}"/>
    <cellStyle name="Normal 2 2 2 3 5" xfId="107" xr:uid="{00000000-0005-0000-0000-000065270000}"/>
    <cellStyle name="Normal 2 2 2 3 5 10" xfId="20159" xr:uid="{00000000-0005-0000-0000-000066270000}"/>
    <cellStyle name="Normal 2 2 2 3 5 2" xfId="293" xr:uid="{00000000-0005-0000-0000-000067270000}"/>
    <cellStyle name="Normal 2 2 2 3 5 2 2" xfId="1036" xr:uid="{00000000-0005-0000-0000-000068270000}"/>
    <cellStyle name="Normal 2 2 2 3 5 2 2 2" xfId="2530" xr:uid="{00000000-0005-0000-0000-000069270000}"/>
    <cellStyle name="Normal 2 2 2 3 5 2 2 2 2" xfId="7012" xr:uid="{00000000-0005-0000-0000-00006A270000}"/>
    <cellStyle name="Normal 2 2 2 3 5 2 2 2 2 2" xfId="16042" xr:uid="{00000000-0005-0000-0000-00006B270000}"/>
    <cellStyle name="Normal 2 2 2 3 5 2 2 2 2 2 2" xfId="36094" xr:uid="{00000000-0005-0000-0000-00006C270000}"/>
    <cellStyle name="Normal 2 2 2 3 5 2 2 2 2 3" xfId="27064" xr:uid="{00000000-0005-0000-0000-00006D270000}"/>
    <cellStyle name="Normal 2 2 2 3 5 2 2 2 3" xfId="11560" xr:uid="{00000000-0005-0000-0000-00006E270000}"/>
    <cellStyle name="Normal 2 2 2 3 5 2 2 2 3 2" xfId="31612" xr:uid="{00000000-0005-0000-0000-00006F270000}"/>
    <cellStyle name="Normal 2 2 2 3 5 2 2 2 4" xfId="22582" xr:uid="{00000000-0005-0000-0000-000070270000}"/>
    <cellStyle name="Normal 2 2 2 3 5 2 2 3" xfId="4024" xr:uid="{00000000-0005-0000-0000-000071270000}"/>
    <cellStyle name="Normal 2 2 2 3 5 2 2 3 2" xfId="8506" xr:uid="{00000000-0005-0000-0000-000072270000}"/>
    <cellStyle name="Normal 2 2 2 3 5 2 2 3 2 2" xfId="17536" xr:uid="{00000000-0005-0000-0000-000073270000}"/>
    <cellStyle name="Normal 2 2 2 3 5 2 2 3 2 2 2" xfId="37588" xr:uid="{00000000-0005-0000-0000-000074270000}"/>
    <cellStyle name="Normal 2 2 2 3 5 2 2 3 2 3" xfId="28558" xr:uid="{00000000-0005-0000-0000-000075270000}"/>
    <cellStyle name="Normal 2 2 2 3 5 2 2 3 3" xfId="13054" xr:uid="{00000000-0005-0000-0000-000076270000}"/>
    <cellStyle name="Normal 2 2 2 3 5 2 2 3 3 2" xfId="33106" xr:uid="{00000000-0005-0000-0000-000077270000}"/>
    <cellStyle name="Normal 2 2 2 3 5 2 2 3 4" xfId="24076" xr:uid="{00000000-0005-0000-0000-000078270000}"/>
    <cellStyle name="Normal 2 2 2 3 5 2 2 4" xfId="5518" xr:uid="{00000000-0005-0000-0000-000079270000}"/>
    <cellStyle name="Normal 2 2 2 3 5 2 2 4 2" xfId="14548" xr:uid="{00000000-0005-0000-0000-00007A270000}"/>
    <cellStyle name="Normal 2 2 2 3 5 2 2 4 2 2" xfId="34600" xr:uid="{00000000-0005-0000-0000-00007B270000}"/>
    <cellStyle name="Normal 2 2 2 3 5 2 2 4 3" xfId="25570" xr:uid="{00000000-0005-0000-0000-00007C270000}"/>
    <cellStyle name="Normal 2 2 2 3 5 2 2 5" xfId="10066" xr:uid="{00000000-0005-0000-0000-00007D270000}"/>
    <cellStyle name="Normal 2 2 2 3 5 2 2 5 2" xfId="30118" xr:uid="{00000000-0005-0000-0000-00007E270000}"/>
    <cellStyle name="Normal 2 2 2 3 5 2 2 6" xfId="21088" xr:uid="{00000000-0005-0000-0000-00007F270000}"/>
    <cellStyle name="Normal 2 2 2 3 5 2 3" xfId="1787" xr:uid="{00000000-0005-0000-0000-000080270000}"/>
    <cellStyle name="Normal 2 2 2 3 5 2 3 2" xfId="6269" xr:uid="{00000000-0005-0000-0000-000081270000}"/>
    <cellStyle name="Normal 2 2 2 3 5 2 3 2 2" xfId="15299" xr:uid="{00000000-0005-0000-0000-000082270000}"/>
    <cellStyle name="Normal 2 2 2 3 5 2 3 2 2 2" xfId="35351" xr:uid="{00000000-0005-0000-0000-000083270000}"/>
    <cellStyle name="Normal 2 2 2 3 5 2 3 2 3" xfId="26321" xr:uid="{00000000-0005-0000-0000-000084270000}"/>
    <cellStyle name="Normal 2 2 2 3 5 2 3 3" xfId="10817" xr:uid="{00000000-0005-0000-0000-000085270000}"/>
    <cellStyle name="Normal 2 2 2 3 5 2 3 3 2" xfId="30869" xr:uid="{00000000-0005-0000-0000-000086270000}"/>
    <cellStyle name="Normal 2 2 2 3 5 2 3 4" xfId="21839" xr:uid="{00000000-0005-0000-0000-000087270000}"/>
    <cellStyle name="Normal 2 2 2 3 5 2 4" xfId="3281" xr:uid="{00000000-0005-0000-0000-000088270000}"/>
    <cellStyle name="Normal 2 2 2 3 5 2 4 2" xfId="7763" xr:uid="{00000000-0005-0000-0000-000089270000}"/>
    <cellStyle name="Normal 2 2 2 3 5 2 4 2 2" xfId="16793" xr:uid="{00000000-0005-0000-0000-00008A270000}"/>
    <cellStyle name="Normal 2 2 2 3 5 2 4 2 2 2" xfId="36845" xr:uid="{00000000-0005-0000-0000-00008B270000}"/>
    <cellStyle name="Normal 2 2 2 3 5 2 4 2 3" xfId="27815" xr:uid="{00000000-0005-0000-0000-00008C270000}"/>
    <cellStyle name="Normal 2 2 2 3 5 2 4 3" xfId="12311" xr:uid="{00000000-0005-0000-0000-00008D270000}"/>
    <cellStyle name="Normal 2 2 2 3 5 2 4 3 2" xfId="32363" xr:uid="{00000000-0005-0000-0000-00008E270000}"/>
    <cellStyle name="Normal 2 2 2 3 5 2 4 4" xfId="23333" xr:uid="{00000000-0005-0000-0000-00008F270000}"/>
    <cellStyle name="Normal 2 2 2 3 5 2 5" xfId="4775" xr:uid="{00000000-0005-0000-0000-000090270000}"/>
    <cellStyle name="Normal 2 2 2 3 5 2 5 2" xfId="13805" xr:uid="{00000000-0005-0000-0000-000091270000}"/>
    <cellStyle name="Normal 2 2 2 3 5 2 5 2 2" xfId="33857" xr:uid="{00000000-0005-0000-0000-000092270000}"/>
    <cellStyle name="Normal 2 2 2 3 5 2 5 3" xfId="24827" xr:uid="{00000000-0005-0000-0000-000093270000}"/>
    <cellStyle name="Normal 2 2 2 3 5 2 6" xfId="9323" xr:uid="{00000000-0005-0000-0000-000094270000}"/>
    <cellStyle name="Normal 2 2 2 3 5 2 6 2" xfId="29375" xr:uid="{00000000-0005-0000-0000-000095270000}"/>
    <cellStyle name="Normal 2 2 2 3 5 2 7" xfId="20345" xr:uid="{00000000-0005-0000-0000-000096270000}"/>
    <cellStyle name="Normal 2 2 2 3 5 3" xfId="479" xr:uid="{00000000-0005-0000-0000-000097270000}"/>
    <cellStyle name="Normal 2 2 2 3 5 3 2" xfId="1226" xr:uid="{00000000-0005-0000-0000-000098270000}"/>
    <cellStyle name="Normal 2 2 2 3 5 3 2 2" xfId="2720" xr:uid="{00000000-0005-0000-0000-000099270000}"/>
    <cellStyle name="Normal 2 2 2 3 5 3 2 2 2" xfId="7202" xr:uid="{00000000-0005-0000-0000-00009A270000}"/>
    <cellStyle name="Normal 2 2 2 3 5 3 2 2 2 2" xfId="16232" xr:uid="{00000000-0005-0000-0000-00009B270000}"/>
    <cellStyle name="Normal 2 2 2 3 5 3 2 2 2 2 2" xfId="36284" xr:uid="{00000000-0005-0000-0000-00009C270000}"/>
    <cellStyle name="Normal 2 2 2 3 5 3 2 2 2 3" xfId="27254" xr:uid="{00000000-0005-0000-0000-00009D270000}"/>
    <cellStyle name="Normal 2 2 2 3 5 3 2 2 3" xfId="11750" xr:uid="{00000000-0005-0000-0000-00009E270000}"/>
    <cellStyle name="Normal 2 2 2 3 5 3 2 2 3 2" xfId="31802" xr:uid="{00000000-0005-0000-0000-00009F270000}"/>
    <cellStyle name="Normal 2 2 2 3 5 3 2 2 4" xfId="22772" xr:uid="{00000000-0005-0000-0000-0000A0270000}"/>
    <cellStyle name="Normal 2 2 2 3 5 3 2 3" xfId="4214" xr:uid="{00000000-0005-0000-0000-0000A1270000}"/>
    <cellStyle name="Normal 2 2 2 3 5 3 2 3 2" xfId="8696" xr:uid="{00000000-0005-0000-0000-0000A2270000}"/>
    <cellStyle name="Normal 2 2 2 3 5 3 2 3 2 2" xfId="17726" xr:uid="{00000000-0005-0000-0000-0000A3270000}"/>
    <cellStyle name="Normal 2 2 2 3 5 3 2 3 2 2 2" xfId="37778" xr:uid="{00000000-0005-0000-0000-0000A4270000}"/>
    <cellStyle name="Normal 2 2 2 3 5 3 2 3 2 3" xfId="28748" xr:uid="{00000000-0005-0000-0000-0000A5270000}"/>
    <cellStyle name="Normal 2 2 2 3 5 3 2 3 3" xfId="13244" xr:uid="{00000000-0005-0000-0000-0000A6270000}"/>
    <cellStyle name="Normal 2 2 2 3 5 3 2 3 3 2" xfId="33296" xr:uid="{00000000-0005-0000-0000-0000A7270000}"/>
    <cellStyle name="Normal 2 2 2 3 5 3 2 3 4" xfId="24266" xr:uid="{00000000-0005-0000-0000-0000A8270000}"/>
    <cellStyle name="Normal 2 2 2 3 5 3 2 4" xfId="5708" xr:uid="{00000000-0005-0000-0000-0000A9270000}"/>
    <cellStyle name="Normal 2 2 2 3 5 3 2 4 2" xfId="14738" xr:uid="{00000000-0005-0000-0000-0000AA270000}"/>
    <cellStyle name="Normal 2 2 2 3 5 3 2 4 2 2" xfId="34790" xr:uid="{00000000-0005-0000-0000-0000AB270000}"/>
    <cellStyle name="Normal 2 2 2 3 5 3 2 4 3" xfId="25760" xr:uid="{00000000-0005-0000-0000-0000AC270000}"/>
    <cellStyle name="Normal 2 2 2 3 5 3 2 5" xfId="10256" xr:uid="{00000000-0005-0000-0000-0000AD270000}"/>
    <cellStyle name="Normal 2 2 2 3 5 3 2 5 2" xfId="30308" xr:uid="{00000000-0005-0000-0000-0000AE270000}"/>
    <cellStyle name="Normal 2 2 2 3 5 3 2 6" xfId="21278" xr:uid="{00000000-0005-0000-0000-0000AF270000}"/>
    <cellStyle name="Normal 2 2 2 3 5 3 3" xfId="1973" xr:uid="{00000000-0005-0000-0000-0000B0270000}"/>
    <cellStyle name="Normal 2 2 2 3 5 3 3 2" xfId="6455" xr:uid="{00000000-0005-0000-0000-0000B1270000}"/>
    <cellStyle name="Normal 2 2 2 3 5 3 3 2 2" xfId="15485" xr:uid="{00000000-0005-0000-0000-0000B2270000}"/>
    <cellStyle name="Normal 2 2 2 3 5 3 3 2 2 2" xfId="35537" xr:uid="{00000000-0005-0000-0000-0000B3270000}"/>
    <cellStyle name="Normal 2 2 2 3 5 3 3 2 3" xfId="26507" xr:uid="{00000000-0005-0000-0000-0000B4270000}"/>
    <cellStyle name="Normal 2 2 2 3 5 3 3 3" xfId="11003" xr:uid="{00000000-0005-0000-0000-0000B5270000}"/>
    <cellStyle name="Normal 2 2 2 3 5 3 3 3 2" xfId="31055" xr:uid="{00000000-0005-0000-0000-0000B6270000}"/>
    <cellStyle name="Normal 2 2 2 3 5 3 3 4" xfId="22025" xr:uid="{00000000-0005-0000-0000-0000B7270000}"/>
    <cellStyle name="Normal 2 2 2 3 5 3 4" xfId="3467" xr:uid="{00000000-0005-0000-0000-0000B8270000}"/>
    <cellStyle name="Normal 2 2 2 3 5 3 4 2" xfId="7949" xr:uid="{00000000-0005-0000-0000-0000B9270000}"/>
    <cellStyle name="Normal 2 2 2 3 5 3 4 2 2" xfId="16979" xr:uid="{00000000-0005-0000-0000-0000BA270000}"/>
    <cellStyle name="Normal 2 2 2 3 5 3 4 2 2 2" xfId="37031" xr:uid="{00000000-0005-0000-0000-0000BB270000}"/>
    <cellStyle name="Normal 2 2 2 3 5 3 4 2 3" xfId="28001" xr:uid="{00000000-0005-0000-0000-0000BC270000}"/>
    <cellStyle name="Normal 2 2 2 3 5 3 4 3" xfId="12497" xr:uid="{00000000-0005-0000-0000-0000BD270000}"/>
    <cellStyle name="Normal 2 2 2 3 5 3 4 3 2" xfId="32549" xr:uid="{00000000-0005-0000-0000-0000BE270000}"/>
    <cellStyle name="Normal 2 2 2 3 5 3 4 4" xfId="23519" xr:uid="{00000000-0005-0000-0000-0000BF270000}"/>
    <cellStyle name="Normal 2 2 2 3 5 3 5" xfId="4961" xr:uid="{00000000-0005-0000-0000-0000C0270000}"/>
    <cellStyle name="Normal 2 2 2 3 5 3 5 2" xfId="13991" xr:uid="{00000000-0005-0000-0000-0000C1270000}"/>
    <cellStyle name="Normal 2 2 2 3 5 3 5 2 2" xfId="34043" xr:uid="{00000000-0005-0000-0000-0000C2270000}"/>
    <cellStyle name="Normal 2 2 2 3 5 3 5 3" xfId="25013" xr:uid="{00000000-0005-0000-0000-0000C3270000}"/>
    <cellStyle name="Normal 2 2 2 3 5 3 6" xfId="9509" xr:uid="{00000000-0005-0000-0000-0000C4270000}"/>
    <cellStyle name="Normal 2 2 2 3 5 3 6 2" xfId="29561" xr:uid="{00000000-0005-0000-0000-0000C5270000}"/>
    <cellStyle name="Normal 2 2 2 3 5 3 7" xfId="20531" xr:uid="{00000000-0005-0000-0000-0000C6270000}"/>
    <cellStyle name="Normal 2 2 2 3 5 4" xfId="665" xr:uid="{00000000-0005-0000-0000-0000C7270000}"/>
    <cellStyle name="Normal 2 2 2 3 5 4 2" xfId="1412" xr:uid="{00000000-0005-0000-0000-0000C8270000}"/>
    <cellStyle name="Normal 2 2 2 3 5 4 2 2" xfId="2906" xr:uid="{00000000-0005-0000-0000-0000C9270000}"/>
    <cellStyle name="Normal 2 2 2 3 5 4 2 2 2" xfId="7388" xr:uid="{00000000-0005-0000-0000-0000CA270000}"/>
    <cellStyle name="Normal 2 2 2 3 5 4 2 2 2 2" xfId="16418" xr:uid="{00000000-0005-0000-0000-0000CB270000}"/>
    <cellStyle name="Normal 2 2 2 3 5 4 2 2 2 2 2" xfId="36470" xr:uid="{00000000-0005-0000-0000-0000CC270000}"/>
    <cellStyle name="Normal 2 2 2 3 5 4 2 2 2 3" xfId="27440" xr:uid="{00000000-0005-0000-0000-0000CD270000}"/>
    <cellStyle name="Normal 2 2 2 3 5 4 2 2 3" xfId="11936" xr:uid="{00000000-0005-0000-0000-0000CE270000}"/>
    <cellStyle name="Normal 2 2 2 3 5 4 2 2 3 2" xfId="31988" xr:uid="{00000000-0005-0000-0000-0000CF270000}"/>
    <cellStyle name="Normal 2 2 2 3 5 4 2 2 4" xfId="22958" xr:uid="{00000000-0005-0000-0000-0000D0270000}"/>
    <cellStyle name="Normal 2 2 2 3 5 4 2 3" xfId="4400" xr:uid="{00000000-0005-0000-0000-0000D1270000}"/>
    <cellStyle name="Normal 2 2 2 3 5 4 2 3 2" xfId="8882" xr:uid="{00000000-0005-0000-0000-0000D2270000}"/>
    <cellStyle name="Normal 2 2 2 3 5 4 2 3 2 2" xfId="17912" xr:uid="{00000000-0005-0000-0000-0000D3270000}"/>
    <cellStyle name="Normal 2 2 2 3 5 4 2 3 2 2 2" xfId="37964" xr:uid="{00000000-0005-0000-0000-0000D4270000}"/>
    <cellStyle name="Normal 2 2 2 3 5 4 2 3 2 3" xfId="28934" xr:uid="{00000000-0005-0000-0000-0000D5270000}"/>
    <cellStyle name="Normal 2 2 2 3 5 4 2 3 3" xfId="13430" xr:uid="{00000000-0005-0000-0000-0000D6270000}"/>
    <cellStyle name="Normal 2 2 2 3 5 4 2 3 3 2" xfId="33482" xr:uid="{00000000-0005-0000-0000-0000D7270000}"/>
    <cellStyle name="Normal 2 2 2 3 5 4 2 3 4" xfId="24452" xr:uid="{00000000-0005-0000-0000-0000D8270000}"/>
    <cellStyle name="Normal 2 2 2 3 5 4 2 4" xfId="5894" xr:uid="{00000000-0005-0000-0000-0000D9270000}"/>
    <cellStyle name="Normal 2 2 2 3 5 4 2 4 2" xfId="14924" xr:uid="{00000000-0005-0000-0000-0000DA270000}"/>
    <cellStyle name="Normal 2 2 2 3 5 4 2 4 2 2" xfId="34976" xr:uid="{00000000-0005-0000-0000-0000DB270000}"/>
    <cellStyle name="Normal 2 2 2 3 5 4 2 4 3" xfId="25946" xr:uid="{00000000-0005-0000-0000-0000DC270000}"/>
    <cellStyle name="Normal 2 2 2 3 5 4 2 5" xfId="10442" xr:uid="{00000000-0005-0000-0000-0000DD270000}"/>
    <cellStyle name="Normal 2 2 2 3 5 4 2 5 2" xfId="30494" xr:uid="{00000000-0005-0000-0000-0000DE270000}"/>
    <cellStyle name="Normal 2 2 2 3 5 4 2 6" xfId="21464" xr:uid="{00000000-0005-0000-0000-0000DF270000}"/>
    <cellStyle name="Normal 2 2 2 3 5 4 3" xfId="2159" xr:uid="{00000000-0005-0000-0000-0000E0270000}"/>
    <cellStyle name="Normal 2 2 2 3 5 4 3 2" xfId="6641" xr:uid="{00000000-0005-0000-0000-0000E1270000}"/>
    <cellStyle name="Normal 2 2 2 3 5 4 3 2 2" xfId="15671" xr:uid="{00000000-0005-0000-0000-0000E2270000}"/>
    <cellStyle name="Normal 2 2 2 3 5 4 3 2 2 2" xfId="35723" xr:uid="{00000000-0005-0000-0000-0000E3270000}"/>
    <cellStyle name="Normal 2 2 2 3 5 4 3 2 3" xfId="26693" xr:uid="{00000000-0005-0000-0000-0000E4270000}"/>
    <cellStyle name="Normal 2 2 2 3 5 4 3 3" xfId="11189" xr:uid="{00000000-0005-0000-0000-0000E5270000}"/>
    <cellStyle name="Normal 2 2 2 3 5 4 3 3 2" xfId="31241" xr:uid="{00000000-0005-0000-0000-0000E6270000}"/>
    <cellStyle name="Normal 2 2 2 3 5 4 3 4" xfId="22211" xr:uid="{00000000-0005-0000-0000-0000E7270000}"/>
    <cellStyle name="Normal 2 2 2 3 5 4 4" xfId="3653" xr:uid="{00000000-0005-0000-0000-0000E8270000}"/>
    <cellStyle name="Normal 2 2 2 3 5 4 4 2" xfId="8135" xr:uid="{00000000-0005-0000-0000-0000E9270000}"/>
    <cellStyle name="Normal 2 2 2 3 5 4 4 2 2" xfId="17165" xr:uid="{00000000-0005-0000-0000-0000EA270000}"/>
    <cellStyle name="Normal 2 2 2 3 5 4 4 2 2 2" xfId="37217" xr:uid="{00000000-0005-0000-0000-0000EB270000}"/>
    <cellStyle name="Normal 2 2 2 3 5 4 4 2 3" xfId="28187" xr:uid="{00000000-0005-0000-0000-0000EC270000}"/>
    <cellStyle name="Normal 2 2 2 3 5 4 4 3" xfId="12683" xr:uid="{00000000-0005-0000-0000-0000ED270000}"/>
    <cellStyle name="Normal 2 2 2 3 5 4 4 3 2" xfId="32735" xr:uid="{00000000-0005-0000-0000-0000EE270000}"/>
    <cellStyle name="Normal 2 2 2 3 5 4 4 4" xfId="23705" xr:uid="{00000000-0005-0000-0000-0000EF270000}"/>
    <cellStyle name="Normal 2 2 2 3 5 4 5" xfId="5147" xr:uid="{00000000-0005-0000-0000-0000F0270000}"/>
    <cellStyle name="Normal 2 2 2 3 5 4 5 2" xfId="14177" xr:uid="{00000000-0005-0000-0000-0000F1270000}"/>
    <cellStyle name="Normal 2 2 2 3 5 4 5 2 2" xfId="34229" xr:uid="{00000000-0005-0000-0000-0000F2270000}"/>
    <cellStyle name="Normal 2 2 2 3 5 4 5 3" xfId="25199" xr:uid="{00000000-0005-0000-0000-0000F3270000}"/>
    <cellStyle name="Normal 2 2 2 3 5 4 6" xfId="9695" xr:uid="{00000000-0005-0000-0000-0000F4270000}"/>
    <cellStyle name="Normal 2 2 2 3 5 4 6 2" xfId="29747" xr:uid="{00000000-0005-0000-0000-0000F5270000}"/>
    <cellStyle name="Normal 2 2 2 3 5 4 7" xfId="20717" xr:uid="{00000000-0005-0000-0000-0000F6270000}"/>
    <cellStyle name="Normal 2 2 2 3 5 5" xfId="852" xr:uid="{00000000-0005-0000-0000-0000F7270000}"/>
    <cellStyle name="Normal 2 2 2 3 5 5 2" xfId="2346" xr:uid="{00000000-0005-0000-0000-0000F8270000}"/>
    <cellStyle name="Normal 2 2 2 3 5 5 2 2" xfId="6828" xr:uid="{00000000-0005-0000-0000-0000F9270000}"/>
    <cellStyle name="Normal 2 2 2 3 5 5 2 2 2" xfId="15858" xr:uid="{00000000-0005-0000-0000-0000FA270000}"/>
    <cellStyle name="Normal 2 2 2 3 5 5 2 2 2 2" xfId="35910" xr:uid="{00000000-0005-0000-0000-0000FB270000}"/>
    <cellStyle name="Normal 2 2 2 3 5 5 2 2 3" xfId="26880" xr:uid="{00000000-0005-0000-0000-0000FC270000}"/>
    <cellStyle name="Normal 2 2 2 3 5 5 2 3" xfId="11376" xr:uid="{00000000-0005-0000-0000-0000FD270000}"/>
    <cellStyle name="Normal 2 2 2 3 5 5 2 3 2" xfId="31428" xr:uid="{00000000-0005-0000-0000-0000FE270000}"/>
    <cellStyle name="Normal 2 2 2 3 5 5 2 4" xfId="22398" xr:uid="{00000000-0005-0000-0000-0000FF270000}"/>
    <cellStyle name="Normal 2 2 2 3 5 5 3" xfId="3840" xr:uid="{00000000-0005-0000-0000-000000280000}"/>
    <cellStyle name="Normal 2 2 2 3 5 5 3 2" xfId="8322" xr:uid="{00000000-0005-0000-0000-000001280000}"/>
    <cellStyle name="Normal 2 2 2 3 5 5 3 2 2" xfId="17352" xr:uid="{00000000-0005-0000-0000-000002280000}"/>
    <cellStyle name="Normal 2 2 2 3 5 5 3 2 2 2" xfId="37404" xr:uid="{00000000-0005-0000-0000-000003280000}"/>
    <cellStyle name="Normal 2 2 2 3 5 5 3 2 3" xfId="28374" xr:uid="{00000000-0005-0000-0000-000004280000}"/>
    <cellStyle name="Normal 2 2 2 3 5 5 3 3" xfId="12870" xr:uid="{00000000-0005-0000-0000-000005280000}"/>
    <cellStyle name="Normal 2 2 2 3 5 5 3 3 2" xfId="32922" xr:uid="{00000000-0005-0000-0000-000006280000}"/>
    <cellStyle name="Normal 2 2 2 3 5 5 3 4" xfId="23892" xr:uid="{00000000-0005-0000-0000-000007280000}"/>
    <cellStyle name="Normal 2 2 2 3 5 5 4" xfId="5334" xr:uid="{00000000-0005-0000-0000-000008280000}"/>
    <cellStyle name="Normal 2 2 2 3 5 5 4 2" xfId="14364" xr:uid="{00000000-0005-0000-0000-000009280000}"/>
    <cellStyle name="Normal 2 2 2 3 5 5 4 2 2" xfId="34416" xr:uid="{00000000-0005-0000-0000-00000A280000}"/>
    <cellStyle name="Normal 2 2 2 3 5 5 4 3" xfId="25386" xr:uid="{00000000-0005-0000-0000-00000B280000}"/>
    <cellStyle name="Normal 2 2 2 3 5 5 5" xfId="9882" xr:uid="{00000000-0005-0000-0000-00000C280000}"/>
    <cellStyle name="Normal 2 2 2 3 5 5 5 2" xfId="29934" xr:uid="{00000000-0005-0000-0000-00000D280000}"/>
    <cellStyle name="Normal 2 2 2 3 5 5 6" xfId="20904" xr:uid="{00000000-0005-0000-0000-00000E280000}"/>
    <cellStyle name="Normal 2 2 2 3 5 6" xfId="1601" xr:uid="{00000000-0005-0000-0000-00000F280000}"/>
    <cellStyle name="Normal 2 2 2 3 5 6 2" xfId="6083" xr:uid="{00000000-0005-0000-0000-000010280000}"/>
    <cellStyle name="Normal 2 2 2 3 5 6 2 2" xfId="15113" xr:uid="{00000000-0005-0000-0000-000011280000}"/>
    <cellStyle name="Normal 2 2 2 3 5 6 2 2 2" xfId="35165" xr:uid="{00000000-0005-0000-0000-000012280000}"/>
    <cellStyle name="Normal 2 2 2 3 5 6 2 3" xfId="26135" xr:uid="{00000000-0005-0000-0000-000013280000}"/>
    <cellStyle name="Normal 2 2 2 3 5 6 3" xfId="10631" xr:uid="{00000000-0005-0000-0000-000014280000}"/>
    <cellStyle name="Normal 2 2 2 3 5 6 3 2" xfId="30683" xr:uid="{00000000-0005-0000-0000-000015280000}"/>
    <cellStyle name="Normal 2 2 2 3 5 6 4" xfId="21653" xr:uid="{00000000-0005-0000-0000-000016280000}"/>
    <cellStyle name="Normal 2 2 2 3 5 7" xfId="3095" xr:uid="{00000000-0005-0000-0000-000017280000}"/>
    <cellStyle name="Normal 2 2 2 3 5 7 2" xfId="7577" xr:uid="{00000000-0005-0000-0000-000018280000}"/>
    <cellStyle name="Normal 2 2 2 3 5 7 2 2" xfId="16607" xr:uid="{00000000-0005-0000-0000-000019280000}"/>
    <cellStyle name="Normal 2 2 2 3 5 7 2 2 2" xfId="36659" xr:uid="{00000000-0005-0000-0000-00001A280000}"/>
    <cellStyle name="Normal 2 2 2 3 5 7 2 3" xfId="27629" xr:uid="{00000000-0005-0000-0000-00001B280000}"/>
    <cellStyle name="Normal 2 2 2 3 5 7 3" xfId="12125" xr:uid="{00000000-0005-0000-0000-00001C280000}"/>
    <cellStyle name="Normal 2 2 2 3 5 7 3 2" xfId="32177" xr:uid="{00000000-0005-0000-0000-00001D280000}"/>
    <cellStyle name="Normal 2 2 2 3 5 7 4" xfId="23147" xr:uid="{00000000-0005-0000-0000-00001E280000}"/>
    <cellStyle name="Normal 2 2 2 3 5 8" xfId="4589" xr:uid="{00000000-0005-0000-0000-00001F280000}"/>
    <cellStyle name="Normal 2 2 2 3 5 8 2" xfId="13619" xr:uid="{00000000-0005-0000-0000-000020280000}"/>
    <cellStyle name="Normal 2 2 2 3 5 8 2 2" xfId="33671" xr:uid="{00000000-0005-0000-0000-000021280000}"/>
    <cellStyle name="Normal 2 2 2 3 5 8 3" xfId="24641" xr:uid="{00000000-0005-0000-0000-000022280000}"/>
    <cellStyle name="Normal 2 2 2 3 5 9" xfId="9137" xr:uid="{00000000-0005-0000-0000-000023280000}"/>
    <cellStyle name="Normal 2 2 2 3 5 9 2" xfId="29189" xr:uid="{00000000-0005-0000-0000-000024280000}"/>
    <cellStyle name="Normal 2 2 2 3 6" xfId="146" xr:uid="{00000000-0005-0000-0000-000025280000}"/>
    <cellStyle name="Normal 2 2 2 3 6 10" xfId="20198" xr:uid="{00000000-0005-0000-0000-000026280000}"/>
    <cellStyle name="Normal 2 2 2 3 6 2" xfId="332" xr:uid="{00000000-0005-0000-0000-000027280000}"/>
    <cellStyle name="Normal 2 2 2 3 6 2 2" xfId="1075" xr:uid="{00000000-0005-0000-0000-000028280000}"/>
    <cellStyle name="Normal 2 2 2 3 6 2 2 2" xfId="2569" xr:uid="{00000000-0005-0000-0000-000029280000}"/>
    <cellStyle name="Normal 2 2 2 3 6 2 2 2 2" xfId="7051" xr:uid="{00000000-0005-0000-0000-00002A280000}"/>
    <cellStyle name="Normal 2 2 2 3 6 2 2 2 2 2" xfId="16081" xr:uid="{00000000-0005-0000-0000-00002B280000}"/>
    <cellStyle name="Normal 2 2 2 3 6 2 2 2 2 2 2" xfId="36133" xr:uid="{00000000-0005-0000-0000-00002C280000}"/>
    <cellStyle name="Normal 2 2 2 3 6 2 2 2 2 3" xfId="27103" xr:uid="{00000000-0005-0000-0000-00002D280000}"/>
    <cellStyle name="Normal 2 2 2 3 6 2 2 2 3" xfId="11599" xr:uid="{00000000-0005-0000-0000-00002E280000}"/>
    <cellStyle name="Normal 2 2 2 3 6 2 2 2 3 2" xfId="31651" xr:uid="{00000000-0005-0000-0000-00002F280000}"/>
    <cellStyle name="Normal 2 2 2 3 6 2 2 2 4" xfId="22621" xr:uid="{00000000-0005-0000-0000-000030280000}"/>
    <cellStyle name="Normal 2 2 2 3 6 2 2 3" xfId="4063" xr:uid="{00000000-0005-0000-0000-000031280000}"/>
    <cellStyle name="Normal 2 2 2 3 6 2 2 3 2" xfId="8545" xr:uid="{00000000-0005-0000-0000-000032280000}"/>
    <cellStyle name="Normal 2 2 2 3 6 2 2 3 2 2" xfId="17575" xr:uid="{00000000-0005-0000-0000-000033280000}"/>
    <cellStyle name="Normal 2 2 2 3 6 2 2 3 2 2 2" xfId="37627" xr:uid="{00000000-0005-0000-0000-000034280000}"/>
    <cellStyle name="Normal 2 2 2 3 6 2 2 3 2 3" xfId="28597" xr:uid="{00000000-0005-0000-0000-000035280000}"/>
    <cellStyle name="Normal 2 2 2 3 6 2 2 3 3" xfId="13093" xr:uid="{00000000-0005-0000-0000-000036280000}"/>
    <cellStyle name="Normal 2 2 2 3 6 2 2 3 3 2" xfId="33145" xr:uid="{00000000-0005-0000-0000-000037280000}"/>
    <cellStyle name="Normal 2 2 2 3 6 2 2 3 4" xfId="24115" xr:uid="{00000000-0005-0000-0000-000038280000}"/>
    <cellStyle name="Normal 2 2 2 3 6 2 2 4" xfId="5557" xr:uid="{00000000-0005-0000-0000-000039280000}"/>
    <cellStyle name="Normal 2 2 2 3 6 2 2 4 2" xfId="14587" xr:uid="{00000000-0005-0000-0000-00003A280000}"/>
    <cellStyle name="Normal 2 2 2 3 6 2 2 4 2 2" xfId="34639" xr:uid="{00000000-0005-0000-0000-00003B280000}"/>
    <cellStyle name="Normal 2 2 2 3 6 2 2 4 3" xfId="25609" xr:uid="{00000000-0005-0000-0000-00003C280000}"/>
    <cellStyle name="Normal 2 2 2 3 6 2 2 5" xfId="10105" xr:uid="{00000000-0005-0000-0000-00003D280000}"/>
    <cellStyle name="Normal 2 2 2 3 6 2 2 5 2" xfId="30157" xr:uid="{00000000-0005-0000-0000-00003E280000}"/>
    <cellStyle name="Normal 2 2 2 3 6 2 2 6" xfId="21127" xr:uid="{00000000-0005-0000-0000-00003F280000}"/>
    <cellStyle name="Normal 2 2 2 3 6 2 3" xfId="1826" xr:uid="{00000000-0005-0000-0000-000040280000}"/>
    <cellStyle name="Normal 2 2 2 3 6 2 3 2" xfId="6308" xr:uid="{00000000-0005-0000-0000-000041280000}"/>
    <cellStyle name="Normal 2 2 2 3 6 2 3 2 2" xfId="15338" xr:uid="{00000000-0005-0000-0000-000042280000}"/>
    <cellStyle name="Normal 2 2 2 3 6 2 3 2 2 2" xfId="35390" xr:uid="{00000000-0005-0000-0000-000043280000}"/>
    <cellStyle name="Normal 2 2 2 3 6 2 3 2 3" xfId="26360" xr:uid="{00000000-0005-0000-0000-000044280000}"/>
    <cellStyle name="Normal 2 2 2 3 6 2 3 3" xfId="10856" xr:uid="{00000000-0005-0000-0000-000045280000}"/>
    <cellStyle name="Normal 2 2 2 3 6 2 3 3 2" xfId="30908" xr:uid="{00000000-0005-0000-0000-000046280000}"/>
    <cellStyle name="Normal 2 2 2 3 6 2 3 4" xfId="21878" xr:uid="{00000000-0005-0000-0000-000047280000}"/>
    <cellStyle name="Normal 2 2 2 3 6 2 4" xfId="3320" xr:uid="{00000000-0005-0000-0000-000048280000}"/>
    <cellStyle name="Normal 2 2 2 3 6 2 4 2" xfId="7802" xr:uid="{00000000-0005-0000-0000-000049280000}"/>
    <cellStyle name="Normal 2 2 2 3 6 2 4 2 2" xfId="16832" xr:uid="{00000000-0005-0000-0000-00004A280000}"/>
    <cellStyle name="Normal 2 2 2 3 6 2 4 2 2 2" xfId="36884" xr:uid="{00000000-0005-0000-0000-00004B280000}"/>
    <cellStyle name="Normal 2 2 2 3 6 2 4 2 3" xfId="27854" xr:uid="{00000000-0005-0000-0000-00004C280000}"/>
    <cellStyle name="Normal 2 2 2 3 6 2 4 3" xfId="12350" xr:uid="{00000000-0005-0000-0000-00004D280000}"/>
    <cellStyle name="Normal 2 2 2 3 6 2 4 3 2" xfId="32402" xr:uid="{00000000-0005-0000-0000-00004E280000}"/>
    <cellStyle name="Normal 2 2 2 3 6 2 4 4" xfId="23372" xr:uid="{00000000-0005-0000-0000-00004F280000}"/>
    <cellStyle name="Normal 2 2 2 3 6 2 5" xfId="4814" xr:uid="{00000000-0005-0000-0000-000050280000}"/>
    <cellStyle name="Normal 2 2 2 3 6 2 5 2" xfId="13844" xr:uid="{00000000-0005-0000-0000-000051280000}"/>
    <cellStyle name="Normal 2 2 2 3 6 2 5 2 2" xfId="33896" xr:uid="{00000000-0005-0000-0000-000052280000}"/>
    <cellStyle name="Normal 2 2 2 3 6 2 5 3" xfId="24866" xr:uid="{00000000-0005-0000-0000-000053280000}"/>
    <cellStyle name="Normal 2 2 2 3 6 2 6" xfId="9362" xr:uid="{00000000-0005-0000-0000-000054280000}"/>
    <cellStyle name="Normal 2 2 2 3 6 2 6 2" xfId="29414" xr:uid="{00000000-0005-0000-0000-000055280000}"/>
    <cellStyle name="Normal 2 2 2 3 6 2 7" xfId="20384" xr:uid="{00000000-0005-0000-0000-000056280000}"/>
    <cellStyle name="Normal 2 2 2 3 6 3" xfId="518" xr:uid="{00000000-0005-0000-0000-000057280000}"/>
    <cellStyle name="Normal 2 2 2 3 6 3 2" xfId="1265" xr:uid="{00000000-0005-0000-0000-000058280000}"/>
    <cellStyle name="Normal 2 2 2 3 6 3 2 2" xfId="2759" xr:uid="{00000000-0005-0000-0000-000059280000}"/>
    <cellStyle name="Normal 2 2 2 3 6 3 2 2 2" xfId="7241" xr:uid="{00000000-0005-0000-0000-00005A280000}"/>
    <cellStyle name="Normal 2 2 2 3 6 3 2 2 2 2" xfId="16271" xr:uid="{00000000-0005-0000-0000-00005B280000}"/>
    <cellStyle name="Normal 2 2 2 3 6 3 2 2 2 2 2" xfId="36323" xr:uid="{00000000-0005-0000-0000-00005C280000}"/>
    <cellStyle name="Normal 2 2 2 3 6 3 2 2 2 3" xfId="27293" xr:uid="{00000000-0005-0000-0000-00005D280000}"/>
    <cellStyle name="Normal 2 2 2 3 6 3 2 2 3" xfId="11789" xr:uid="{00000000-0005-0000-0000-00005E280000}"/>
    <cellStyle name="Normal 2 2 2 3 6 3 2 2 3 2" xfId="31841" xr:uid="{00000000-0005-0000-0000-00005F280000}"/>
    <cellStyle name="Normal 2 2 2 3 6 3 2 2 4" xfId="22811" xr:uid="{00000000-0005-0000-0000-000060280000}"/>
    <cellStyle name="Normal 2 2 2 3 6 3 2 3" xfId="4253" xr:uid="{00000000-0005-0000-0000-000061280000}"/>
    <cellStyle name="Normal 2 2 2 3 6 3 2 3 2" xfId="8735" xr:uid="{00000000-0005-0000-0000-000062280000}"/>
    <cellStyle name="Normal 2 2 2 3 6 3 2 3 2 2" xfId="17765" xr:uid="{00000000-0005-0000-0000-000063280000}"/>
    <cellStyle name="Normal 2 2 2 3 6 3 2 3 2 2 2" xfId="37817" xr:uid="{00000000-0005-0000-0000-000064280000}"/>
    <cellStyle name="Normal 2 2 2 3 6 3 2 3 2 3" xfId="28787" xr:uid="{00000000-0005-0000-0000-000065280000}"/>
    <cellStyle name="Normal 2 2 2 3 6 3 2 3 3" xfId="13283" xr:uid="{00000000-0005-0000-0000-000066280000}"/>
    <cellStyle name="Normal 2 2 2 3 6 3 2 3 3 2" xfId="33335" xr:uid="{00000000-0005-0000-0000-000067280000}"/>
    <cellStyle name="Normal 2 2 2 3 6 3 2 3 4" xfId="24305" xr:uid="{00000000-0005-0000-0000-000068280000}"/>
    <cellStyle name="Normal 2 2 2 3 6 3 2 4" xfId="5747" xr:uid="{00000000-0005-0000-0000-000069280000}"/>
    <cellStyle name="Normal 2 2 2 3 6 3 2 4 2" xfId="14777" xr:uid="{00000000-0005-0000-0000-00006A280000}"/>
    <cellStyle name="Normal 2 2 2 3 6 3 2 4 2 2" xfId="34829" xr:uid="{00000000-0005-0000-0000-00006B280000}"/>
    <cellStyle name="Normal 2 2 2 3 6 3 2 4 3" xfId="25799" xr:uid="{00000000-0005-0000-0000-00006C280000}"/>
    <cellStyle name="Normal 2 2 2 3 6 3 2 5" xfId="10295" xr:uid="{00000000-0005-0000-0000-00006D280000}"/>
    <cellStyle name="Normal 2 2 2 3 6 3 2 5 2" xfId="30347" xr:uid="{00000000-0005-0000-0000-00006E280000}"/>
    <cellStyle name="Normal 2 2 2 3 6 3 2 6" xfId="21317" xr:uid="{00000000-0005-0000-0000-00006F280000}"/>
    <cellStyle name="Normal 2 2 2 3 6 3 3" xfId="2012" xr:uid="{00000000-0005-0000-0000-000070280000}"/>
    <cellStyle name="Normal 2 2 2 3 6 3 3 2" xfId="6494" xr:uid="{00000000-0005-0000-0000-000071280000}"/>
    <cellStyle name="Normal 2 2 2 3 6 3 3 2 2" xfId="15524" xr:uid="{00000000-0005-0000-0000-000072280000}"/>
    <cellStyle name="Normal 2 2 2 3 6 3 3 2 2 2" xfId="35576" xr:uid="{00000000-0005-0000-0000-000073280000}"/>
    <cellStyle name="Normal 2 2 2 3 6 3 3 2 3" xfId="26546" xr:uid="{00000000-0005-0000-0000-000074280000}"/>
    <cellStyle name="Normal 2 2 2 3 6 3 3 3" xfId="11042" xr:uid="{00000000-0005-0000-0000-000075280000}"/>
    <cellStyle name="Normal 2 2 2 3 6 3 3 3 2" xfId="31094" xr:uid="{00000000-0005-0000-0000-000076280000}"/>
    <cellStyle name="Normal 2 2 2 3 6 3 3 4" xfId="22064" xr:uid="{00000000-0005-0000-0000-000077280000}"/>
    <cellStyle name="Normal 2 2 2 3 6 3 4" xfId="3506" xr:uid="{00000000-0005-0000-0000-000078280000}"/>
    <cellStyle name="Normal 2 2 2 3 6 3 4 2" xfId="7988" xr:uid="{00000000-0005-0000-0000-000079280000}"/>
    <cellStyle name="Normal 2 2 2 3 6 3 4 2 2" xfId="17018" xr:uid="{00000000-0005-0000-0000-00007A280000}"/>
    <cellStyle name="Normal 2 2 2 3 6 3 4 2 2 2" xfId="37070" xr:uid="{00000000-0005-0000-0000-00007B280000}"/>
    <cellStyle name="Normal 2 2 2 3 6 3 4 2 3" xfId="28040" xr:uid="{00000000-0005-0000-0000-00007C280000}"/>
    <cellStyle name="Normal 2 2 2 3 6 3 4 3" xfId="12536" xr:uid="{00000000-0005-0000-0000-00007D280000}"/>
    <cellStyle name="Normal 2 2 2 3 6 3 4 3 2" xfId="32588" xr:uid="{00000000-0005-0000-0000-00007E280000}"/>
    <cellStyle name="Normal 2 2 2 3 6 3 4 4" xfId="23558" xr:uid="{00000000-0005-0000-0000-00007F280000}"/>
    <cellStyle name="Normal 2 2 2 3 6 3 5" xfId="5000" xr:uid="{00000000-0005-0000-0000-000080280000}"/>
    <cellStyle name="Normal 2 2 2 3 6 3 5 2" xfId="14030" xr:uid="{00000000-0005-0000-0000-000081280000}"/>
    <cellStyle name="Normal 2 2 2 3 6 3 5 2 2" xfId="34082" xr:uid="{00000000-0005-0000-0000-000082280000}"/>
    <cellStyle name="Normal 2 2 2 3 6 3 5 3" xfId="25052" xr:uid="{00000000-0005-0000-0000-000083280000}"/>
    <cellStyle name="Normal 2 2 2 3 6 3 6" xfId="9548" xr:uid="{00000000-0005-0000-0000-000084280000}"/>
    <cellStyle name="Normal 2 2 2 3 6 3 6 2" xfId="29600" xr:uid="{00000000-0005-0000-0000-000085280000}"/>
    <cellStyle name="Normal 2 2 2 3 6 3 7" xfId="20570" xr:uid="{00000000-0005-0000-0000-000086280000}"/>
    <cellStyle name="Normal 2 2 2 3 6 4" xfId="704" xr:uid="{00000000-0005-0000-0000-000087280000}"/>
    <cellStyle name="Normal 2 2 2 3 6 4 2" xfId="1451" xr:uid="{00000000-0005-0000-0000-000088280000}"/>
    <cellStyle name="Normal 2 2 2 3 6 4 2 2" xfId="2945" xr:uid="{00000000-0005-0000-0000-000089280000}"/>
    <cellStyle name="Normal 2 2 2 3 6 4 2 2 2" xfId="7427" xr:uid="{00000000-0005-0000-0000-00008A280000}"/>
    <cellStyle name="Normal 2 2 2 3 6 4 2 2 2 2" xfId="16457" xr:uid="{00000000-0005-0000-0000-00008B280000}"/>
    <cellStyle name="Normal 2 2 2 3 6 4 2 2 2 2 2" xfId="36509" xr:uid="{00000000-0005-0000-0000-00008C280000}"/>
    <cellStyle name="Normal 2 2 2 3 6 4 2 2 2 3" xfId="27479" xr:uid="{00000000-0005-0000-0000-00008D280000}"/>
    <cellStyle name="Normal 2 2 2 3 6 4 2 2 3" xfId="11975" xr:uid="{00000000-0005-0000-0000-00008E280000}"/>
    <cellStyle name="Normal 2 2 2 3 6 4 2 2 3 2" xfId="32027" xr:uid="{00000000-0005-0000-0000-00008F280000}"/>
    <cellStyle name="Normal 2 2 2 3 6 4 2 2 4" xfId="22997" xr:uid="{00000000-0005-0000-0000-000090280000}"/>
    <cellStyle name="Normal 2 2 2 3 6 4 2 3" xfId="4439" xr:uid="{00000000-0005-0000-0000-000091280000}"/>
    <cellStyle name="Normal 2 2 2 3 6 4 2 3 2" xfId="8921" xr:uid="{00000000-0005-0000-0000-000092280000}"/>
    <cellStyle name="Normal 2 2 2 3 6 4 2 3 2 2" xfId="17951" xr:uid="{00000000-0005-0000-0000-000093280000}"/>
    <cellStyle name="Normal 2 2 2 3 6 4 2 3 2 2 2" xfId="38003" xr:uid="{00000000-0005-0000-0000-000094280000}"/>
    <cellStyle name="Normal 2 2 2 3 6 4 2 3 2 3" xfId="28973" xr:uid="{00000000-0005-0000-0000-000095280000}"/>
    <cellStyle name="Normal 2 2 2 3 6 4 2 3 3" xfId="13469" xr:uid="{00000000-0005-0000-0000-000096280000}"/>
    <cellStyle name="Normal 2 2 2 3 6 4 2 3 3 2" xfId="33521" xr:uid="{00000000-0005-0000-0000-000097280000}"/>
    <cellStyle name="Normal 2 2 2 3 6 4 2 3 4" xfId="24491" xr:uid="{00000000-0005-0000-0000-000098280000}"/>
    <cellStyle name="Normal 2 2 2 3 6 4 2 4" xfId="5933" xr:uid="{00000000-0005-0000-0000-000099280000}"/>
    <cellStyle name="Normal 2 2 2 3 6 4 2 4 2" xfId="14963" xr:uid="{00000000-0005-0000-0000-00009A280000}"/>
    <cellStyle name="Normal 2 2 2 3 6 4 2 4 2 2" xfId="35015" xr:uid="{00000000-0005-0000-0000-00009B280000}"/>
    <cellStyle name="Normal 2 2 2 3 6 4 2 4 3" xfId="25985" xr:uid="{00000000-0005-0000-0000-00009C280000}"/>
    <cellStyle name="Normal 2 2 2 3 6 4 2 5" xfId="10481" xr:uid="{00000000-0005-0000-0000-00009D280000}"/>
    <cellStyle name="Normal 2 2 2 3 6 4 2 5 2" xfId="30533" xr:uid="{00000000-0005-0000-0000-00009E280000}"/>
    <cellStyle name="Normal 2 2 2 3 6 4 2 6" xfId="21503" xr:uid="{00000000-0005-0000-0000-00009F280000}"/>
    <cellStyle name="Normal 2 2 2 3 6 4 3" xfId="2198" xr:uid="{00000000-0005-0000-0000-0000A0280000}"/>
    <cellStyle name="Normal 2 2 2 3 6 4 3 2" xfId="6680" xr:uid="{00000000-0005-0000-0000-0000A1280000}"/>
    <cellStyle name="Normal 2 2 2 3 6 4 3 2 2" xfId="15710" xr:uid="{00000000-0005-0000-0000-0000A2280000}"/>
    <cellStyle name="Normal 2 2 2 3 6 4 3 2 2 2" xfId="35762" xr:uid="{00000000-0005-0000-0000-0000A3280000}"/>
    <cellStyle name="Normal 2 2 2 3 6 4 3 2 3" xfId="26732" xr:uid="{00000000-0005-0000-0000-0000A4280000}"/>
    <cellStyle name="Normal 2 2 2 3 6 4 3 3" xfId="11228" xr:uid="{00000000-0005-0000-0000-0000A5280000}"/>
    <cellStyle name="Normal 2 2 2 3 6 4 3 3 2" xfId="31280" xr:uid="{00000000-0005-0000-0000-0000A6280000}"/>
    <cellStyle name="Normal 2 2 2 3 6 4 3 4" xfId="22250" xr:uid="{00000000-0005-0000-0000-0000A7280000}"/>
    <cellStyle name="Normal 2 2 2 3 6 4 4" xfId="3692" xr:uid="{00000000-0005-0000-0000-0000A8280000}"/>
    <cellStyle name="Normal 2 2 2 3 6 4 4 2" xfId="8174" xr:uid="{00000000-0005-0000-0000-0000A9280000}"/>
    <cellStyle name="Normal 2 2 2 3 6 4 4 2 2" xfId="17204" xr:uid="{00000000-0005-0000-0000-0000AA280000}"/>
    <cellStyle name="Normal 2 2 2 3 6 4 4 2 2 2" xfId="37256" xr:uid="{00000000-0005-0000-0000-0000AB280000}"/>
    <cellStyle name="Normal 2 2 2 3 6 4 4 2 3" xfId="28226" xr:uid="{00000000-0005-0000-0000-0000AC280000}"/>
    <cellStyle name="Normal 2 2 2 3 6 4 4 3" xfId="12722" xr:uid="{00000000-0005-0000-0000-0000AD280000}"/>
    <cellStyle name="Normal 2 2 2 3 6 4 4 3 2" xfId="32774" xr:uid="{00000000-0005-0000-0000-0000AE280000}"/>
    <cellStyle name="Normal 2 2 2 3 6 4 4 4" xfId="23744" xr:uid="{00000000-0005-0000-0000-0000AF280000}"/>
    <cellStyle name="Normal 2 2 2 3 6 4 5" xfId="5186" xr:uid="{00000000-0005-0000-0000-0000B0280000}"/>
    <cellStyle name="Normal 2 2 2 3 6 4 5 2" xfId="14216" xr:uid="{00000000-0005-0000-0000-0000B1280000}"/>
    <cellStyle name="Normal 2 2 2 3 6 4 5 2 2" xfId="34268" xr:uid="{00000000-0005-0000-0000-0000B2280000}"/>
    <cellStyle name="Normal 2 2 2 3 6 4 5 3" xfId="25238" xr:uid="{00000000-0005-0000-0000-0000B3280000}"/>
    <cellStyle name="Normal 2 2 2 3 6 4 6" xfId="9734" xr:uid="{00000000-0005-0000-0000-0000B4280000}"/>
    <cellStyle name="Normal 2 2 2 3 6 4 6 2" xfId="29786" xr:uid="{00000000-0005-0000-0000-0000B5280000}"/>
    <cellStyle name="Normal 2 2 2 3 6 4 7" xfId="20756" xr:uid="{00000000-0005-0000-0000-0000B6280000}"/>
    <cellStyle name="Normal 2 2 2 3 6 5" xfId="891" xr:uid="{00000000-0005-0000-0000-0000B7280000}"/>
    <cellStyle name="Normal 2 2 2 3 6 5 2" xfId="2385" xr:uid="{00000000-0005-0000-0000-0000B8280000}"/>
    <cellStyle name="Normal 2 2 2 3 6 5 2 2" xfId="6867" xr:uid="{00000000-0005-0000-0000-0000B9280000}"/>
    <cellStyle name="Normal 2 2 2 3 6 5 2 2 2" xfId="15897" xr:uid="{00000000-0005-0000-0000-0000BA280000}"/>
    <cellStyle name="Normal 2 2 2 3 6 5 2 2 2 2" xfId="35949" xr:uid="{00000000-0005-0000-0000-0000BB280000}"/>
    <cellStyle name="Normal 2 2 2 3 6 5 2 2 3" xfId="26919" xr:uid="{00000000-0005-0000-0000-0000BC280000}"/>
    <cellStyle name="Normal 2 2 2 3 6 5 2 3" xfId="11415" xr:uid="{00000000-0005-0000-0000-0000BD280000}"/>
    <cellStyle name="Normal 2 2 2 3 6 5 2 3 2" xfId="31467" xr:uid="{00000000-0005-0000-0000-0000BE280000}"/>
    <cellStyle name="Normal 2 2 2 3 6 5 2 4" xfId="22437" xr:uid="{00000000-0005-0000-0000-0000BF280000}"/>
    <cellStyle name="Normal 2 2 2 3 6 5 3" xfId="3879" xr:uid="{00000000-0005-0000-0000-0000C0280000}"/>
    <cellStyle name="Normal 2 2 2 3 6 5 3 2" xfId="8361" xr:uid="{00000000-0005-0000-0000-0000C1280000}"/>
    <cellStyle name="Normal 2 2 2 3 6 5 3 2 2" xfId="17391" xr:uid="{00000000-0005-0000-0000-0000C2280000}"/>
    <cellStyle name="Normal 2 2 2 3 6 5 3 2 2 2" xfId="37443" xr:uid="{00000000-0005-0000-0000-0000C3280000}"/>
    <cellStyle name="Normal 2 2 2 3 6 5 3 2 3" xfId="28413" xr:uid="{00000000-0005-0000-0000-0000C4280000}"/>
    <cellStyle name="Normal 2 2 2 3 6 5 3 3" xfId="12909" xr:uid="{00000000-0005-0000-0000-0000C5280000}"/>
    <cellStyle name="Normal 2 2 2 3 6 5 3 3 2" xfId="32961" xr:uid="{00000000-0005-0000-0000-0000C6280000}"/>
    <cellStyle name="Normal 2 2 2 3 6 5 3 4" xfId="23931" xr:uid="{00000000-0005-0000-0000-0000C7280000}"/>
    <cellStyle name="Normal 2 2 2 3 6 5 4" xfId="5373" xr:uid="{00000000-0005-0000-0000-0000C8280000}"/>
    <cellStyle name="Normal 2 2 2 3 6 5 4 2" xfId="14403" xr:uid="{00000000-0005-0000-0000-0000C9280000}"/>
    <cellStyle name="Normal 2 2 2 3 6 5 4 2 2" xfId="34455" xr:uid="{00000000-0005-0000-0000-0000CA280000}"/>
    <cellStyle name="Normal 2 2 2 3 6 5 4 3" xfId="25425" xr:uid="{00000000-0005-0000-0000-0000CB280000}"/>
    <cellStyle name="Normal 2 2 2 3 6 5 5" xfId="9921" xr:uid="{00000000-0005-0000-0000-0000CC280000}"/>
    <cellStyle name="Normal 2 2 2 3 6 5 5 2" xfId="29973" xr:uid="{00000000-0005-0000-0000-0000CD280000}"/>
    <cellStyle name="Normal 2 2 2 3 6 5 6" xfId="20943" xr:uid="{00000000-0005-0000-0000-0000CE280000}"/>
    <cellStyle name="Normal 2 2 2 3 6 6" xfId="1640" xr:uid="{00000000-0005-0000-0000-0000CF280000}"/>
    <cellStyle name="Normal 2 2 2 3 6 6 2" xfId="6122" xr:uid="{00000000-0005-0000-0000-0000D0280000}"/>
    <cellStyle name="Normal 2 2 2 3 6 6 2 2" xfId="15152" xr:uid="{00000000-0005-0000-0000-0000D1280000}"/>
    <cellStyle name="Normal 2 2 2 3 6 6 2 2 2" xfId="35204" xr:uid="{00000000-0005-0000-0000-0000D2280000}"/>
    <cellStyle name="Normal 2 2 2 3 6 6 2 3" xfId="26174" xr:uid="{00000000-0005-0000-0000-0000D3280000}"/>
    <cellStyle name="Normal 2 2 2 3 6 6 3" xfId="10670" xr:uid="{00000000-0005-0000-0000-0000D4280000}"/>
    <cellStyle name="Normal 2 2 2 3 6 6 3 2" xfId="30722" xr:uid="{00000000-0005-0000-0000-0000D5280000}"/>
    <cellStyle name="Normal 2 2 2 3 6 6 4" xfId="21692" xr:uid="{00000000-0005-0000-0000-0000D6280000}"/>
    <cellStyle name="Normal 2 2 2 3 6 7" xfId="3134" xr:uid="{00000000-0005-0000-0000-0000D7280000}"/>
    <cellStyle name="Normal 2 2 2 3 6 7 2" xfId="7616" xr:uid="{00000000-0005-0000-0000-0000D8280000}"/>
    <cellStyle name="Normal 2 2 2 3 6 7 2 2" xfId="16646" xr:uid="{00000000-0005-0000-0000-0000D9280000}"/>
    <cellStyle name="Normal 2 2 2 3 6 7 2 2 2" xfId="36698" xr:uid="{00000000-0005-0000-0000-0000DA280000}"/>
    <cellStyle name="Normal 2 2 2 3 6 7 2 3" xfId="27668" xr:uid="{00000000-0005-0000-0000-0000DB280000}"/>
    <cellStyle name="Normal 2 2 2 3 6 7 3" xfId="12164" xr:uid="{00000000-0005-0000-0000-0000DC280000}"/>
    <cellStyle name="Normal 2 2 2 3 6 7 3 2" xfId="32216" xr:uid="{00000000-0005-0000-0000-0000DD280000}"/>
    <cellStyle name="Normal 2 2 2 3 6 7 4" xfId="23186" xr:uid="{00000000-0005-0000-0000-0000DE280000}"/>
    <cellStyle name="Normal 2 2 2 3 6 8" xfId="4628" xr:uid="{00000000-0005-0000-0000-0000DF280000}"/>
    <cellStyle name="Normal 2 2 2 3 6 8 2" xfId="13658" xr:uid="{00000000-0005-0000-0000-0000E0280000}"/>
    <cellStyle name="Normal 2 2 2 3 6 8 2 2" xfId="33710" xr:uid="{00000000-0005-0000-0000-0000E1280000}"/>
    <cellStyle name="Normal 2 2 2 3 6 8 3" xfId="24680" xr:uid="{00000000-0005-0000-0000-0000E2280000}"/>
    <cellStyle name="Normal 2 2 2 3 6 9" xfId="9176" xr:uid="{00000000-0005-0000-0000-0000E3280000}"/>
    <cellStyle name="Normal 2 2 2 3 6 9 2" xfId="29228" xr:uid="{00000000-0005-0000-0000-0000E4280000}"/>
    <cellStyle name="Normal 2 2 2 3 7" xfId="169" xr:uid="{00000000-0005-0000-0000-0000E5280000}"/>
    <cellStyle name="Normal 2 2 2 3 7 10" xfId="20221" xr:uid="{00000000-0005-0000-0000-0000E6280000}"/>
    <cellStyle name="Normal 2 2 2 3 7 2" xfId="355" xr:uid="{00000000-0005-0000-0000-0000E7280000}"/>
    <cellStyle name="Normal 2 2 2 3 7 2 2" xfId="1098" xr:uid="{00000000-0005-0000-0000-0000E8280000}"/>
    <cellStyle name="Normal 2 2 2 3 7 2 2 2" xfId="2592" xr:uid="{00000000-0005-0000-0000-0000E9280000}"/>
    <cellStyle name="Normal 2 2 2 3 7 2 2 2 2" xfId="7074" xr:uid="{00000000-0005-0000-0000-0000EA280000}"/>
    <cellStyle name="Normal 2 2 2 3 7 2 2 2 2 2" xfId="16104" xr:uid="{00000000-0005-0000-0000-0000EB280000}"/>
    <cellStyle name="Normal 2 2 2 3 7 2 2 2 2 2 2" xfId="36156" xr:uid="{00000000-0005-0000-0000-0000EC280000}"/>
    <cellStyle name="Normal 2 2 2 3 7 2 2 2 2 3" xfId="27126" xr:uid="{00000000-0005-0000-0000-0000ED280000}"/>
    <cellStyle name="Normal 2 2 2 3 7 2 2 2 3" xfId="11622" xr:uid="{00000000-0005-0000-0000-0000EE280000}"/>
    <cellStyle name="Normal 2 2 2 3 7 2 2 2 3 2" xfId="31674" xr:uid="{00000000-0005-0000-0000-0000EF280000}"/>
    <cellStyle name="Normal 2 2 2 3 7 2 2 2 4" xfId="22644" xr:uid="{00000000-0005-0000-0000-0000F0280000}"/>
    <cellStyle name="Normal 2 2 2 3 7 2 2 3" xfId="4086" xr:uid="{00000000-0005-0000-0000-0000F1280000}"/>
    <cellStyle name="Normal 2 2 2 3 7 2 2 3 2" xfId="8568" xr:uid="{00000000-0005-0000-0000-0000F2280000}"/>
    <cellStyle name="Normal 2 2 2 3 7 2 2 3 2 2" xfId="17598" xr:uid="{00000000-0005-0000-0000-0000F3280000}"/>
    <cellStyle name="Normal 2 2 2 3 7 2 2 3 2 2 2" xfId="37650" xr:uid="{00000000-0005-0000-0000-0000F4280000}"/>
    <cellStyle name="Normal 2 2 2 3 7 2 2 3 2 3" xfId="28620" xr:uid="{00000000-0005-0000-0000-0000F5280000}"/>
    <cellStyle name="Normal 2 2 2 3 7 2 2 3 3" xfId="13116" xr:uid="{00000000-0005-0000-0000-0000F6280000}"/>
    <cellStyle name="Normal 2 2 2 3 7 2 2 3 3 2" xfId="33168" xr:uid="{00000000-0005-0000-0000-0000F7280000}"/>
    <cellStyle name="Normal 2 2 2 3 7 2 2 3 4" xfId="24138" xr:uid="{00000000-0005-0000-0000-0000F8280000}"/>
    <cellStyle name="Normal 2 2 2 3 7 2 2 4" xfId="5580" xr:uid="{00000000-0005-0000-0000-0000F9280000}"/>
    <cellStyle name="Normal 2 2 2 3 7 2 2 4 2" xfId="14610" xr:uid="{00000000-0005-0000-0000-0000FA280000}"/>
    <cellStyle name="Normal 2 2 2 3 7 2 2 4 2 2" xfId="34662" xr:uid="{00000000-0005-0000-0000-0000FB280000}"/>
    <cellStyle name="Normal 2 2 2 3 7 2 2 4 3" xfId="25632" xr:uid="{00000000-0005-0000-0000-0000FC280000}"/>
    <cellStyle name="Normal 2 2 2 3 7 2 2 5" xfId="10128" xr:uid="{00000000-0005-0000-0000-0000FD280000}"/>
    <cellStyle name="Normal 2 2 2 3 7 2 2 5 2" xfId="30180" xr:uid="{00000000-0005-0000-0000-0000FE280000}"/>
    <cellStyle name="Normal 2 2 2 3 7 2 2 6" xfId="21150" xr:uid="{00000000-0005-0000-0000-0000FF280000}"/>
    <cellStyle name="Normal 2 2 2 3 7 2 3" xfId="1849" xr:uid="{00000000-0005-0000-0000-000000290000}"/>
    <cellStyle name="Normal 2 2 2 3 7 2 3 2" xfId="6331" xr:uid="{00000000-0005-0000-0000-000001290000}"/>
    <cellStyle name="Normal 2 2 2 3 7 2 3 2 2" xfId="15361" xr:uid="{00000000-0005-0000-0000-000002290000}"/>
    <cellStyle name="Normal 2 2 2 3 7 2 3 2 2 2" xfId="35413" xr:uid="{00000000-0005-0000-0000-000003290000}"/>
    <cellStyle name="Normal 2 2 2 3 7 2 3 2 3" xfId="26383" xr:uid="{00000000-0005-0000-0000-000004290000}"/>
    <cellStyle name="Normal 2 2 2 3 7 2 3 3" xfId="10879" xr:uid="{00000000-0005-0000-0000-000005290000}"/>
    <cellStyle name="Normal 2 2 2 3 7 2 3 3 2" xfId="30931" xr:uid="{00000000-0005-0000-0000-000006290000}"/>
    <cellStyle name="Normal 2 2 2 3 7 2 3 4" xfId="21901" xr:uid="{00000000-0005-0000-0000-000007290000}"/>
    <cellStyle name="Normal 2 2 2 3 7 2 4" xfId="3343" xr:uid="{00000000-0005-0000-0000-000008290000}"/>
    <cellStyle name="Normal 2 2 2 3 7 2 4 2" xfId="7825" xr:uid="{00000000-0005-0000-0000-000009290000}"/>
    <cellStyle name="Normal 2 2 2 3 7 2 4 2 2" xfId="16855" xr:uid="{00000000-0005-0000-0000-00000A290000}"/>
    <cellStyle name="Normal 2 2 2 3 7 2 4 2 2 2" xfId="36907" xr:uid="{00000000-0005-0000-0000-00000B290000}"/>
    <cellStyle name="Normal 2 2 2 3 7 2 4 2 3" xfId="27877" xr:uid="{00000000-0005-0000-0000-00000C290000}"/>
    <cellStyle name="Normal 2 2 2 3 7 2 4 3" xfId="12373" xr:uid="{00000000-0005-0000-0000-00000D290000}"/>
    <cellStyle name="Normal 2 2 2 3 7 2 4 3 2" xfId="32425" xr:uid="{00000000-0005-0000-0000-00000E290000}"/>
    <cellStyle name="Normal 2 2 2 3 7 2 4 4" xfId="23395" xr:uid="{00000000-0005-0000-0000-00000F290000}"/>
    <cellStyle name="Normal 2 2 2 3 7 2 5" xfId="4837" xr:uid="{00000000-0005-0000-0000-000010290000}"/>
    <cellStyle name="Normal 2 2 2 3 7 2 5 2" xfId="13867" xr:uid="{00000000-0005-0000-0000-000011290000}"/>
    <cellStyle name="Normal 2 2 2 3 7 2 5 2 2" xfId="33919" xr:uid="{00000000-0005-0000-0000-000012290000}"/>
    <cellStyle name="Normal 2 2 2 3 7 2 5 3" xfId="24889" xr:uid="{00000000-0005-0000-0000-000013290000}"/>
    <cellStyle name="Normal 2 2 2 3 7 2 6" xfId="9385" xr:uid="{00000000-0005-0000-0000-000014290000}"/>
    <cellStyle name="Normal 2 2 2 3 7 2 6 2" xfId="29437" xr:uid="{00000000-0005-0000-0000-000015290000}"/>
    <cellStyle name="Normal 2 2 2 3 7 2 7" xfId="20407" xr:uid="{00000000-0005-0000-0000-000016290000}"/>
    <cellStyle name="Normal 2 2 2 3 7 3" xfId="541" xr:uid="{00000000-0005-0000-0000-000017290000}"/>
    <cellStyle name="Normal 2 2 2 3 7 3 2" xfId="1288" xr:uid="{00000000-0005-0000-0000-000018290000}"/>
    <cellStyle name="Normal 2 2 2 3 7 3 2 2" xfId="2782" xr:uid="{00000000-0005-0000-0000-000019290000}"/>
    <cellStyle name="Normal 2 2 2 3 7 3 2 2 2" xfId="7264" xr:uid="{00000000-0005-0000-0000-00001A290000}"/>
    <cellStyle name="Normal 2 2 2 3 7 3 2 2 2 2" xfId="16294" xr:uid="{00000000-0005-0000-0000-00001B290000}"/>
    <cellStyle name="Normal 2 2 2 3 7 3 2 2 2 2 2" xfId="36346" xr:uid="{00000000-0005-0000-0000-00001C290000}"/>
    <cellStyle name="Normal 2 2 2 3 7 3 2 2 2 3" xfId="27316" xr:uid="{00000000-0005-0000-0000-00001D290000}"/>
    <cellStyle name="Normal 2 2 2 3 7 3 2 2 3" xfId="11812" xr:uid="{00000000-0005-0000-0000-00001E290000}"/>
    <cellStyle name="Normal 2 2 2 3 7 3 2 2 3 2" xfId="31864" xr:uid="{00000000-0005-0000-0000-00001F290000}"/>
    <cellStyle name="Normal 2 2 2 3 7 3 2 2 4" xfId="22834" xr:uid="{00000000-0005-0000-0000-000020290000}"/>
    <cellStyle name="Normal 2 2 2 3 7 3 2 3" xfId="4276" xr:uid="{00000000-0005-0000-0000-000021290000}"/>
    <cellStyle name="Normal 2 2 2 3 7 3 2 3 2" xfId="8758" xr:uid="{00000000-0005-0000-0000-000022290000}"/>
    <cellStyle name="Normal 2 2 2 3 7 3 2 3 2 2" xfId="17788" xr:uid="{00000000-0005-0000-0000-000023290000}"/>
    <cellStyle name="Normal 2 2 2 3 7 3 2 3 2 2 2" xfId="37840" xr:uid="{00000000-0005-0000-0000-000024290000}"/>
    <cellStyle name="Normal 2 2 2 3 7 3 2 3 2 3" xfId="28810" xr:uid="{00000000-0005-0000-0000-000025290000}"/>
    <cellStyle name="Normal 2 2 2 3 7 3 2 3 3" xfId="13306" xr:uid="{00000000-0005-0000-0000-000026290000}"/>
    <cellStyle name="Normal 2 2 2 3 7 3 2 3 3 2" xfId="33358" xr:uid="{00000000-0005-0000-0000-000027290000}"/>
    <cellStyle name="Normal 2 2 2 3 7 3 2 3 4" xfId="24328" xr:uid="{00000000-0005-0000-0000-000028290000}"/>
    <cellStyle name="Normal 2 2 2 3 7 3 2 4" xfId="5770" xr:uid="{00000000-0005-0000-0000-000029290000}"/>
    <cellStyle name="Normal 2 2 2 3 7 3 2 4 2" xfId="14800" xr:uid="{00000000-0005-0000-0000-00002A290000}"/>
    <cellStyle name="Normal 2 2 2 3 7 3 2 4 2 2" xfId="34852" xr:uid="{00000000-0005-0000-0000-00002B290000}"/>
    <cellStyle name="Normal 2 2 2 3 7 3 2 4 3" xfId="25822" xr:uid="{00000000-0005-0000-0000-00002C290000}"/>
    <cellStyle name="Normal 2 2 2 3 7 3 2 5" xfId="10318" xr:uid="{00000000-0005-0000-0000-00002D290000}"/>
    <cellStyle name="Normal 2 2 2 3 7 3 2 5 2" xfId="30370" xr:uid="{00000000-0005-0000-0000-00002E290000}"/>
    <cellStyle name="Normal 2 2 2 3 7 3 2 6" xfId="21340" xr:uid="{00000000-0005-0000-0000-00002F290000}"/>
    <cellStyle name="Normal 2 2 2 3 7 3 3" xfId="2035" xr:uid="{00000000-0005-0000-0000-000030290000}"/>
    <cellStyle name="Normal 2 2 2 3 7 3 3 2" xfId="6517" xr:uid="{00000000-0005-0000-0000-000031290000}"/>
    <cellStyle name="Normal 2 2 2 3 7 3 3 2 2" xfId="15547" xr:uid="{00000000-0005-0000-0000-000032290000}"/>
    <cellStyle name="Normal 2 2 2 3 7 3 3 2 2 2" xfId="35599" xr:uid="{00000000-0005-0000-0000-000033290000}"/>
    <cellStyle name="Normal 2 2 2 3 7 3 3 2 3" xfId="26569" xr:uid="{00000000-0005-0000-0000-000034290000}"/>
    <cellStyle name="Normal 2 2 2 3 7 3 3 3" xfId="11065" xr:uid="{00000000-0005-0000-0000-000035290000}"/>
    <cellStyle name="Normal 2 2 2 3 7 3 3 3 2" xfId="31117" xr:uid="{00000000-0005-0000-0000-000036290000}"/>
    <cellStyle name="Normal 2 2 2 3 7 3 3 4" xfId="22087" xr:uid="{00000000-0005-0000-0000-000037290000}"/>
    <cellStyle name="Normal 2 2 2 3 7 3 4" xfId="3529" xr:uid="{00000000-0005-0000-0000-000038290000}"/>
    <cellStyle name="Normal 2 2 2 3 7 3 4 2" xfId="8011" xr:uid="{00000000-0005-0000-0000-000039290000}"/>
    <cellStyle name="Normal 2 2 2 3 7 3 4 2 2" xfId="17041" xr:uid="{00000000-0005-0000-0000-00003A290000}"/>
    <cellStyle name="Normal 2 2 2 3 7 3 4 2 2 2" xfId="37093" xr:uid="{00000000-0005-0000-0000-00003B290000}"/>
    <cellStyle name="Normal 2 2 2 3 7 3 4 2 3" xfId="28063" xr:uid="{00000000-0005-0000-0000-00003C290000}"/>
    <cellStyle name="Normal 2 2 2 3 7 3 4 3" xfId="12559" xr:uid="{00000000-0005-0000-0000-00003D290000}"/>
    <cellStyle name="Normal 2 2 2 3 7 3 4 3 2" xfId="32611" xr:uid="{00000000-0005-0000-0000-00003E290000}"/>
    <cellStyle name="Normal 2 2 2 3 7 3 4 4" xfId="23581" xr:uid="{00000000-0005-0000-0000-00003F290000}"/>
    <cellStyle name="Normal 2 2 2 3 7 3 5" xfId="5023" xr:uid="{00000000-0005-0000-0000-000040290000}"/>
    <cellStyle name="Normal 2 2 2 3 7 3 5 2" xfId="14053" xr:uid="{00000000-0005-0000-0000-000041290000}"/>
    <cellStyle name="Normal 2 2 2 3 7 3 5 2 2" xfId="34105" xr:uid="{00000000-0005-0000-0000-000042290000}"/>
    <cellStyle name="Normal 2 2 2 3 7 3 5 3" xfId="25075" xr:uid="{00000000-0005-0000-0000-000043290000}"/>
    <cellStyle name="Normal 2 2 2 3 7 3 6" xfId="9571" xr:uid="{00000000-0005-0000-0000-000044290000}"/>
    <cellStyle name="Normal 2 2 2 3 7 3 6 2" xfId="29623" xr:uid="{00000000-0005-0000-0000-000045290000}"/>
    <cellStyle name="Normal 2 2 2 3 7 3 7" xfId="20593" xr:uid="{00000000-0005-0000-0000-000046290000}"/>
    <cellStyle name="Normal 2 2 2 3 7 4" xfId="727" xr:uid="{00000000-0005-0000-0000-000047290000}"/>
    <cellStyle name="Normal 2 2 2 3 7 4 2" xfId="1474" xr:uid="{00000000-0005-0000-0000-000048290000}"/>
    <cellStyle name="Normal 2 2 2 3 7 4 2 2" xfId="2968" xr:uid="{00000000-0005-0000-0000-000049290000}"/>
    <cellStyle name="Normal 2 2 2 3 7 4 2 2 2" xfId="7450" xr:uid="{00000000-0005-0000-0000-00004A290000}"/>
    <cellStyle name="Normal 2 2 2 3 7 4 2 2 2 2" xfId="16480" xr:uid="{00000000-0005-0000-0000-00004B290000}"/>
    <cellStyle name="Normal 2 2 2 3 7 4 2 2 2 2 2" xfId="36532" xr:uid="{00000000-0005-0000-0000-00004C290000}"/>
    <cellStyle name="Normal 2 2 2 3 7 4 2 2 2 3" xfId="27502" xr:uid="{00000000-0005-0000-0000-00004D290000}"/>
    <cellStyle name="Normal 2 2 2 3 7 4 2 2 3" xfId="11998" xr:uid="{00000000-0005-0000-0000-00004E290000}"/>
    <cellStyle name="Normal 2 2 2 3 7 4 2 2 3 2" xfId="32050" xr:uid="{00000000-0005-0000-0000-00004F290000}"/>
    <cellStyle name="Normal 2 2 2 3 7 4 2 2 4" xfId="23020" xr:uid="{00000000-0005-0000-0000-000050290000}"/>
    <cellStyle name="Normal 2 2 2 3 7 4 2 3" xfId="4462" xr:uid="{00000000-0005-0000-0000-000051290000}"/>
    <cellStyle name="Normal 2 2 2 3 7 4 2 3 2" xfId="8944" xr:uid="{00000000-0005-0000-0000-000052290000}"/>
    <cellStyle name="Normal 2 2 2 3 7 4 2 3 2 2" xfId="17974" xr:uid="{00000000-0005-0000-0000-000053290000}"/>
    <cellStyle name="Normal 2 2 2 3 7 4 2 3 2 2 2" xfId="38026" xr:uid="{00000000-0005-0000-0000-000054290000}"/>
    <cellStyle name="Normal 2 2 2 3 7 4 2 3 2 3" xfId="28996" xr:uid="{00000000-0005-0000-0000-000055290000}"/>
    <cellStyle name="Normal 2 2 2 3 7 4 2 3 3" xfId="13492" xr:uid="{00000000-0005-0000-0000-000056290000}"/>
    <cellStyle name="Normal 2 2 2 3 7 4 2 3 3 2" xfId="33544" xr:uid="{00000000-0005-0000-0000-000057290000}"/>
    <cellStyle name="Normal 2 2 2 3 7 4 2 3 4" xfId="24514" xr:uid="{00000000-0005-0000-0000-000058290000}"/>
    <cellStyle name="Normal 2 2 2 3 7 4 2 4" xfId="5956" xr:uid="{00000000-0005-0000-0000-000059290000}"/>
    <cellStyle name="Normal 2 2 2 3 7 4 2 4 2" xfId="14986" xr:uid="{00000000-0005-0000-0000-00005A290000}"/>
    <cellStyle name="Normal 2 2 2 3 7 4 2 4 2 2" xfId="35038" xr:uid="{00000000-0005-0000-0000-00005B290000}"/>
    <cellStyle name="Normal 2 2 2 3 7 4 2 4 3" xfId="26008" xr:uid="{00000000-0005-0000-0000-00005C290000}"/>
    <cellStyle name="Normal 2 2 2 3 7 4 2 5" xfId="10504" xr:uid="{00000000-0005-0000-0000-00005D290000}"/>
    <cellStyle name="Normal 2 2 2 3 7 4 2 5 2" xfId="30556" xr:uid="{00000000-0005-0000-0000-00005E290000}"/>
    <cellStyle name="Normal 2 2 2 3 7 4 2 6" xfId="21526" xr:uid="{00000000-0005-0000-0000-00005F290000}"/>
    <cellStyle name="Normal 2 2 2 3 7 4 3" xfId="2221" xr:uid="{00000000-0005-0000-0000-000060290000}"/>
    <cellStyle name="Normal 2 2 2 3 7 4 3 2" xfId="6703" xr:uid="{00000000-0005-0000-0000-000061290000}"/>
    <cellStyle name="Normal 2 2 2 3 7 4 3 2 2" xfId="15733" xr:uid="{00000000-0005-0000-0000-000062290000}"/>
    <cellStyle name="Normal 2 2 2 3 7 4 3 2 2 2" xfId="35785" xr:uid="{00000000-0005-0000-0000-000063290000}"/>
    <cellStyle name="Normal 2 2 2 3 7 4 3 2 3" xfId="26755" xr:uid="{00000000-0005-0000-0000-000064290000}"/>
    <cellStyle name="Normal 2 2 2 3 7 4 3 3" xfId="11251" xr:uid="{00000000-0005-0000-0000-000065290000}"/>
    <cellStyle name="Normal 2 2 2 3 7 4 3 3 2" xfId="31303" xr:uid="{00000000-0005-0000-0000-000066290000}"/>
    <cellStyle name="Normal 2 2 2 3 7 4 3 4" xfId="22273" xr:uid="{00000000-0005-0000-0000-000067290000}"/>
    <cellStyle name="Normal 2 2 2 3 7 4 4" xfId="3715" xr:uid="{00000000-0005-0000-0000-000068290000}"/>
    <cellStyle name="Normal 2 2 2 3 7 4 4 2" xfId="8197" xr:uid="{00000000-0005-0000-0000-000069290000}"/>
    <cellStyle name="Normal 2 2 2 3 7 4 4 2 2" xfId="17227" xr:uid="{00000000-0005-0000-0000-00006A290000}"/>
    <cellStyle name="Normal 2 2 2 3 7 4 4 2 2 2" xfId="37279" xr:uid="{00000000-0005-0000-0000-00006B290000}"/>
    <cellStyle name="Normal 2 2 2 3 7 4 4 2 3" xfId="28249" xr:uid="{00000000-0005-0000-0000-00006C290000}"/>
    <cellStyle name="Normal 2 2 2 3 7 4 4 3" xfId="12745" xr:uid="{00000000-0005-0000-0000-00006D290000}"/>
    <cellStyle name="Normal 2 2 2 3 7 4 4 3 2" xfId="32797" xr:uid="{00000000-0005-0000-0000-00006E290000}"/>
    <cellStyle name="Normal 2 2 2 3 7 4 4 4" xfId="23767" xr:uid="{00000000-0005-0000-0000-00006F290000}"/>
    <cellStyle name="Normal 2 2 2 3 7 4 5" xfId="5209" xr:uid="{00000000-0005-0000-0000-000070290000}"/>
    <cellStyle name="Normal 2 2 2 3 7 4 5 2" xfId="14239" xr:uid="{00000000-0005-0000-0000-000071290000}"/>
    <cellStyle name="Normal 2 2 2 3 7 4 5 2 2" xfId="34291" xr:uid="{00000000-0005-0000-0000-000072290000}"/>
    <cellStyle name="Normal 2 2 2 3 7 4 5 3" xfId="25261" xr:uid="{00000000-0005-0000-0000-000073290000}"/>
    <cellStyle name="Normal 2 2 2 3 7 4 6" xfId="9757" xr:uid="{00000000-0005-0000-0000-000074290000}"/>
    <cellStyle name="Normal 2 2 2 3 7 4 6 2" xfId="29809" xr:uid="{00000000-0005-0000-0000-000075290000}"/>
    <cellStyle name="Normal 2 2 2 3 7 4 7" xfId="20779" xr:uid="{00000000-0005-0000-0000-000076290000}"/>
    <cellStyle name="Normal 2 2 2 3 7 5" xfId="914" xr:uid="{00000000-0005-0000-0000-000077290000}"/>
    <cellStyle name="Normal 2 2 2 3 7 5 2" xfId="2408" xr:uid="{00000000-0005-0000-0000-000078290000}"/>
    <cellStyle name="Normal 2 2 2 3 7 5 2 2" xfId="6890" xr:uid="{00000000-0005-0000-0000-000079290000}"/>
    <cellStyle name="Normal 2 2 2 3 7 5 2 2 2" xfId="15920" xr:uid="{00000000-0005-0000-0000-00007A290000}"/>
    <cellStyle name="Normal 2 2 2 3 7 5 2 2 2 2" xfId="35972" xr:uid="{00000000-0005-0000-0000-00007B290000}"/>
    <cellStyle name="Normal 2 2 2 3 7 5 2 2 3" xfId="26942" xr:uid="{00000000-0005-0000-0000-00007C290000}"/>
    <cellStyle name="Normal 2 2 2 3 7 5 2 3" xfId="11438" xr:uid="{00000000-0005-0000-0000-00007D290000}"/>
    <cellStyle name="Normal 2 2 2 3 7 5 2 3 2" xfId="31490" xr:uid="{00000000-0005-0000-0000-00007E290000}"/>
    <cellStyle name="Normal 2 2 2 3 7 5 2 4" xfId="22460" xr:uid="{00000000-0005-0000-0000-00007F290000}"/>
    <cellStyle name="Normal 2 2 2 3 7 5 3" xfId="3902" xr:uid="{00000000-0005-0000-0000-000080290000}"/>
    <cellStyle name="Normal 2 2 2 3 7 5 3 2" xfId="8384" xr:uid="{00000000-0005-0000-0000-000081290000}"/>
    <cellStyle name="Normal 2 2 2 3 7 5 3 2 2" xfId="17414" xr:uid="{00000000-0005-0000-0000-000082290000}"/>
    <cellStyle name="Normal 2 2 2 3 7 5 3 2 2 2" xfId="37466" xr:uid="{00000000-0005-0000-0000-000083290000}"/>
    <cellStyle name="Normal 2 2 2 3 7 5 3 2 3" xfId="28436" xr:uid="{00000000-0005-0000-0000-000084290000}"/>
    <cellStyle name="Normal 2 2 2 3 7 5 3 3" xfId="12932" xr:uid="{00000000-0005-0000-0000-000085290000}"/>
    <cellStyle name="Normal 2 2 2 3 7 5 3 3 2" xfId="32984" xr:uid="{00000000-0005-0000-0000-000086290000}"/>
    <cellStyle name="Normal 2 2 2 3 7 5 3 4" xfId="23954" xr:uid="{00000000-0005-0000-0000-000087290000}"/>
    <cellStyle name="Normal 2 2 2 3 7 5 4" xfId="5396" xr:uid="{00000000-0005-0000-0000-000088290000}"/>
    <cellStyle name="Normal 2 2 2 3 7 5 4 2" xfId="14426" xr:uid="{00000000-0005-0000-0000-000089290000}"/>
    <cellStyle name="Normal 2 2 2 3 7 5 4 2 2" xfId="34478" xr:uid="{00000000-0005-0000-0000-00008A290000}"/>
    <cellStyle name="Normal 2 2 2 3 7 5 4 3" xfId="25448" xr:uid="{00000000-0005-0000-0000-00008B290000}"/>
    <cellStyle name="Normal 2 2 2 3 7 5 5" xfId="9944" xr:uid="{00000000-0005-0000-0000-00008C290000}"/>
    <cellStyle name="Normal 2 2 2 3 7 5 5 2" xfId="29996" xr:uid="{00000000-0005-0000-0000-00008D290000}"/>
    <cellStyle name="Normal 2 2 2 3 7 5 6" xfId="20966" xr:uid="{00000000-0005-0000-0000-00008E290000}"/>
    <cellStyle name="Normal 2 2 2 3 7 6" xfId="1663" xr:uid="{00000000-0005-0000-0000-00008F290000}"/>
    <cellStyle name="Normal 2 2 2 3 7 6 2" xfId="6145" xr:uid="{00000000-0005-0000-0000-000090290000}"/>
    <cellStyle name="Normal 2 2 2 3 7 6 2 2" xfId="15175" xr:uid="{00000000-0005-0000-0000-000091290000}"/>
    <cellStyle name="Normal 2 2 2 3 7 6 2 2 2" xfId="35227" xr:uid="{00000000-0005-0000-0000-000092290000}"/>
    <cellStyle name="Normal 2 2 2 3 7 6 2 3" xfId="26197" xr:uid="{00000000-0005-0000-0000-000093290000}"/>
    <cellStyle name="Normal 2 2 2 3 7 6 3" xfId="10693" xr:uid="{00000000-0005-0000-0000-000094290000}"/>
    <cellStyle name="Normal 2 2 2 3 7 6 3 2" xfId="30745" xr:uid="{00000000-0005-0000-0000-000095290000}"/>
    <cellStyle name="Normal 2 2 2 3 7 6 4" xfId="21715" xr:uid="{00000000-0005-0000-0000-000096290000}"/>
    <cellStyle name="Normal 2 2 2 3 7 7" xfId="3157" xr:uid="{00000000-0005-0000-0000-000097290000}"/>
    <cellStyle name="Normal 2 2 2 3 7 7 2" xfId="7639" xr:uid="{00000000-0005-0000-0000-000098290000}"/>
    <cellStyle name="Normal 2 2 2 3 7 7 2 2" xfId="16669" xr:uid="{00000000-0005-0000-0000-000099290000}"/>
    <cellStyle name="Normal 2 2 2 3 7 7 2 2 2" xfId="36721" xr:uid="{00000000-0005-0000-0000-00009A290000}"/>
    <cellStyle name="Normal 2 2 2 3 7 7 2 3" xfId="27691" xr:uid="{00000000-0005-0000-0000-00009B290000}"/>
    <cellStyle name="Normal 2 2 2 3 7 7 3" xfId="12187" xr:uid="{00000000-0005-0000-0000-00009C290000}"/>
    <cellStyle name="Normal 2 2 2 3 7 7 3 2" xfId="32239" xr:uid="{00000000-0005-0000-0000-00009D290000}"/>
    <cellStyle name="Normal 2 2 2 3 7 7 4" xfId="23209" xr:uid="{00000000-0005-0000-0000-00009E290000}"/>
    <cellStyle name="Normal 2 2 2 3 7 8" xfId="4651" xr:uid="{00000000-0005-0000-0000-00009F290000}"/>
    <cellStyle name="Normal 2 2 2 3 7 8 2" xfId="13681" xr:uid="{00000000-0005-0000-0000-0000A0290000}"/>
    <cellStyle name="Normal 2 2 2 3 7 8 2 2" xfId="33733" xr:uid="{00000000-0005-0000-0000-0000A1290000}"/>
    <cellStyle name="Normal 2 2 2 3 7 8 3" xfId="24703" xr:uid="{00000000-0005-0000-0000-0000A2290000}"/>
    <cellStyle name="Normal 2 2 2 3 7 9" xfId="9199" xr:uid="{00000000-0005-0000-0000-0000A3290000}"/>
    <cellStyle name="Normal 2 2 2 3 7 9 2" xfId="29251" xr:uid="{00000000-0005-0000-0000-0000A4290000}"/>
    <cellStyle name="Normal 2 2 2 3 8" xfId="192" xr:uid="{00000000-0005-0000-0000-0000A5290000}"/>
    <cellStyle name="Normal 2 2 2 3 8 10" xfId="20244" xr:uid="{00000000-0005-0000-0000-0000A6290000}"/>
    <cellStyle name="Normal 2 2 2 3 8 2" xfId="378" xr:uid="{00000000-0005-0000-0000-0000A7290000}"/>
    <cellStyle name="Normal 2 2 2 3 8 2 2" xfId="1121" xr:uid="{00000000-0005-0000-0000-0000A8290000}"/>
    <cellStyle name="Normal 2 2 2 3 8 2 2 2" xfId="2615" xr:uid="{00000000-0005-0000-0000-0000A9290000}"/>
    <cellStyle name="Normal 2 2 2 3 8 2 2 2 2" xfId="7097" xr:uid="{00000000-0005-0000-0000-0000AA290000}"/>
    <cellStyle name="Normal 2 2 2 3 8 2 2 2 2 2" xfId="16127" xr:uid="{00000000-0005-0000-0000-0000AB290000}"/>
    <cellStyle name="Normal 2 2 2 3 8 2 2 2 2 2 2" xfId="36179" xr:uid="{00000000-0005-0000-0000-0000AC290000}"/>
    <cellStyle name="Normal 2 2 2 3 8 2 2 2 2 3" xfId="27149" xr:uid="{00000000-0005-0000-0000-0000AD290000}"/>
    <cellStyle name="Normal 2 2 2 3 8 2 2 2 3" xfId="11645" xr:uid="{00000000-0005-0000-0000-0000AE290000}"/>
    <cellStyle name="Normal 2 2 2 3 8 2 2 2 3 2" xfId="31697" xr:uid="{00000000-0005-0000-0000-0000AF290000}"/>
    <cellStyle name="Normal 2 2 2 3 8 2 2 2 4" xfId="22667" xr:uid="{00000000-0005-0000-0000-0000B0290000}"/>
    <cellStyle name="Normal 2 2 2 3 8 2 2 3" xfId="4109" xr:uid="{00000000-0005-0000-0000-0000B1290000}"/>
    <cellStyle name="Normal 2 2 2 3 8 2 2 3 2" xfId="8591" xr:uid="{00000000-0005-0000-0000-0000B2290000}"/>
    <cellStyle name="Normal 2 2 2 3 8 2 2 3 2 2" xfId="17621" xr:uid="{00000000-0005-0000-0000-0000B3290000}"/>
    <cellStyle name="Normal 2 2 2 3 8 2 2 3 2 2 2" xfId="37673" xr:uid="{00000000-0005-0000-0000-0000B4290000}"/>
    <cellStyle name="Normal 2 2 2 3 8 2 2 3 2 3" xfId="28643" xr:uid="{00000000-0005-0000-0000-0000B5290000}"/>
    <cellStyle name="Normal 2 2 2 3 8 2 2 3 3" xfId="13139" xr:uid="{00000000-0005-0000-0000-0000B6290000}"/>
    <cellStyle name="Normal 2 2 2 3 8 2 2 3 3 2" xfId="33191" xr:uid="{00000000-0005-0000-0000-0000B7290000}"/>
    <cellStyle name="Normal 2 2 2 3 8 2 2 3 4" xfId="24161" xr:uid="{00000000-0005-0000-0000-0000B8290000}"/>
    <cellStyle name="Normal 2 2 2 3 8 2 2 4" xfId="5603" xr:uid="{00000000-0005-0000-0000-0000B9290000}"/>
    <cellStyle name="Normal 2 2 2 3 8 2 2 4 2" xfId="14633" xr:uid="{00000000-0005-0000-0000-0000BA290000}"/>
    <cellStyle name="Normal 2 2 2 3 8 2 2 4 2 2" xfId="34685" xr:uid="{00000000-0005-0000-0000-0000BB290000}"/>
    <cellStyle name="Normal 2 2 2 3 8 2 2 4 3" xfId="25655" xr:uid="{00000000-0005-0000-0000-0000BC290000}"/>
    <cellStyle name="Normal 2 2 2 3 8 2 2 5" xfId="10151" xr:uid="{00000000-0005-0000-0000-0000BD290000}"/>
    <cellStyle name="Normal 2 2 2 3 8 2 2 5 2" xfId="30203" xr:uid="{00000000-0005-0000-0000-0000BE290000}"/>
    <cellStyle name="Normal 2 2 2 3 8 2 2 6" xfId="21173" xr:uid="{00000000-0005-0000-0000-0000BF290000}"/>
    <cellStyle name="Normal 2 2 2 3 8 2 3" xfId="1872" xr:uid="{00000000-0005-0000-0000-0000C0290000}"/>
    <cellStyle name="Normal 2 2 2 3 8 2 3 2" xfId="6354" xr:uid="{00000000-0005-0000-0000-0000C1290000}"/>
    <cellStyle name="Normal 2 2 2 3 8 2 3 2 2" xfId="15384" xr:uid="{00000000-0005-0000-0000-0000C2290000}"/>
    <cellStyle name="Normal 2 2 2 3 8 2 3 2 2 2" xfId="35436" xr:uid="{00000000-0005-0000-0000-0000C3290000}"/>
    <cellStyle name="Normal 2 2 2 3 8 2 3 2 3" xfId="26406" xr:uid="{00000000-0005-0000-0000-0000C4290000}"/>
    <cellStyle name="Normal 2 2 2 3 8 2 3 3" xfId="10902" xr:uid="{00000000-0005-0000-0000-0000C5290000}"/>
    <cellStyle name="Normal 2 2 2 3 8 2 3 3 2" xfId="30954" xr:uid="{00000000-0005-0000-0000-0000C6290000}"/>
    <cellStyle name="Normal 2 2 2 3 8 2 3 4" xfId="21924" xr:uid="{00000000-0005-0000-0000-0000C7290000}"/>
    <cellStyle name="Normal 2 2 2 3 8 2 4" xfId="3366" xr:uid="{00000000-0005-0000-0000-0000C8290000}"/>
    <cellStyle name="Normal 2 2 2 3 8 2 4 2" xfId="7848" xr:uid="{00000000-0005-0000-0000-0000C9290000}"/>
    <cellStyle name="Normal 2 2 2 3 8 2 4 2 2" xfId="16878" xr:uid="{00000000-0005-0000-0000-0000CA290000}"/>
    <cellStyle name="Normal 2 2 2 3 8 2 4 2 2 2" xfId="36930" xr:uid="{00000000-0005-0000-0000-0000CB290000}"/>
    <cellStyle name="Normal 2 2 2 3 8 2 4 2 3" xfId="27900" xr:uid="{00000000-0005-0000-0000-0000CC290000}"/>
    <cellStyle name="Normal 2 2 2 3 8 2 4 3" xfId="12396" xr:uid="{00000000-0005-0000-0000-0000CD290000}"/>
    <cellStyle name="Normal 2 2 2 3 8 2 4 3 2" xfId="32448" xr:uid="{00000000-0005-0000-0000-0000CE290000}"/>
    <cellStyle name="Normal 2 2 2 3 8 2 4 4" xfId="23418" xr:uid="{00000000-0005-0000-0000-0000CF290000}"/>
    <cellStyle name="Normal 2 2 2 3 8 2 5" xfId="4860" xr:uid="{00000000-0005-0000-0000-0000D0290000}"/>
    <cellStyle name="Normal 2 2 2 3 8 2 5 2" xfId="13890" xr:uid="{00000000-0005-0000-0000-0000D1290000}"/>
    <cellStyle name="Normal 2 2 2 3 8 2 5 2 2" xfId="33942" xr:uid="{00000000-0005-0000-0000-0000D2290000}"/>
    <cellStyle name="Normal 2 2 2 3 8 2 5 3" xfId="24912" xr:uid="{00000000-0005-0000-0000-0000D3290000}"/>
    <cellStyle name="Normal 2 2 2 3 8 2 6" xfId="9408" xr:uid="{00000000-0005-0000-0000-0000D4290000}"/>
    <cellStyle name="Normal 2 2 2 3 8 2 6 2" xfId="29460" xr:uid="{00000000-0005-0000-0000-0000D5290000}"/>
    <cellStyle name="Normal 2 2 2 3 8 2 7" xfId="20430" xr:uid="{00000000-0005-0000-0000-0000D6290000}"/>
    <cellStyle name="Normal 2 2 2 3 8 3" xfId="564" xr:uid="{00000000-0005-0000-0000-0000D7290000}"/>
    <cellStyle name="Normal 2 2 2 3 8 3 2" xfId="1311" xr:uid="{00000000-0005-0000-0000-0000D8290000}"/>
    <cellStyle name="Normal 2 2 2 3 8 3 2 2" xfId="2805" xr:uid="{00000000-0005-0000-0000-0000D9290000}"/>
    <cellStyle name="Normal 2 2 2 3 8 3 2 2 2" xfId="7287" xr:uid="{00000000-0005-0000-0000-0000DA290000}"/>
    <cellStyle name="Normal 2 2 2 3 8 3 2 2 2 2" xfId="16317" xr:uid="{00000000-0005-0000-0000-0000DB290000}"/>
    <cellStyle name="Normal 2 2 2 3 8 3 2 2 2 2 2" xfId="36369" xr:uid="{00000000-0005-0000-0000-0000DC290000}"/>
    <cellStyle name="Normal 2 2 2 3 8 3 2 2 2 3" xfId="27339" xr:uid="{00000000-0005-0000-0000-0000DD290000}"/>
    <cellStyle name="Normal 2 2 2 3 8 3 2 2 3" xfId="11835" xr:uid="{00000000-0005-0000-0000-0000DE290000}"/>
    <cellStyle name="Normal 2 2 2 3 8 3 2 2 3 2" xfId="31887" xr:uid="{00000000-0005-0000-0000-0000DF290000}"/>
    <cellStyle name="Normal 2 2 2 3 8 3 2 2 4" xfId="22857" xr:uid="{00000000-0005-0000-0000-0000E0290000}"/>
    <cellStyle name="Normal 2 2 2 3 8 3 2 3" xfId="4299" xr:uid="{00000000-0005-0000-0000-0000E1290000}"/>
    <cellStyle name="Normal 2 2 2 3 8 3 2 3 2" xfId="8781" xr:uid="{00000000-0005-0000-0000-0000E2290000}"/>
    <cellStyle name="Normal 2 2 2 3 8 3 2 3 2 2" xfId="17811" xr:uid="{00000000-0005-0000-0000-0000E3290000}"/>
    <cellStyle name="Normal 2 2 2 3 8 3 2 3 2 2 2" xfId="37863" xr:uid="{00000000-0005-0000-0000-0000E4290000}"/>
    <cellStyle name="Normal 2 2 2 3 8 3 2 3 2 3" xfId="28833" xr:uid="{00000000-0005-0000-0000-0000E5290000}"/>
    <cellStyle name="Normal 2 2 2 3 8 3 2 3 3" xfId="13329" xr:uid="{00000000-0005-0000-0000-0000E6290000}"/>
    <cellStyle name="Normal 2 2 2 3 8 3 2 3 3 2" xfId="33381" xr:uid="{00000000-0005-0000-0000-0000E7290000}"/>
    <cellStyle name="Normal 2 2 2 3 8 3 2 3 4" xfId="24351" xr:uid="{00000000-0005-0000-0000-0000E8290000}"/>
    <cellStyle name="Normal 2 2 2 3 8 3 2 4" xfId="5793" xr:uid="{00000000-0005-0000-0000-0000E9290000}"/>
    <cellStyle name="Normal 2 2 2 3 8 3 2 4 2" xfId="14823" xr:uid="{00000000-0005-0000-0000-0000EA290000}"/>
    <cellStyle name="Normal 2 2 2 3 8 3 2 4 2 2" xfId="34875" xr:uid="{00000000-0005-0000-0000-0000EB290000}"/>
    <cellStyle name="Normal 2 2 2 3 8 3 2 4 3" xfId="25845" xr:uid="{00000000-0005-0000-0000-0000EC290000}"/>
    <cellStyle name="Normal 2 2 2 3 8 3 2 5" xfId="10341" xr:uid="{00000000-0005-0000-0000-0000ED290000}"/>
    <cellStyle name="Normal 2 2 2 3 8 3 2 5 2" xfId="30393" xr:uid="{00000000-0005-0000-0000-0000EE290000}"/>
    <cellStyle name="Normal 2 2 2 3 8 3 2 6" xfId="21363" xr:uid="{00000000-0005-0000-0000-0000EF290000}"/>
    <cellStyle name="Normal 2 2 2 3 8 3 3" xfId="2058" xr:uid="{00000000-0005-0000-0000-0000F0290000}"/>
    <cellStyle name="Normal 2 2 2 3 8 3 3 2" xfId="6540" xr:uid="{00000000-0005-0000-0000-0000F1290000}"/>
    <cellStyle name="Normal 2 2 2 3 8 3 3 2 2" xfId="15570" xr:uid="{00000000-0005-0000-0000-0000F2290000}"/>
    <cellStyle name="Normal 2 2 2 3 8 3 3 2 2 2" xfId="35622" xr:uid="{00000000-0005-0000-0000-0000F3290000}"/>
    <cellStyle name="Normal 2 2 2 3 8 3 3 2 3" xfId="26592" xr:uid="{00000000-0005-0000-0000-0000F4290000}"/>
    <cellStyle name="Normal 2 2 2 3 8 3 3 3" xfId="11088" xr:uid="{00000000-0005-0000-0000-0000F5290000}"/>
    <cellStyle name="Normal 2 2 2 3 8 3 3 3 2" xfId="31140" xr:uid="{00000000-0005-0000-0000-0000F6290000}"/>
    <cellStyle name="Normal 2 2 2 3 8 3 3 4" xfId="22110" xr:uid="{00000000-0005-0000-0000-0000F7290000}"/>
    <cellStyle name="Normal 2 2 2 3 8 3 4" xfId="3552" xr:uid="{00000000-0005-0000-0000-0000F8290000}"/>
    <cellStyle name="Normal 2 2 2 3 8 3 4 2" xfId="8034" xr:uid="{00000000-0005-0000-0000-0000F9290000}"/>
    <cellStyle name="Normal 2 2 2 3 8 3 4 2 2" xfId="17064" xr:uid="{00000000-0005-0000-0000-0000FA290000}"/>
    <cellStyle name="Normal 2 2 2 3 8 3 4 2 2 2" xfId="37116" xr:uid="{00000000-0005-0000-0000-0000FB290000}"/>
    <cellStyle name="Normal 2 2 2 3 8 3 4 2 3" xfId="28086" xr:uid="{00000000-0005-0000-0000-0000FC290000}"/>
    <cellStyle name="Normal 2 2 2 3 8 3 4 3" xfId="12582" xr:uid="{00000000-0005-0000-0000-0000FD290000}"/>
    <cellStyle name="Normal 2 2 2 3 8 3 4 3 2" xfId="32634" xr:uid="{00000000-0005-0000-0000-0000FE290000}"/>
    <cellStyle name="Normal 2 2 2 3 8 3 4 4" xfId="23604" xr:uid="{00000000-0005-0000-0000-0000FF290000}"/>
    <cellStyle name="Normal 2 2 2 3 8 3 5" xfId="5046" xr:uid="{00000000-0005-0000-0000-0000002A0000}"/>
    <cellStyle name="Normal 2 2 2 3 8 3 5 2" xfId="14076" xr:uid="{00000000-0005-0000-0000-0000012A0000}"/>
    <cellStyle name="Normal 2 2 2 3 8 3 5 2 2" xfId="34128" xr:uid="{00000000-0005-0000-0000-0000022A0000}"/>
    <cellStyle name="Normal 2 2 2 3 8 3 5 3" xfId="25098" xr:uid="{00000000-0005-0000-0000-0000032A0000}"/>
    <cellStyle name="Normal 2 2 2 3 8 3 6" xfId="9594" xr:uid="{00000000-0005-0000-0000-0000042A0000}"/>
    <cellStyle name="Normal 2 2 2 3 8 3 6 2" xfId="29646" xr:uid="{00000000-0005-0000-0000-0000052A0000}"/>
    <cellStyle name="Normal 2 2 2 3 8 3 7" xfId="20616" xr:uid="{00000000-0005-0000-0000-0000062A0000}"/>
    <cellStyle name="Normal 2 2 2 3 8 4" xfId="750" xr:uid="{00000000-0005-0000-0000-0000072A0000}"/>
    <cellStyle name="Normal 2 2 2 3 8 4 2" xfId="1497" xr:uid="{00000000-0005-0000-0000-0000082A0000}"/>
    <cellStyle name="Normal 2 2 2 3 8 4 2 2" xfId="2991" xr:uid="{00000000-0005-0000-0000-0000092A0000}"/>
    <cellStyle name="Normal 2 2 2 3 8 4 2 2 2" xfId="7473" xr:uid="{00000000-0005-0000-0000-00000A2A0000}"/>
    <cellStyle name="Normal 2 2 2 3 8 4 2 2 2 2" xfId="16503" xr:uid="{00000000-0005-0000-0000-00000B2A0000}"/>
    <cellStyle name="Normal 2 2 2 3 8 4 2 2 2 2 2" xfId="36555" xr:uid="{00000000-0005-0000-0000-00000C2A0000}"/>
    <cellStyle name="Normal 2 2 2 3 8 4 2 2 2 3" xfId="27525" xr:uid="{00000000-0005-0000-0000-00000D2A0000}"/>
    <cellStyle name="Normal 2 2 2 3 8 4 2 2 3" xfId="12021" xr:uid="{00000000-0005-0000-0000-00000E2A0000}"/>
    <cellStyle name="Normal 2 2 2 3 8 4 2 2 3 2" xfId="32073" xr:uid="{00000000-0005-0000-0000-00000F2A0000}"/>
    <cellStyle name="Normal 2 2 2 3 8 4 2 2 4" xfId="23043" xr:uid="{00000000-0005-0000-0000-0000102A0000}"/>
    <cellStyle name="Normal 2 2 2 3 8 4 2 3" xfId="4485" xr:uid="{00000000-0005-0000-0000-0000112A0000}"/>
    <cellStyle name="Normal 2 2 2 3 8 4 2 3 2" xfId="8967" xr:uid="{00000000-0005-0000-0000-0000122A0000}"/>
    <cellStyle name="Normal 2 2 2 3 8 4 2 3 2 2" xfId="17997" xr:uid="{00000000-0005-0000-0000-0000132A0000}"/>
    <cellStyle name="Normal 2 2 2 3 8 4 2 3 2 2 2" xfId="38049" xr:uid="{00000000-0005-0000-0000-0000142A0000}"/>
    <cellStyle name="Normal 2 2 2 3 8 4 2 3 2 3" xfId="29019" xr:uid="{00000000-0005-0000-0000-0000152A0000}"/>
    <cellStyle name="Normal 2 2 2 3 8 4 2 3 3" xfId="13515" xr:uid="{00000000-0005-0000-0000-0000162A0000}"/>
    <cellStyle name="Normal 2 2 2 3 8 4 2 3 3 2" xfId="33567" xr:uid="{00000000-0005-0000-0000-0000172A0000}"/>
    <cellStyle name="Normal 2 2 2 3 8 4 2 3 4" xfId="24537" xr:uid="{00000000-0005-0000-0000-0000182A0000}"/>
    <cellStyle name="Normal 2 2 2 3 8 4 2 4" xfId="5979" xr:uid="{00000000-0005-0000-0000-0000192A0000}"/>
    <cellStyle name="Normal 2 2 2 3 8 4 2 4 2" xfId="15009" xr:uid="{00000000-0005-0000-0000-00001A2A0000}"/>
    <cellStyle name="Normal 2 2 2 3 8 4 2 4 2 2" xfId="35061" xr:uid="{00000000-0005-0000-0000-00001B2A0000}"/>
    <cellStyle name="Normal 2 2 2 3 8 4 2 4 3" xfId="26031" xr:uid="{00000000-0005-0000-0000-00001C2A0000}"/>
    <cellStyle name="Normal 2 2 2 3 8 4 2 5" xfId="10527" xr:uid="{00000000-0005-0000-0000-00001D2A0000}"/>
    <cellStyle name="Normal 2 2 2 3 8 4 2 5 2" xfId="30579" xr:uid="{00000000-0005-0000-0000-00001E2A0000}"/>
    <cellStyle name="Normal 2 2 2 3 8 4 2 6" xfId="21549" xr:uid="{00000000-0005-0000-0000-00001F2A0000}"/>
    <cellStyle name="Normal 2 2 2 3 8 4 3" xfId="2244" xr:uid="{00000000-0005-0000-0000-0000202A0000}"/>
    <cellStyle name="Normal 2 2 2 3 8 4 3 2" xfId="6726" xr:uid="{00000000-0005-0000-0000-0000212A0000}"/>
    <cellStyle name="Normal 2 2 2 3 8 4 3 2 2" xfId="15756" xr:uid="{00000000-0005-0000-0000-0000222A0000}"/>
    <cellStyle name="Normal 2 2 2 3 8 4 3 2 2 2" xfId="35808" xr:uid="{00000000-0005-0000-0000-0000232A0000}"/>
    <cellStyle name="Normal 2 2 2 3 8 4 3 2 3" xfId="26778" xr:uid="{00000000-0005-0000-0000-0000242A0000}"/>
    <cellStyle name="Normal 2 2 2 3 8 4 3 3" xfId="11274" xr:uid="{00000000-0005-0000-0000-0000252A0000}"/>
    <cellStyle name="Normal 2 2 2 3 8 4 3 3 2" xfId="31326" xr:uid="{00000000-0005-0000-0000-0000262A0000}"/>
    <cellStyle name="Normal 2 2 2 3 8 4 3 4" xfId="22296" xr:uid="{00000000-0005-0000-0000-0000272A0000}"/>
    <cellStyle name="Normal 2 2 2 3 8 4 4" xfId="3738" xr:uid="{00000000-0005-0000-0000-0000282A0000}"/>
    <cellStyle name="Normal 2 2 2 3 8 4 4 2" xfId="8220" xr:uid="{00000000-0005-0000-0000-0000292A0000}"/>
    <cellStyle name="Normal 2 2 2 3 8 4 4 2 2" xfId="17250" xr:uid="{00000000-0005-0000-0000-00002A2A0000}"/>
    <cellStyle name="Normal 2 2 2 3 8 4 4 2 2 2" xfId="37302" xr:uid="{00000000-0005-0000-0000-00002B2A0000}"/>
    <cellStyle name="Normal 2 2 2 3 8 4 4 2 3" xfId="28272" xr:uid="{00000000-0005-0000-0000-00002C2A0000}"/>
    <cellStyle name="Normal 2 2 2 3 8 4 4 3" xfId="12768" xr:uid="{00000000-0005-0000-0000-00002D2A0000}"/>
    <cellStyle name="Normal 2 2 2 3 8 4 4 3 2" xfId="32820" xr:uid="{00000000-0005-0000-0000-00002E2A0000}"/>
    <cellStyle name="Normal 2 2 2 3 8 4 4 4" xfId="23790" xr:uid="{00000000-0005-0000-0000-00002F2A0000}"/>
    <cellStyle name="Normal 2 2 2 3 8 4 5" xfId="5232" xr:uid="{00000000-0005-0000-0000-0000302A0000}"/>
    <cellStyle name="Normal 2 2 2 3 8 4 5 2" xfId="14262" xr:uid="{00000000-0005-0000-0000-0000312A0000}"/>
    <cellStyle name="Normal 2 2 2 3 8 4 5 2 2" xfId="34314" xr:uid="{00000000-0005-0000-0000-0000322A0000}"/>
    <cellStyle name="Normal 2 2 2 3 8 4 5 3" xfId="25284" xr:uid="{00000000-0005-0000-0000-0000332A0000}"/>
    <cellStyle name="Normal 2 2 2 3 8 4 6" xfId="9780" xr:uid="{00000000-0005-0000-0000-0000342A0000}"/>
    <cellStyle name="Normal 2 2 2 3 8 4 6 2" xfId="29832" xr:uid="{00000000-0005-0000-0000-0000352A0000}"/>
    <cellStyle name="Normal 2 2 2 3 8 4 7" xfId="20802" xr:uid="{00000000-0005-0000-0000-0000362A0000}"/>
    <cellStyle name="Normal 2 2 2 3 8 5" xfId="937" xr:uid="{00000000-0005-0000-0000-0000372A0000}"/>
    <cellStyle name="Normal 2 2 2 3 8 5 2" xfId="2431" xr:uid="{00000000-0005-0000-0000-0000382A0000}"/>
    <cellStyle name="Normal 2 2 2 3 8 5 2 2" xfId="6913" xr:uid="{00000000-0005-0000-0000-0000392A0000}"/>
    <cellStyle name="Normal 2 2 2 3 8 5 2 2 2" xfId="15943" xr:uid="{00000000-0005-0000-0000-00003A2A0000}"/>
    <cellStyle name="Normal 2 2 2 3 8 5 2 2 2 2" xfId="35995" xr:uid="{00000000-0005-0000-0000-00003B2A0000}"/>
    <cellStyle name="Normal 2 2 2 3 8 5 2 2 3" xfId="26965" xr:uid="{00000000-0005-0000-0000-00003C2A0000}"/>
    <cellStyle name="Normal 2 2 2 3 8 5 2 3" xfId="11461" xr:uid="{00000000-0005-0000-0000-00003D2A0000}"/>
    <cellStyle name="Normal 2 2 2 3 8 5 2 3 2" xfId="31513" xr:uid="{00000000-0005-0000-0000-00003E2A0000}"/>
    <cellStyle name="Normal 2 2 2 3 8 5 2 4" xfId="22483" xr:uid="{00000000-0005-0000-0000-00003F2A0000}"/>
    <cellStyle name="Normal 2 2 2 3 8 5 3" xfId="3925" xr:uid="{00000000-0005-0000-0000-0000402A0000}"/>
    <cellStyle name="Normal 2 2 2 3 8 5 3 2" xfId="8407" xr:uid="{00000000-0005-0000-0000-0000412A0000}"/>
    <cellStyle name="Normal 2 2 2 3 8 5 3 2 2" xfId="17437" xr:uid="{00000000-0005-0000-0000-0000422A0000}"/>
    <cellStyle name="Normal 2 2 2 3 8 5 3 2 2 2" xfId="37489" xr:uid="{00000000-0005-0000-0000-0000432A0000}"/>
    <cellStyle name="Normal 2 2 2 3 8 5 3 2 3" xfId="28459" xr:uid="{00000000-0005-0000-0000-0000442A0000}"/>
    <cellStyle name="Normal 2 2 2 3 8 5 3 3" xfId="12955" xr:uid="{00000000-0005-0000-0000-0000452A0000}"/>
    <cellStyle name="Normal 2 2 2 3 8 5 3 3 2" xfId="33007" xr:uid="{00000000-0005-0000-0000-0000462A0000}"/>
    <cellStyle name="Normal 2 2 2 3 8 5 3 4" xfId="23977" xr:uid="{00000000-0005-0000-0000-0000472A0000}"/>
    <cellStyle name="Normal 2 2 2 3 8 5 4" xfId="5419" xr:uid="{00000000-0005-0000-0000-0000482A0000}"/>
    <cellStyle name="Normal 2 2 2 3 8 5 4 2" xfId="14449" xr:uid="{00000000-0005-0000-0000-0000492A0000}"/>
    <cellStyle name="Normal 2 2 2 3 8 5 4 2 2" xfId="34501" xr:uid="{00000000-0005-0000-0000-00004A2A0000}"/>
    <cellStyle name="Normal 2 2 2 3 8 5 4 3" xfId="25471" xr:uid="{00000000-0005-0000-0000-00004B2A0000}"/>
    <cellStyle name="Normal 2 2 2 3 8 5 5" xfId="9967" xr:uid="{00000000-0005-0000-0000-00004C2A0000}"/>
    <cellStyle name="Normal 2 2 2 3 8 5 5 2" xfId="30019" xr:uid="{00000000-0005-0000-0000-00004D2A0000}"/>
    <cellStyle name="Normal 2 2 2 3 8 5 6" xfId="20989" xr:uid="{00000000-0005-0000-0000-00004E2A0000}"/>
    <cellStyle name="Normal 2 2 2 3 8 6" xfId="1686" xr:uid="{00000000-0005-0000-0000-00004F2A0000}"/>
    <cellStyle name="Normal 2 2 2 3 8 6 2" xfId="6168" xr:uid="{00000000-0005-0000-0000-0000502A0000}"/>
    <cellStyle name="Normal 2 2 2 3 8 6 2 2" xfId="15198" xr:uid="{00000000-0005-0000-0000-0000512A0000}"/>
    <cellStyle name="Normal 2 2 2 3 8 6 2 2 2" xfId="35250" xr:uid="{00000000-0005-0000-0000-0000522A0000}"/>
    <cellStyle name="Normal 2 2 2 3 8 6 2 3" xfId="26220" xr:uid="{00000000-0005-0000-0000-0000532A0000}"/>
    <cellStyle name="Normal 2 2 2 3 8 6 3" xfId="10716" xr:uid="{00000000-0005-0000-0000-0000542A0000}"/>
    <cellStyle name="Normal 2 2 2 3 8 6 3 2" xfId="30768" xr:uid="{00000000-0005-0000-0000-0000552A0000}"/>
    <cellStyle name="Normal 2 2 2 3 8 6 4" xfId="21738" xr:uid="{00000000-0005-0000-0000-0000562A0000}"/>
    <cellStyle name="Normal 2 2 2 3 8 7" xfId="3180" xr:uid="{00000000-0005-0000-0000-0000572A0000}"/>
    <cellStyle name="Normal 2 2 2 3 8 7 2" xfId="7662" xr:uid="{00000000-0005-0000-0000-0000582A0000}"/>
    <cellStyle name="Normal 2 2 2 3 8 7 2 2" xfId="16692" xr:uid="{00000000-0005-0000-0000-0000592A0000}"/>
    <cellStyle name="Normal 2 2 2 3 8 7 2 2 2" xfId="36744" xr:uid="{00000000-0005-0000-0000-00005A2A0000}"/>
    <cellStyle name="Normal 2 2 2 3 8 7 2 3" xfId="27714" xr:uid="{00000000-0005-0000-0000-00005B2A0000}"/>
    <cellStyle name="Normal 2 2 2 3 8 7 3" xfId="12210" xr:uid="{00000000-0005-0000-0000-00005C2A0000}"/>
    <cellStyle name="Normal 2 2 2 3 8 7 3 2" xfId="32262" xr:uid="{00000000-0005-0000-0000-00005D2A0000}"/>
    <cellStyle name="Normal 2 2 2 3 8 7 4" xfId="23232" xr:uid="{00000000-0005-0000-0000-00005E2A0000}"/>
    <cellStyle name="Normal 2 2 2 3 8 8" xfId="4674" xr:uid="{00000000-0005-0000-0000-00005F2A0000}"/>
    <cellStyle name="Normal 2 2 2 3 8 8 2" xfId="13704" xr:uid="{00000000-0005-0000-0000-0000602A0000}"/>
    <cellStyle name="Normal 2 2 2 3 8 8 2 2" xfId="33756" xr:uid="{00000000-0005-0000-0000-0000612A0000}"/>
    <cellStyle name="Normal 2 2 2 3 8 8 3" xfId="24726" xr:uid="{00000000-0005-0000-0000-0000622A0000}"/>
    <cellStyle name="Normal 2 2 2 3 8 9" xfId="9222" xr:uid="{00000000-0005-0000-0000-0000632A0000}"/>
    <cellStyle name="Normal 2 2 2 3 8 9 2" xfId="29274" xr:uid="{00000000-0005-0000-0000-0000642A0000}"/>
    <cellStyle name="Normal 2 2 2 3 9" xfId="215" xr:uid="{00000000-0005-0000-0000-0000652A0000}"/>
    <cellStyle name="Normal 2 2 2 3 9 2" xfId="960" xr:uid="{00000000-0005-0000-0000-0000662A0000}"/>
    <cellStyle name="Normal 2 2 2 3 9 2 2" xfId="2454" xr:uid="{00000000-0005-0000-0000-0000672A0000}"/>
    <cellStyle name="Normal 2 2 2 3 9 2 2 2" xfId="6936" xr:uid="{00000000-0005-0000-0000-0000682A0000}"/>
    <cellStyle name="Normal 2 2 2 3 9 2 2 2 2" xfId="15966" xr:uid="{00000000-0005-0000-0000-0000692A0000}"/>
    <cellStyle name="Normal 2 2 2 3 9 2 2 2 2 2" xfId="36018" xr:uid="{00000000-0005-0000-0000-00006A2A0000}"/>
    <cellStyle name="Normal 2 2 2 3 9 2 2 2 3" xfId="26988" xr:uid="{00000000-0005-0000-0000-00006B2A0000}"/>
    <cellStyle name="Normal 2 2 2 3 9 2 2 3" xfId="11484" xr:uid="{00000000-0005-0000-0000-00006C2A0000}"/>
    <cellStyle name="Normal 2 2 2 3 9 2 2 3 2" xfId="31536" xr:uid="{00000000-0005-0000-0000-00006D2A0000}"/>
    <cellStyle name="Normal 2 2 2 3 9 2 2 4" xfId="22506" xr:uid="{00000000-0005-0000-0000-00006E2A0000}"/>
    <cellStyle name="Normal 2 2 2 3 9 2 3" xfId="3948" xr:uid="{00000000-0005-0000-0000-00006F2A0000}"/>
    <cellStyle name="Normal 2 2 2 3 9 2 3 2" xfId="8430" xr:uid="{00000000-0005-0000-0000-0000702A0000}"/>
    <cellStyle name="Normal 2 2 2 3 9 2 3 2 2" xfId="17460" xr:uid="{00000000-0005-0000-0000-0000712A0000}"/>
    <cellStyle name="Normal 2 2 2 3 9 2 3 2 2 2" xfId="37512" xr:uid="{00000000-0005-0000-0000-0000722A0000}"/>
    <cellStyle name="Normal 2 2 2 3 9 2 3 2 3" xfId="28482" xr:uid="{00000000-0005-0000-0000-0000732A0000}"/>
    <cellStyle name="Normal 2 2 2 3 9 2 3 3" xfId="12978" xr:uid="{00000000-0005-0000-0000-0000742A0000}"/>
    <cellStyle name="Normal 2 2 2 3 9 2 3 3 2" xfId="33030" xr:uid="{00000000-0005-0000-0000-0000752A0000}"/>
    <cellStyle name="Normal 2 2 2 3 9 2 3 4" xfId="24000" xr:uid="{00000000-0005-0000-0000-0000762A0000}"/>
    <cellStyle name="Normal 2 2 2 3 9 2 4" xfId="5442" xr:uid="{00000000-0005-0000-0000-0000772A0000}"/>
    <cellStyle name="Normal 2 2 2 3 9 2 4 2" xfId="14472" xr:uid="{00000000-0005-0000-0000-0000782A0000}"/>
    <cellStyle name="Normal 2 2 2 3 9 2 4 2 2" xfId="34524" xr:uid="{00000000-0005-0000-0000-0000792A0000}"/>
    <cellStyle name="Normal 2 2 2 3 9 2 4 3" xfId="25494" xr:uid="{00000000-0005-0000-0000-00007A2A0000}"/>
    <cellStyle name="Normal 2 2 2 3 9 2 5" xfId="9990" xr:uid="{00000000-0005-0000-0000-00007B2A0000}"/>
    <cellStyle name="Normal 2 2 2 3 9 2 5 2" xfId="30042" xr:uid="{00000000-0005-0000-0000-00007C2A0000}"/>
    <cellStyle name="Normal 2 2 2 3 9 2 6" xfId="21012" xr:uid="{00000000-0005-0000-0000-00007D2A0000}"/>
    <cellStyle name="Normal 2 2 2 3 9 3" xfId="1709" xr:uid="{00000000-0005-0000-0000-00007E2A0000}"/>
    <cellStyle name="Normal 2 2 2 3 9 3 2" xfId="6191" xr:uid="{00000000-0005-0000-0000-00007F2A0000}"/>
    <cellStyle name="Normal 2 2 2 3 9 3 2 2" xfId="15221" xr:uid="{00000000-0005-0000-0000-0000802A0000}"/>
    <cellStyle name="Normal 2 2 2 3 9 3 2 2 2" xfId="35273" xr:uid="{00000000-0005-0000-0000-0000812A0000}"/>
    <cellStyle name="Normal 2 2 2 3 9 3 2 3" xfId="26243" xr:uid="{00000000-0005-0000-0000-0000822A0000}"/>
    <cellStyle name="Normal 2 2 2 3 9 3 3" xfId="10739" xr:uid="{00000000-0005-0000-0000-0000832A0000}"/>
    <cellStyle name="Normal 2 2 2 3 9 3 3 2" xfId="30791" xr:uid="{00000000-0005-0000-0000-0000842A0000}"/>
    <cellStyle name="Normal 2 2 2 3 9 3 4" xfId="21761" xr:uid="{00000000-0005-0000-0000-0000852A0000}"/>
    <cellStyle name="Normal 2 2 2 3 9 4" xfId="3203" xr:uid="{00000000-0005-0000-0000-0000862A0000}"/>
    <cellStyle name="Normal 2 2 2 3 9 4 2" xfId="7685" xr:uid="{00000000-0005-0000-0000-0000872A0000}"/>
    <cellStyle name="Normal 2 2 2 3 9 4 2 2" xfId="16715" xr:uid="{00000000-0005-0000-0000-0000882A0000}"/>
    <cellStyle name="Normal 2 2 2 3 9 4 2 2 2" xfId="36767" xr:uid="{00000000-0005-0000-0000-0000892A0000}"/>
    <cellStyle name="Normal 2 2 2 3 9 4 2 3" xfId="27737" xr:uid="{00000000-0005-0000-0000-00008A2A0000}"/>
    <cellStyle name="Normal 2 2 2 3 9 4 3" xfId="12233" xr:uid="{00000000-0005-0000-0000-00008B2A0000}"/>
    <cellStyle name="Normal 2 2 2 3 9 4 3 2" xfId="32285" xr:uid="{00000000-0005-0000-0000-00008C2A0000}"/>
    <cellStyle name="Normal 2 2 2 3 9 4 4" xfId="23255" xr:uid="{00000000-0005-0000-0000-00008D2A0000}"/>
    <cellStyle name="Normal 2 2 2 3 9 5" xfId="4697" xr:uid="{00000000-0005-0000-0000-00008E2A0000}"/>
    <cellStyle name="Normal 2 2 2 3 9 5 2" xfId="13727" xr:uid="{00000000-0005-0000-0000-00008F2A0000}"/>
    <cellStyle name="Normal 2 2 2 3 9 5 2 2" xfId="33779" xr:uid="{00000000-0005-0000-0000-0000902A0000}"/>
    <cellStyle name="Normal 2 2 2 3 9 5 3" xfId="24749" xr:uid="{00000000-0005-0000-0000-0000912A0000}"/>
    <cellStyle name="Normal 2 2 2 3 9 6" xfId="9245" xr:uid="{00000000-0005-0000-0000-0000922A0000}"/>
    <cellStyle name="Normal 2 2 2 3 9 6 2" xfId="29297" xr:uid="{00000000-0005-0000-0000-0000932A0000}"/>
    <cellStyle name="Normal 2 2 2 3 9 7" xfId="20267" xr:uid="{00000000-0005-0000-0000-0000942A0000}"/>
    <cellStyle name="Normal 2 2 2 4" xfId="40" xr:uid="{00000000-0005-0000-0000-0000952A0000}"/>
    <cellStyle name="Normal 2 2 2 4 10" xfId="20092" xr:uid="{00000000-0005-0000-0000-0000962A0000}"/>
    <cellStyle name="Normal 2 2 2 4 2" xfId="226" xr:uid="{00000000-0005-0000-0000-0000972A0000}"/>
    <cellStyle name="Normal 2 2 2 4 2 2" xfId="971" xr:uid="{00000000-0005-0000-0000-0000982A0000}"/>
    <cellStyle name="Normal 2 2 2 4 2 2 2" xfId="2465" xr:uid="{00000000-0005-0000-0000-0000992A0000}"/>
    <cellStyle name="Normal 2 2 2 4 2 2 2 2" xfId="6947" xr:uid="{00000000-0005-0000-0000-00009A2A0000}"/>
    <cellStyle name="Normal 2 2 2 4 2 2 2 2 2" xfId="15977" xr:uid="{00000000-0005-0000-0000-00009B2A0000}"/>
    <cellStyle name="Normal 2 2 2 4 2 2 2 2 2 2" xfId="36029" xr:uid="{00000000-0005-0000-0000-00009C2A0000}"/>
    <cellStyle name="Normal 2 2 2 4 2 2 2 2 3" xfId="26999" xr:uid="{00000000-0005-0000-0000-00009D2A0000}"/>
    <cellStyle name="Normal 2 2 2 4 2 2 2 3" xfId="11495" xr:uid="{00000000-0005-0000-0000-00009E2A0000}"/>
    <cellStyle name="Normal 2 2 2 4 2 2 2 3 2" xfId="31547" xr:uid="{00000000-0005-0000-0000-00009F2A0000}"/>
    <cellStyle name="Normal 2 2 2 4 2 2 2 4" xfId="22517" xr:uid="{00000000-0005-0000-0000-0000A02A0000}"/>
    <cellStyle name="Normal 2 2 2 4 2 2 3" xfId="3959" xr:uid="{00000000-0005-0000-0000-0000A12A0000}"/>
    <cellStyle name="Normal 2 2 2 4 2 2 3 2" xfId="8441" xr:uid="{00000000-0005-0000-0000-0000A22A0000}"/>
    <cellStyle name="Normal 2 2 2 4 2 2 3 2 2" xfId="17471" xr:uid="{00000000-0005-0000-0000-0000A32A0000}"/>
    <cellStyle name="Normal 2 2 2 4 2 2 3 2 2 2" xfId="37523" xr:uid="{00000000-0005-0000-0000-0000A42A0000}"/>
    <cellStyle name="Normal 2 2 2 4 2 2 3 2 3" xfId="28493" xr:uid="{00000000-0005-0000-0000-0000A52A0000}"/>
    <cellStyle name="Normal 2 2 2 4 2 2 3 3" xfId="12989" xr:uid="{00000000-0005-0000-0000-0000A62A0000}"/>
    <cellStyle name="Normal 2 2 2 4 2 2 3 3 2" xfId="33041" xr:uid="{00000000-0005-0000-0000-0000A72A0000}"/>
    <cellStyle name="Normal 2 2 2 4 2 2 3 4" xfId="24011" xr:uid="{00000000-0005-0000-0000-0000A82A0000}"/>
    <cellStyle name="Normal 2 2 2 4 2 2 4" xfId="5453" xr:uid="{00000000-0005-0000-0000-0000A92A0000}"/>
    <cellStyle name="Normal 2 2 2 4 2 2 4 2" xfId="14483" xr:uid="{00000000-0005-0000-0000-0000AA2A0000}"/>
    <cellStyle name="Normal 2 2 2 4 2 2 4 2 2" xfId="34535" xr:uid="{00000000-0005-0000-0000-0000AB2A0000}"/>
    <cellStyle name="Normal 2 2 2 4 2 2 4 3" xfId="25505" xr:uid="{00000000-0005-0000-0000-0000AC2A0000}"/>
    <cellStyle name="Normal 2 2 2 4 2 2 5" xfId="10001" xr:uid="{00000000-0005-0000-0000-0000AD2A0000}"/>
    <cellStyle name="Normal 2 2 2 4 2 2 5 2" xfId="30053" xr:uid="{00000000-0005-0000-0000-0000AE2A0000}"/>
    <cellStyle name="Normal 2 2 2 4 2 2 6" xfId="21023" xr:uid="{00000000-0005-0000-0000-0000AF2A0000}"/>
    <cellStyle name="Normal 2 2 2 4 2 3" xfId="1720" xr:uid="{00000000-0005-0000-0000-0000B02A0000}"/>
    <cellStyle name="Normal 2 2 2 4 2 3 2" xfId="6202" xr:uid="{00000000-0005-0000-0000-0000B12A0000}"/>
    <cellStyle name="Normal 2 2 2 4 2 3 2 2" xfId="15232" xr:uid="{00000000-0005-0000-0000-0000B22A0000}"/>
    <cellStyle name="Normal 2 2 2 4 2 3 2 2 2" xfId="35284" xr:uid="{00000000-0005-0000-0000-0000B32A0000}"/>
    <cellStyle name="Normal 2 2 2 4 2 3 2 3" xfId="26254" xr:uid="{00000000-0005-0000-0000-0000B42A0000}"/>
    <cellStyle name="Normal 2 2 2 4 2 3 3" xfId="10750" xr:uid="{00000000-0005-0000-0000-0000B52A0000}"/>
    <cellStyle name="Normal 2 2 2 4 2 3 3 2" xfId="30802" xr:uid="{00000000-0005-0000-0000-0000B62A0000}"/>
    <cellStyle name="Normal 2 2 2 4 2 3 4" xfId="21772" xr:uid="{00000000-0005-0000-0000-0000B72A0000}"/>
    <cellStyle name="Normal 2 2 2 4 2 4" xfId="3214" xr:uid="{00000000-0005-0000-0000-0000B82A0000}"/>
    <cellStyle name="Normal 2 2 2 4 2 4 2" xfId="7696" xr:uid="{00000000-0005-0000-0000-0000B92A0000}"/>
    <cellStyle name="Normal 2 2 2 4 2 4 2 2" xfId="16726" xr:uid="{00000000-0005-0000-0000-0000BA2A0000}"/>
    <cellStyle name="Normal 2 2 2 4 2 4 2 2 2" xfId="36778" xr:uid="{00000000-0005-0000-0000-0000BB2A0000}"/>
    <cellStyle name="Normal 2 2 2 4 2 4 2 3" xfId="27748" xr:uid="{00000000-0005-0000-0000-0000BC2A0000}"/>
    <cellStyle name="Normal 2 2 2 4 2 4 3" xfId="12244" xr:uid="{00000000-0005-0000-0000-0000BD2A0000}"/>
    <cellStyle name="Normal 2 2 2 4 2 4 3 2" xfId="32296" xr:uid="{00000000-0005-0000-0000-0000BE2A0000}"/>
    <cellStyle name="Normal 2 2 2 4 2 4 4" xfId="23266" xr:uid="{00000000-0005-0000-0000-0000BF2A0000}"/>
    <cellStyle name="Normal 2 2 2 4 2 5" xfId="4708" xr:uid="{00000000-0005-0000-0000-0000C02A0000}"/>
    <cellStyle name="Normal 2 2 2 4 2 5 2" xfId="13738" xr:uid="{00000000-0005-0000-0000-0000C12A0000}"/>
    <cellStyle name="Normal 2 2 2 4 2 5 2 2" xfId="33790" xr:uid="{00000000-0005-0000-0000-0000C22A0000}"/>
    <cellStyle name="Normal 2 2 2 4 2 5 3" xfId="24760" xr:uid="{00000000-0005-0000-0000-0000C32A0000}"/>
    <cellStyle name="Normal 2 2 2 4 2 6" xfId="9256" xr:uid="{00000000-0005-0000-0000-0000C42A0000}"/>
    <cellStyle name="Normal 2 2 2 4 2 6 2" xfId="29308" xr:uid="{00000000-0005-0000-0000-0000C52A0000}"/>
    <cellStyle name="Normal 2 2 2 4 2 7" xfId="20278" xr:uid="{00000000-0005-0000-0000-0000C62A0000}"/>
    <cellStyle name="Normal 2 2 2 4 3" xfId="412" xr:uid="{00000000-0005-0000-0000-0000C72A0000}"/>
    <cellStyle name="Normal 2 2 2 4 3 2" xfId="1159" xr:uid="{00000000-0005-0000-0000-0000C82A0000}"/>
    <cellStyle name="Normal 2 2 2 4 3 2 2" xfId="2653" xr:uid="{00000000-0005-0000-0000-0000C92A0000}"/>
    <cellStyle name="Normal 2 2 2 4 3 2 2 2" xfId="7135" xr:uid="{00000000-0005-0000-0000-0000CA2A0000}"/>
    <cellStyle name="Normal 2 2 2 4 3 2 2 2 2" xfId="16165" xr:uid="{00000000-0005-0000-0000-0000CB2A0000}"/>
    <cellStyle name="Normal 2 2 2 4 3 2 2 2 2 2" xfId="36217" xr:uid="{00000000-0005-0000-0000-0000CC2A0000}"/>
    <cellStyle name="Normal 2 2 2 4 3 2 2 2 3" xfId="27187" xr:uid="{00000000-0005-0000-0000-0000CD2A0000}"/>
    <cellStyle name="Normal 2 2 2 4 3 2 2 3" xfId="11683" xr:uid="{00000000-0005-0000-0000-0000CE2A0000}"/>
    <cellStyle name="Normal 2 2 2 4 3 2 2 3 2" xfId="31735" xr:uid="{00000000-0005-0000-0000-0000CF2A0000}"/>
    <cellStyle name="Normal 2 2 2 4 3 2 2 4" xfId="22705" xr:uid="{00000000-0005-0000-0000-0000D02A0000}"/>
    <cellStyle name="Normal 2 2 2 4 3 2 3" xfId="4147" xr:uid="{00000000-0005-0000-0000-0000D12A0000}"/>
    <cellStyle name="Normal 2 2 2 4 3 2 3 2" xfId="8629" xr:uid="{00000000-0005-0000-0000-0000D22A0000}"/>
    <cellStyle name="Normal 2 2 2 4 3 2 3 2 2" xfId="17659" xr:uid="{00000000-0005-0000-0000-0000D32A0000}"/>
    <cellStyle name="Normal 2 2 2 4 3 2 3 2 2 2" xfId="37711" xr:uid="{00000000-0005-0000-0000-0000D42A0000}"/>
    <cellStyle name="Normal 2 2 2 4 3 2 3 2 3" xfId="28681" xr:uid="{00000000-0005-0000-0000-0000D52A0000}"/>
    <cellStyle name="Normal 2 2 2 4 3 2 3 3" xfId="13177" xr:uid="{00000000-0005-0000-0000-0000D62A0000}"/>
    <cellStyle name="Normal 2 2 2 4 3 2 3 3 2" xfId="33229" xr:uid="{00000000-0005-0000-0000-0000D72A0000}"/>
    <cellStyle name="Normal 2 2 2 4 3 2 3 4" xfId="24199" xr:uid="{00000000-0005-0000-0000-0000D82A0000}"/>
    <cellStyle name="Normal 2 2 2 4 3 2 4" xfId="5641" xr:uid="{00000000-0005-0000-0000-0000D92A0000}"/>
    <cellStyle name="Normal 2 2 2 4 3 2 4 2" xfId="14671" xr:uid="{00000000-0005-0000-0000-0000DA2A0000}"/>
    <cellStyle name="Normal 2 2 2 4 3 2 4 2 2" xfId="34723" xr:uid="{00000000-0005-0000-0000-0000DB2A0000}"/>
    <cellStyle name="Normal 2 2 2 4 3 2 4 3" xfId="25693" xr:uid="{00000000-0005-0000-0000-0000DC2A0000}"/>
    <cellStyle name="Normal 2 2 2 4 3 2 5" xfId="10189" xr:uid="{00000000-0005-0000-0000-0000DD2A0000}"/>
    <cellStyle name="Normal 2 2 2 4 3 2 5 2" xfId="30241" xr:uid="{00000000-0005-0000-0000-0000DE2A0000}"/>
    <cellStyle name="Normal 2 2 2 4 3 2 6" xfId="21211" xr:uid="{00000000-0005-0000-0000-0000DF2A0000}"/>
    <cellStyle name="Normal 2 2 2 4 3 3" xfId="1906" xr:uid="{00000000-0005-0000-0000-0000E02A0000}"/>
    <cellStyle name="Normal 2 2 2 4 3 3 2" xfId="6388" xr:uid="{00000000-0005-0000-0000-0000E12A0000}"/>
    <cellStyle name="Normal 2 2 2 4 3 3 2 2" xfId="15418" xr:uid="{00000000-0005-0000-0000-0000E22A0000}"/>
    <cellStyle name="Normal 2 2 2 4 3 3 2 2 2" xfId="35470" xr:uid="{00000000-0005-0000-0000-0000E32A0000}"/>
    <cellStyle name="Normal 2 2 2 4 3 3 2 3" xfId="26440" xr:uid="{00000000-0005-0000-0000-0000E42A0000}"/>
    <cellStyle name="Normal 2 2 2 4 3 3 3" xfId="10936" xr:uid="{00000000-0005-0000-0000-0000E52A0000}"/>
    <cellStyle name="Normal 2 2 2 4 3 3 3 2" xfId="30988" xr:uid="{00000000-0005-0000-0000-0000E62A0000}"/>
    <cellStyle name="Normal 2 2 2 4 3 3 4" xfId="21958" xr:uid="{00000000-0005-0000-0000-0000E72A0000}"/>
    <cellStyle name="Normal 2 2 2 4 3 4" xfId="3400" xr:uid="{00000000-0005-0000-0000-0000E82A0000}"/>
    <cellStyle name="Normal 2 2 2 4 3 4 2" xfId="7882" xr:uid="{00000000-0005-0000-0000-0000E92A0000}"/>
    <cellStyle name="Normal 2 2 2 4 3 4 2 2" xfId="16912" xr:uid="{00000000-0005-0000-0000-0000EA2A0000}"/>
    <cellStyle name="Normal 2 2 2 4 3 4 2 2 2" xfId="36964" xr:uid="{00000000-0005-0000-0000-0000EB2A0000}"/>
    <cellStyle name="Normal 2 2 2 4 3 4 2 3" xfId="27934" xr:uid="{00000000-0005-0000-0000-0000EC2A0000}"/>
    <cellStyle name="Normal 2 2 2 4 3 4 3" xfId="12430" xr:uid="{00000000-0005-0000-0000-0000ED2A0000}"/>
    <cellStyle name="Normal 2 2 2 4 3 4 3 2" xfId="32482" xr:uid="{00000000-0005-0000-0000-0000EE2A0000}"/>
    <cellStyle name="Normal 2 2 2 4 3 4 4" xfId="23452" xr:uid="{00000000-0005-0000-0000-0000EF2A0000}"/>
    <cellStyle name="Normal 2 2 2 4 3 5" xfId="4894" xr:uid="{00000000-0005-0000-0000-0000F02A0000}"/>
    <cellStyle name="Normal 2 2 2 4 3 5 2" xfId="13924" xr:uid="{00000000-0005-0000-0000-0000F12A0000}"/>
    <cellStyle name="Normal 2 2 2 4 3 5 2 2" xfId="33976" xr:uid="{00000000-0005-0000-0000-0000F22A0000}"/>
    <cellStyle name="Normal 2 2 2 4 3 5 3" xfId="24946" xr:uid="{00000000-0005-0000-0000-0000F32A0000}"/>
    <cellStyle name="Normal 2 2 2 4 3 6" xfId="9442" xr:uid="{00000000-0005-0000-0000-0000F42A0000}"/>
    <cellStyle name="Normal 2 2 2 4 3 6 2" xfId="29494" xr:uid="{00000000-0005-0000-0000-0000F52A0000}"/>
    <cellStyle name="Normal 2 2 2 4 3 7" xfId="20464" xr:uid="{00000000-0005-0000-0000-0000F62A0000}"/>
    <cellStyle name="Normal 2 2 2 4 4" xfId="598" xr:uid="{00000000-0005-0000-0000-0000F72A0000}"/>
    <cellStyle name="Normal 2 2 2 4 4 2" xfId="1345" xr:uid="{00000000-0005-0000-0000-0000F82A0000}"/>
    <cellStyle name="Normal 2 2 2 4 4 2 2" xfId="2839" xr:uid="{00000000-0005-0000-0000-0000F92A0000}"/>
    <cellStyle name="Normal 2 2 2 4 4 2 2 2" xfId="7321" xr:uid="{00000000-0005-0000-0000-0000FA2A0000}"/>
    <cellStyle name="Normal 2 2 2 4 4 2 2 2 2" xfId="16351" xr:uid="{00000000-0005-0000-0000-0000FB2A0000}"/>
    <cellStyle name="Normal 2 2 2 4 4 2 2 2 2 2" xfId="36403" xr:uid="{00000000-0005-0000-0000-0000FC2A0000}"/>
    <cellStyle name="Normal 2 2 2 4 4 2 2 2 3" xfId="27373" xr:uid="{00000000-0005-0000-0000-0000FD2A0000}"/>
    <cellStyle name="Normal 2 2 2 4 4 2 2 3" xfId="11869" xr:uid="{00000000-0005-0000-0000-0000FE2A0000}"/>
    <cellStyle name="Normal 2 2 2 4 4 2 2 3 2" xfId="31921" xr:uid="{00000000-0005-0000-0000-0000FF2A0000}"/>
    <cellStyle name="Normal 2 2 2 4 4 2 2 4" xfId="22891" xr:uid="{00000000-0005-0000-0000-0000002B0000}"/>
    <cellStyle name="Normal 2 2 2 4 4 2 3" xfId="4333" xr:uid="{00000000-0005-0000-0000-0000012B0000}"/>
    <cellStyle name="Normal 2 2 2 4 4 2 3 2" xfId="8815" xr:uid="{00000000-0005-0000-0000-0000022B0000}"/>
    <cellStyle name="Normal 2 2 2 4 4 2 3 2 2" xfId="17845" xr:uid="{00000000-0005-0000-0000-0000032B0000}"/>
    <cellStyle name="Normal 2 2 2 4 4 2 3 2 2 2" xfId="37897" xr:uid="{00000000-0005-0000-0000-0000042B0000}"/>
    <cellStyle name="Normal 2 2 2 4 4 2 3 2 3" xfId="28867" xr:uid="{00000000-0005-0000-0000-0000052B0000}"/>
    <cellStyle name="Normal 2 2 2 4 4 2 3 3" xfId="13363" xr:uid="{00000000-0005-0000-0000-0000062B0000}"/>
    <cellStyle name="Normal 2 2 2 4 4 2 3 3 2" xfId="33415" xr:uid="{00000000-0005-0000-0000-0000072B0000}"/>
    <cellStyle name="Normal 2 2 2 4 4 2 3 4" xfId="24385" xr:uid="{00000000-0005-0000-0000-0000082B0000}"/>
    <cellStyle name="Normal 2 2 2 4 4 2 4" xfId="5827" xr:uid="{00000000-0005-0000-0000-0000092B0000}"/>
    <cellStyle name="Normal 2 2 2 4 4 2 4 2" xfId="14857" xr:uid="{00000000-0005-0000-0000-00000A2B0000}"/>
    <cellStyle name="Normal 2 2 2 4 4 2 4 2 2" xfId="34909" xr:uid="{00000000-0005-0000-0000-00000B2B0000}"/>
    <cellStyle name="Normal 2 2 2 4 4 2 4 3" xfId="25879" xr:uid="{00000000-0005-0000-0000-00000C2B0000}"/>
    <cellStyle name="Normal 2 2 2 4 4 2 5" xfId="10375" xr:uid="{00000000-0005-0000-0000-00000D2B0000}"/>
    <cellStyle name="Normal 2 2 2 4 4 2 5 2" xfId="30427" xr:uid="{00000000-0005-0000-0000-00000E2B0000}"/>
    <cellStyle name="Normal 2 2 2 4 4 2 6" xfId="21397" xr:uid="{00000000-0005-0000-0000-00000F2B0000}"/>
    <cellStyle name="Normal 2 2 2 4 4 3" xfId="2092" xr:uid="{00000000-0005-0000-0000-0000102B0000}"/>
    <cellStyle name="Normal 2 2 2 4 4 3 2" xfId="6574" xr:uid="{00000000-0005-0000-0000-0000112B0000}"/>
    <cellStyle name="Normal 2 2 2 4 4 3 2 2" xfId="15604" xr:uid="{00000000-0005-0000-0000-0000122B0000}"/>
    <cellStyle name="Normal 2 2 2 4 4 3 2 2 2" xfId="35656" xr:uid="{00000000-0005-0000-0000-0000132B0000}"/>
    <cellStyle name="Normal 2 2 2 4 4 3 2 3" xfId="26626" xr:uid="{00000000-0005-0000-0000-0000142B0000}"/>
    <cellStyle name="Normal 2 2 2 4 4 3 3" xfId="11122" xr:uid="{00000000-0005-0000-0000-0000152B0000}"/>
    <cellStyle name="Normal 2 2 2 4 4 3 3 2" xfId="31174" xr:uid="{00000000-0005-0000-0000-0000162B0000}"/>
    <cellStyle name="Normal 2 2 2 4 4 3 4" xfId="22144" xr:uid="{00000000-0005-0000-0000-0000172B0000}"/>
    <cellStyle name="Normal 2 2 2 4 4 4" xfId="3586" xr:uid="{00000000-0005-0000-0000-0000182B0000}"/>
    <cellStyle name="Normal 2 2 2 4 4 4 2" xfId="8068" xr:uid="{00000000-0005-0000-0000-0000192B0000}"/>
    <cellStyle name="Normal 2 2 2 4 4 4 2 2" xfId="17098" xr:uid="{00000000-0005-0000-0000-00001A2B0000}"/>
    <cellStyle name="Normal 2 2 2 4 4 4 2 2 2" xfId="37150" xr:uid="{00000000-0005-0000-0000-00001B2B0000}"/>
    <cellStyle name="Normal 2 2 2 4 4 4 2 3" xfId="28120" xr:uid="{00000000-0005-0000-0000-00001C2B0000}"/>
    <cellStyle name="Normal 2 2 2 4 4 4 3" xfId="12616" xr:uid="{00000000-0005-0000-0000-00001D2B0000}"/>
    <cellStyle name="Normal 2 2 2 4 4 4 3 2" xfId="32668" xr:uid="{00000000-0005-0000-0000-00001E2B0000}"/>
    <cellStyle name="Normal 2 2 2 4 4 4 4" xfId="23638" xr:uid="{00000000-0005-0000-0000-00001F2B0000}"/>
    <cellStyle name="Normal 2 2 2 4 4 5" xfId="5080" xr:uid="{00000000-0005-0000-0000-0000202B0000}"/>
    <cellStyle name="Normal 2 2 2 4 4 5 2" xfId="14110" xr:uid="{00000000-0005-0000-0000-0000212B0000}"/>
    <cellStyle name="Normal 2 2 2 4 4 5 2 2" xfId="34162" xr:uid="{00000000-0005-0000-0000-0000222B0000}"/>
    <cellStyle name="Normal 2 2 2 4 4 5 3" xfId="25132" xr:uid="{00000000-0005-0000-0000-0000232B0000}"/>
    <cellStyle name="Normal 2 2 2 4 4 6" xfId="9628" xr:uid="{00000000-0005-0000-0000-0000242B0000}"/>
    <cellStyle name="Normal 2 2 2 4 4 6 2" xfId="29680" xr:uid="{00000000-0005-0000-0000-0000252B0000}"/>
    <cellStyle name="Normal 2 2 2 4 4 7" xfId="20650" xr:uid="{00000000-0005-0000-0000-0000262B0000}"/>
    <cellStyle name="Normal 2 2 2 4 5" xfId="785" xr:uid="{00000000-0005-0000-0000-0000272B0000}"/>
    <cellStyle name="Normal 2 2 2 4 5 2" xfId="2279" xr:uid="{00000000-0005-0000-0000-0000282B0000}"/>
    <cellStyle name="Normal 2 2 2 4 5 2 2" xfId="6761" xr:uid="{00000000-0005-0000-0000-0000292B0000}"/>
    <cellStyle name="Normal 2 2 2 4 5 2 2 2" xfId="15791" xr:uid="{00000000-0005-0000-0000-00002A2B0000}"/>
    <cellStyle name="Normal 2 2 2 4 5 2 2 2 2" xfId="35843" xr:uid="{00000000-0005-0000-0000-00002B2B0000}"/>
    <cellStyle name="Normal 2 2 2 4 5 2 2 3" xfId="26813" xr:uid="{00000000-0005-0000-0000-00002C2B0000}"/>
    <cellStyle name="Normal 2 2 2 4 5 2 3" xfId="11309" xr:uid="{00000000-0005-0000-0000-00002D2B0000}"/>
    <cellStyle name="Normal 2 2 2 4 5 2 3 2" xfId="31361" xr:uid="{00000000-0005-0000-0000-00002E2B0000}"/>
    <cellStyle name="Normal 2 2 2 4 5 2 4" xfId="22331" xr:uid="{00000000-0005-0000-0000-00002F2B0000}"/>
    <cellStyle name="Normal 2 2 2 4 5 3" xfId="3773" xr:uid="{00000000-0005-0000-0000-0000302B0000}"/>
    <cellStyle name="Normal 2 2 2 4 5 3 2" xfId="8255" xr:uid="{00000000-0005-0000-0000-0000312B0000}"/>
    <cellStyle name="Normal 2 2 2 4 5 3 2 2" xfId="17285" xr:uid="{00000000-0005-0000-0000-0000322B0000}"/>
    <cellStyle name="Normal 2 2 2 4 5 3 2 2 2" xfId="37337" xr:uid="{00000000-0005-0000-0000-0000332B0000}"/>
    <cellStyle name="Normal 2 2 2 4 5 3 2 3" xfId="28307" xr:uid="{00000000-0005-0000-0000-0000342B0000}"/>
    <cellStyle name="Normal 2 2 2 4 5 3 3" xfId="12803" xr:uid="{00000000-0005-0000-0000-0000352B0000}"/>
    <cellStyle name="Normal 2 2 2 4 5 3 3 2" xfId="32855" xr:uid="{00000000-0005-0000-0000-0000362B0000}"/>
    <cellStyle name="Normal 2 2 2 4 5 3 4" xfId="23825" xr:uid="{00000000-0005-0000-0000-0000372B0000}"/>
    <cellStyle name="Normal 2 2 2 4 5 4" xfId="5267" xr:uid="{00000000-0005-0000-0000-0000382B0000}"/>
    <cellStyle name="Normal 2 2 2 4 5 4 2" xfId="14297" xr:uid="{00000000-0005-0000-0000-0000392B0000}"/>
    <cellStyle name="Normal 2 2 2 4 5 4 2 2" xfId="34349" xr:uid="{00000000-0005-0000-0000-00003A2B0000}"/>
    <cellStyle name="Normal 2 2 2 4 5 4 3" xfId="25319" xr:uid="{00000000-0005-0000-0000-00003B2B0000}"/>
    <cellStyle name="Normal 2 2 2 4 5 5" xfId="9815" xr:uid="{00000000-0005-0000-0000-00003C2B0000}"/>
    <cellStyle name="Normal 2 2 2 4 5 5 2" xfId="29867" xr:uid="{00000000-0005-0000-0000-00003D2B0000}"/>
    <cellStyle name="Normal 2 2 2 4 5 6" xfId="20837" xr:uid="{00000000-0005-0000-0000-00003E2B0000}"/>
    <cellStyle name="Normal 2 2 2 4 6" xfId="1534" xr:uid="{00000000-0005-0000-0000-00003F2B0000}"/>
    <cellStyle name="Normal 2 2 2 4 6 2" xfId="6016" xr:uid="{00000000-0005-0000-0000-0000402B0000}"/>
    <cellStyle name="Normal 2 2 2 4 6 2 2" xfId="15046" xr:uid="{00000000-0005-0000-0000-0000412B0000}"/>
    <cellStyle name="Normal 2 2 2 4 6 2 2 2" xfId="35098" xr:uid="{00000000-0005-0000-0000-0000422B0000}"/>
    <cellStyle name="Normal 2 2 2 4 6 2 3" xfId="26068" xr:uid="{00000000-0005-0000-0000-0000432B0000}"/>
    <cellStyle name="Normal 2 2 2 4 6 3" xfId="10564" xr:uid="{00000000-0005-0000-0000-0000442B0000}"/>
    <cellStyle name="Normal 2 2 2 4 6 3 2" xfId="30616" xr:uid="{00000000-0005-0000-0000-0000452B0000}"/>
    <cellStyle name="Normal 2 2 2 4 6 4" xfId="21586" xr:uid="{00000000-0005-0000-0000-0000462B0000}"/>
    <cellStyle name="Normal 2 2 2 4 7" xfId="3028" xr:uid="{00000000-0005-0000-0000-0000472B0000}"/>
    <cellStyle name="Normal 2 2 2 4 7 2" xfId="7510" xr:uid="{00000000-0005-0000-0000-0000482B0000}"/>
    <cellStyle name="Normal 2 2 2 4 7 2 2" xfId="16540" xr:uid="{00000000-0005-0000-0000-0000492B0000}"/>
    <cellStyle name="Normal 2 2 2 4 7 2 2 2" xfId="36592" xr:uid="{00000000-0005-0000-0000-00004A2B0000}"/>
    <cellStyle name="Normal 2 2 2 4 7 2 3" xfId="27562" xr:uid="{00000000-0005-0000-0000-00004B2B0000}"/>
    <cellStyle name="Normal 2 2 2 4 7 3" xfId="12058" xr:uid="{00000000-0005-0000-0000-00004C2B0000}"/>
    <cellStyle name="Normal 2 2 2 4 7 3 2" xfId="32110" xr:uid="{00000000-0005-0000-0000-00004D2B0000}"/>
    <cellStyle name="Normal 2 2 2 4 7 4" xfId="23080" xr:uid="{00000000-0005-0000-0000-00004E2B0000}"/>
    <cellStyle name="Normal 2 2 2 4 8" xfId="4522" xr:uid="{00000000-0005-0000-0000-00004F2B0000}"/>
    <cellStyle name="Normal 2 2 2 4 8 2" xfId="13552" xr:uid="{00000000-0005-0000-0000-0000502B0000}"/>
    <cellStyle name="Normal 2 2 2 4 8 2 2" xfId="33604" xr:uid="{00000000-0005-0000-0000-0000512B0000}"/>
    <cellStyle name="Normal 2 2 2 4 8 3" xfId="24574" xr:uid="{00000000-0005-0000-0000-0000522B0000}"/>
    <cellStyle name="Normal 2 2 2 4 9" xfId="9070" xr:uid="{00000000-0005-0000-0000-0000532B0000}"/>
    <cellStyle name="Normal 2 2 2 4 9 2" xfId="29122" xr:uid="{00000000-0005-0000-0000-0000542B0000}"/>
    <cellStyle name="Normal 2 2 2 5" xfId="63" xr:uid="{00000000-0005-0000-0000-0000552B0000}"/>
    <cellStyle name="Normal 2 2 2 5 10" xfId="20115" xr:uid="{00000000-0005-0000-0000-0000562B0000}"/>
    <cellStyle name="Normal 2 2 2 5 2" xfId="249" xr:uid="{00000000-0005-0000-0000-0000572B0000}"/>
    <cellStyle name="Normal 2 2 2 5 2 2" xfId="994" xr:uid="{00000000-0005-0000-0000-0000582B0000}"/>
    <cellStyle name="Normal 2 2 2 5 2 2 2" xfId="2488" xr:uid="{00000000-0005-0000-0000-0000592B0000}"/>
    <cellStyle name="Normal 2 2 2 5 2 2 2 2" xfId="6970" xr:uid="{00000000-0005-0000-0000-00005A2B0000}"/>
    <cellStyle name="Normal 2 2 2 5 2 2 2 2 2" xfId="16000" xr:uid="{00000000-0005-0000-0000-00005B2B0000}"/>
    <cellStyle name="Normal 2 2 2 5 2 2 2 2 2 2" xfId="36052" xr:uid="{00000000-0005-0000-0000-00005C2B0000}"/>
    <cellStyle name="Normal 2 2 2 5 2 2 2 2 3" xfId="27022" xr:uid="{00000000-0005-0000-0000-00005D2B0000}"/>
    <cellStyle name="Normal 2 2 2 5 2 2 2 3" xfId="11518" xr:uid="{00000000-0005-0000-0000-00005E2B0000}"/>
    <cellStyle name="Normal 2 2 2 5 2 2 2 3 2" xfId="31570" xr:uid="{00000000-0005-0000-0000-00005F2B0000}"/>
    <cellStyle name="Normal 2 2 2 5 2 2 2 4" xfId="22540" xr:uid="{00000000-0005-0000-0000-0000602B0000}"/>
    <cellStyle name="Normal 2 2 2 5 2 2 3" xfId="3982" xr:uid="{00000000-0005-0000-0000-0000612B0000}"/>
    <cellStyle name="Normal 2 2 2 5 2 2 3 2" xfId="8464" xr:uid="{00000000-0005-0000-0000-0000622B0000}"/>
    <cellStyle name="Normal 2 2 2 5 2 2 3 2 2" xfId="17494" xr:uid="{00000000-0005-0000-0000-0000632B0000}"/>
    <cellStyle name="Normal 2 2 2 5 2 2 3 2 2 2" xfId="37546" xr:uid="{00000000-0005-0000-0000-0000642B0000}"/>
    <cellStyle name="Normal 2 2 2 5 2 2 3 2 3" xfId="28516" xr:uid="{00000000-0005-0000-0000-0000652B0000}"/>
    <cellStyle name="Normal 2 2 2 5 2 2 3 3" xfId="13012" xr:uid="{00000000-0005-0000-0000-0000662B0000}"/>
    <cellStyle name="Normal 2 2 2 5 2 2 3 3 2" xfId="33064" xr:uid="{00000000-0005-0000-0000-0000672B0000}"/>
    <cellStyle name="Normal 2 2 2 5 2 2 3 4" xfId="24034" xr:uid="{00000000-0005-0000-0000-0000682B0000}"/>
    <cellStyle name="Normal 2 2 2 5 2 2 4" xfId="5476" xr:uid="{00000000-0005-0000-0000-0000692B0000}"/>
    <cellStyle name="Normal 2 2 2 5 2 2 4 2" xfId="14506" xr:uid="{00000000-0005-0000-0000-00006A2B0000}"/>
    <cellStyle name="Normal 2 2 2 5 2 2 4 2 2" xfId="34558" xr:uid="{00000000-0005-0000-0000-00006B2B0000}"/>
    <cellStyle name="Normal 2 2 2 5 2 2 4 3" xfId="25528" xr:uid="{00000000-0005-0000-0000-00006C2B0000}"/>
    <cellStyle name="Normal 2 2 2 5 2 2 5" xfId="10024" xr:uid="{00000000-0005-0000-0000-00006D2B0000}"/>
    <cellStyle name="Normal 2 2 2 5 2 2 5 2" xfId="30076" xr:uid="{00000000-0005-0000-0000-00006E2B0000}"/>
    <cellStyle name="Normal 2 2 2 5 2 2 6" xfId="21046" xr:uid="{00000000-0005-0000-0000-00006F2B0000}"/>
    <cellStyle name="Normal 2 2 2 5 2 3" xfId="1743" xr:uid="{00000000-0005-0000-0000-0000702B0000}"/>
    <cellStyle name="Normal 2 2 2 5 2 3 2" xfId="6225" xr:uid="{00000000-0005-0000-0000-0000712B0000}"/>
    <cellStyle name="Normal 2 2 2 5 2 3 2 2" xfId="15255" xr:uid="{00000000-0005-0000-0000-0000722B0000}"/>
    <cellStyle name="Normal 2 2 2 5 2 3 2 2 2" xfId="35307" xr:uid="{00000000-0005-0000-0000-0000732B0000}"/>
    <cellStyle name="Normal 2 2 2 5 2 3 2 3" xfId="26277" xr:uid="{00000000-0005-0000-0000-0000742B0000}"/>
    <cellStyle name="Normal 2 2 2 5 2 3 3" xfId="10773" xr:uid="{00000000-0005-0000-0000-0000752B0000}"/>
    <cellStyle name="Normal 2 2 2 5 2 3 3 2" xfId="30825" xr:uid="{00000000-0005-0000-0000-0000762B0000}"/>
    <cellStyle name="Normal 2 2 2 5 2 3 4" xfId="21795" xr:uid="{00000000-0005-0000-0000-0000772B0000}"/>
    <cellStyle name="Normal 2 2 2 5 2 4" xfId="3237" xr:uid="{00000000-0005-0000-0000-0000782B0000}"/>
    <cellStyle name="Normal 2 2 2 5 2 4 2" xfId="7719" xr:uid="{00000000-0005-0000-0000-0000792B0000}"/>
    <cellStyle name="Normal 2 2 2 5 2 4 2 2" xfId="16749" xr:uid="{00000000-0005-0000-0000-00007A2B0000}"/>
    <cellStyle name="Normal 2 2 2 5 2 4 2 2 2" xfId="36801" xr:uid="{00000000-0005-0000-0000-00007B2B0000}"/>
    <cellStyle name="Normal 2 2 2 5 2 4 2 3" xfId="27771" xr:uid="{00000000-0005-0000-0000-00007C2B0000}"/>
    <cellStyle name="Normal 2 2 2 5 2 4 3" xfId="12267" xr:uid="{00000000-0005-0000-0000-00007D2B0000}"/>
    <cellStyle name="Normal 2 2 2 5 2 4 3 2" xfId="32319" xr:uid="{00000000-0005-0000-0000-00007E2B0000}"/>
    <cellStyle name="Normal 2 2 2 5 2 4 4" xfId="23289" xr:uid="{00000000-0005-0000-0000-00007F2B0000}"/>
    <cellStyle name="Normal 2 2 2 5 2 5" xfId="4731" xr:uid="{00000000-0005-0000-0000-0000802B0000}"/>
    <cellStyle name="Normal 2 2 2 5 2 5 2" xfId="13761" xr:uid="{00000000-0005-0000-0000-0000812B0000}"/>
    <cellStyle name="Normal 2 2 2 5 2 5 2 2" xfId="33813" xr:uid="{00000000-0005-0000-0000-0000822B0000}"/>
    <cellStyle name="Normal 2 2 2 5 2 5 3" xfId="24783" xr:uid="{00000000-0005-0000-0000-0000832B0000}"/>
    <cellStyle name="Normal 2 2 2 5 2 6" xfId="9279" xr:uid="{00000000-0005-0000-0000-0000842B0000}"/>
    <cellStyle name="Normal 2 2 2 5 2 6 2" xfId="29331" xr:uid="{00000000-0005-0000-0000-0000852B0000}"/>
    <cellStyle name="Normal 2 2 2 5 2 7" xfId="20301" xr:uid="{00000000-0005-0000-0000-0000862B0000}"/>
    <cellStyle name="Normal 2 2 2 5 3" xfId="435" xr:uid="{00000000-0005-0000-0000-0000872B0000}"/>
    <cellStyle name="Normal 2 2 2 5 3 2" xfId="1182" xr:uid="{00000000-0005-0000-0000-0000882B0000}"/>
    <cellStyle name="Normal 2 2 2 5 3 2 2" xfId="2676" xr:uid="{00000000-0005-0000-0000-0000892B0000}"/>
    <cellStyle name="Normal 2 2 2 5 3 2 2 2" xfId="7158" xr:uid="{00000000-0005-0000-0000-00008A2B0000}"/>
    <cellStyle name="Normal 2 2 2 5 3 2 2 2 2" xfId="16188" xr:uid="{00000000-0005-0000-0000-00008B2B0000}"/>
    <cellStyle name="Normal 2 2 2 5 3 2 2 2 2 2" xfId="36240" xr:uid="{00000000-0005-0000-0000-00008C2B0000}"/>
    <cellStyle name="Normal 2 2 2 5 3 2 2 2 3" xfId="27210" xr:uid="{00000000-0005-0000-0000-00008D2B0000}"/>
    <cellStyle name="Normal 2 2 2 5 3 2 2 3" xfId="11706" xr:uid="{00000000-0005-0000-0000-00008E2B0000}"/>
    <cellStyle name="Normal 2 2 2 5 3 2 2 3 2" xfId="31758" xr:uid="{00000000-0005-0000-0000-00008F2B0000}"/>
    <cellStyle name="Normal 2 2 2 5 3 2 2 4" xfId="22728" xr:uid="{00000000-0005-0000-0000-0000902B0000}"/>
    <cellStyle name="Normal 2 2 2 5 3 2 3" xfId="4170" xr:uid="{00000000-0005-0000-0000-0000912B0000}"/>
    <cellStyle name="Normal 2 2 2 5 3 2 3 2" xfId="8652" xr:uid="{00000000-0005-0000-0000-0000922B0000}"/>
    <cellStyle name="Normal 2 2 2 5 3 2 3 2 2" xfId="17682" xr:uid="{00000000-0005-0000-0000-0000932B0000}"/>
    <cellStyle name="Normal 2 2 2 5 3 2 3 2 2 2" xfId="37734" xr:uid="{00000000-0005-0000-0000-0000942B0000}"/>
    <cellStyle name="Normal 2 2 2 5 3 2 3 2 3" xfId="28704" xr:uid="{00000000-0005-0000-0000-0000952B0000}"/>
    <cellStyle name="Normal 2 2 2 5 3 2 3 3" xfId="13200" xr:uid="{00000000-0005-0000-0000-0000962B0000}"/>
    <cellStyle name="Normal 2 2 2 5 3 2 3 3 2" xfId="33252" xr:uid="{00000000-0005-0000-0000-0000972B0000}"/>
    <cellStyle name="Normal 2 2 2 5 3 2 3 4" xfId="24222" xr:uid="{00000000-0005-0000-0000-0000982B0000}"/>
    <cellStyle name="Normal 2 2 2 5 3 2 4" xfId="5664" xr:uid="{00000000-0005-0000-0000-0000992B0000}"/>
    <cellStyle name="Normal 2 2 2 5 3 2 4 2" xfId="14694" xr:uid="{00000000-0005-0000-0000-00009A2B0000}"/>
    <cellStyle name="Normal 2 2 2 5 3 2 4 2 2" xfId="34746" xr:uid="{00000000-0005-0000-0000-00009B2B0000}"/>
    <cellStyle name="Normal 2 2 2 5 3 2 4 3" xfId="25716" xr:uid="{00000000-0005-0000-0000-00009C2B0000}"/>
    <cellStyle name="Normal 2 2 2 5 3 2 5" xfId="10212" xr:uid="{00000000-0005-0000-0000-00009D2B0000}"/>
    <cellStyle name="Normal 2 2 2 5 3 2 5 2" xfId="30264" xr:uid="{00000000-0005-0000-0000-00009E2B0000}"/>
    <cellStyle name="Normal 2 2 2 5 3 2 6" xfId="21234" xr:uid="{00000000-0005-0000-0000-00009F2B0000}"/>
    <cellStyle name="Normal 2 2 2 5 3 3" xfId="1929" xr:uid="{00000000-0005-0000-0000-0000A02B0000}"/>
    <cellStyle name="Normal 2 2 2 5 3 3 2" xfId="6411" xr:uid="{00000000-0005-0000-0000-0000A12B0000}"/>
    <cellStyle name="Normal 2 2 2 5 3 3 2 2" xfId="15441" xr:uid="{00000000-0005-0000-0000-0000A22B0000}"/>
    <cellStyle name="Normal 2 2 2 5 3 3 2 2 2" xfId="35493" xr:uid="{00000000-0005-0000-0000-0000A32B0000}"/>
    <cellStyle name="Normal 2 2 2 5 3 3 2 3" xfId="26463" xr:uid="{00000000-0005-0000-0000-0000A42B0000}"/>
    <cellStyle name="Normal 2 2 2 5 3 3 3" xfId="10959" xr:uid="{00000000-0005-0000-0000-0000A52B0000}"/>
    <cellStyle name="Normal 2 2 2 5 3 3 3 2" xfId="31011" xr:uid="{00000000-0005-0000-0000-0000A62B0000}"/>
    <cellStyle name="Normal 2 2 2 5 3 3 4" xfId="21981" xr:uid="{00000000-0005-0000-0000-0000A72B0000}"/>
    <cellStyle name="Normal 2 2 2 5 3 4" xfId="3423" xr:uid="{00000000-0005-0000-0000-0000A82B0000}"/>
    <cellStyle name="Normal 2 2 2 5 3 4 2" xfId="7905" xr:uid="{00000000-0005-0000-0000-0000A92B0000}"/>
    <cellStyle name="Normal 2 2 2 5 3 4 2 2" xfId="16935" xr:uid="{00000000-0005-0000-0000-0000AA2B0000}"/>
    <cellStyle name="Normal 2 2 2 5 3 4 2 2 2" xfId="36987" xr:uid="{00000000-0005-0000-0000-0000AB2B0000}"/>
    <cellStyle name="Normal 2 2 2 5 3 4 2 3" xfId="27957" xr:uid="{00000000-0005-0000-0000-0000AC2B0000}"/>
    <cellStyle name="Normal 2 2 2 5 3 4 3" xfId="12453" xr:uid="{00000000-0005-0000-0000-0000AD2B0000}"/>
    <cellStyle name="Normal 2 2 2 5 3 4 3 2" xfId="32505" xr:uid="{00000000-0005-0000-0000-0000AE2B0000}"/>
    <cellStyle name="Normal 2 2 2 5 3 4 4" xfId="23475" xr:uid="{00000000-0005-0000-0000-0000AF2B0000}"/>
    <cellStyle name="Normal 2 2 2 5 3 5" xfId="4917" xr:uid="{00000000-0005-0000-0000-0000B02B0000}"/>
    <cellStyle name="Normal 2 2 2 5 3 5 2" xfId="13947" xr:uid="{00000000-0005-0000-0000-0000B12B0000}"/>
    <cellStyle name="Normal 2 2 2 5 3 5 2 2" xfId="33999" xr:uid="{00000000-0005-0000-0000-0000B22B0000}"/>
    <cellStyle name="Normal 2 2 2 5 3 5 3" xfId="24969" xr:uid="{00000000-0005-0000-0000-0000B32B0000}"/>
    <cellStyle name="Normal 2 2 2 5 3 6" xfId="9465" xr:uid="{00000000-0005-0000-0000-0000B42B0000}"/>
    <cellStyle name="Normal 2 2 2 5 3 6 2" xfId="29517" xr:uid="{00000000-0005-0000-0000-0000B52B0000}"/>
    <cellStyle name="Normal 2 2 2 5 3 7" xfId="20487" xr:uid="{00000000-0005-0000-0000-0000B62B0000}"/>
    <cellStyle name="Normal 2 2 2 5 4" xfId="621" xr:uid="{00000000-0005-0000-0000-0000B72B0000}"/>
    <cellStyle name="Normal 2 2 2 5 4 2" xfId="1368" xr:uid="{00000000-0005-0000-0000-0000B82B0000}"/>
    <cellStyle name="Normal 2 2 2 5 4 2 2" xfId="2862" xr:uid="{00000000-0005-0000-0000-0000B92B0000}"/>
    <cellStyle name="Normal 2 2 2 5 4 2 2 2" xfId="7344" xr:uid="{00000000-0005-0000-0000-0000BA2B0000}"/>
    <cellStyle name="Normal 2 2 2 5 4 2 2 2 2" xfId="16374" xr:uid="{00000000-0005-0000-0000-0000BB2B0000}"/>
    <cellStyle name="Normal 2 2 2 5 4 2 2 2 2 2" xfId="36426" xr:uid="{00000000-0005-0000-0000-0000BC2B0000}"/>
    <cellStyle name="Normal 2 2 2 5 4 2 2 2 3" xfId="27396" xr:uid="{00000000-0005-0000-0000-0000BD2B0000}"/>
    <cellStyle name="Normal 2 2 2 5 4 2 2 3" xfId="11892" xr:uid="{00000000-0005-0000-0000-0000BE2B0000}"/>
    <cellStyle name="Normal 2 2 2 5 4 2 2 3 2" xfId="31944" xr:uid="{00000000-0005-0000-0000-0000BF2B0000}"/>
    <cellStyle name="Normal 2 2 2 5 4 2 2 4" xfId="22914" xr:uid="{00000000-0005-0000-0000-0000C02B0000}"/>
    <cellStyle name="Normal 2 2 2 5 4 2 3" xfId="4356" xr:uid="{00000000-0005-0000-0000-0000C12B0000}"/>
    <cellStyle name="Normal 2 2 2 5 4 2 3 2" xfId="8838" xr:uid="{00000000-0005-0000-0000-0000C22B0000}"/>
    <cellStyle name="Normal 2 2 2 5 4 2 3 2 2" xfId="17868" xr:uid="{00000000-0005-0000-0000-0000C32B0000}"/>
    <cellStyle name="Normal 2 2 2 5 4 2 3 2 2 2" xfId="37920" xr:uid="{00000000-0005-0000-0000-0000C42B0000}"/>
    <cellStyle name="Normal 2 2 2 5 4 2 3 2 3" xfId="28890" xr:uid="{00000000-0005-0000-0000-0000C52B0000}"/>
    <cellStyle name="Normal 2 2 2 5 4 2 3 3" xfId="13386" xr:uid="{00000000-0005-0000-0000-0000C62B0000}"/>
    <cellStyle name="Normal 2 2 2 5 4 2 3 3 2" xfId="33438" xr:uid="{00000000-0005-0000-0000-0000C72B0000}"/>
    <cellStyle name="Normal 2 2 2 5 4 2 3 4" xfId="24408" xr:uid="{00000000-0005-0000-0000-0000C82B0000}"/>
    <cellStyle name="Normal 2 2 2 5 4 2 4" xfId="5850" xr:uid="{00000000-0005-0000-0000-0000C92B0000}"/>
    <cellStyle name="Normal 2 2 2 5 4 2 4 2" xfId="14880" xr:uid="{00000000-0005-0000-0000-0000CA2B0000}"/>
    <cellStyle name="Normal 2 2 2 5 4 2 4 2 2" xfId="34932" xr:uid="{00000000-0005-0000-0000-0000CB2B0000}"/>
    <cellStyle name="Normal 2 2 2 5 4 2 4 3" xfId="25902" xr:uid="{00000000-0005-0000-0000-0000CC2B0000}"/>
    <cellStyle name="Normal 2 2 2 5 4 2 5" xfId="10398" xr:uid="{00000000-0005-0000-0000-0000CD2B0000}"/>
    <cellStyle name="Normal 2 2 2 5 4 2 5 2" xfId="30450" xr:uid="{00000000-0005-0000-0000-0000CE2B0000}"/>
    <cellStyle name="Normal 2 2 2 5 4 2 6" xfId="21420" xr:uid="{00000000-0005-0000-0000-0000CF2B0000}"/>
    <cellStyle name="Normal 2 2 2 5 4 3" xfId="2115" xr:uid="{00000000-0005-0000-0000-0000D02B0000}"/>
    <cellStyle name="Normal 2 2 2 5 4 3 2" xfId="6597" xr:uid="{00000000-0005-0000-0000-0000D12B0000}"/>
    <cellStyle name="Normal 2 2 2 5 4 3 2 2" xfId="15627" xr:uid="{00000000-0005-0000-0000-0000D22B0000}"/>
    <cellStyle name="Normal 2 2 2 5 4 3 2 2 2" xfId="35679" xr:uid="{00000000-0005-0000-0000-0000D32B0000}"/>
    <cellStyle name="Normal 2 2 2 5 4 3 2 3" xfId="26649" xr:uid="{00000000-0005-0000-0000-0000D42B0000}"/>
    <cellStyle name="Normal 2 2 2 5 4 3 3" xfId="11145" xr:uid="{00000000-0005-0000-0000-0000D52B0000}"/>
    <cellStyle name="Normal 2 2 2 5 4 3 3 2" xfId="31197" xr:uid="{00000000-0005-0000-0000-0000D62B0000}"/>
    <cellStyle name="Normal 2 2 2 5 4 3 4" xfId="22167" xr:uid="{00000000-0005-0000-0000-0000D72B0000}"/>
    <cellStyle name="Normal 2 2 2 5 4 4" xfId="3609" xr:uid="{00000000-0005-0000-0000-0000D82B0000}"/>
    <cellStyle name="Normal 2 2 2 5 4 4 2" xfId="8091" xr:uid="{00000000-0005-0000-0000-0000D92B0000}"/>
    <cellStyle name="Normal 2 2 2 5 4 4 2 2" xfId="17121" xr:uid="{00000000-0005-0000-0000-0000DA2B0000}"/>
    <cellStyle name="Normal 2 2 2 5 4 4 2 2 2" xfId="37173" xr:uid="{00000000-0005-0000-0000-0000DB2B0000}"/>
    <cellStyle name="Normal 2 2 2 5 4 4 2 3" xfId="28143" xr:uid="{00000000-0005-0000-0000-0000DC2B0000}"/>
    <cellStyle name="Normal 2 2 2 5 4 4 3" xfId="12639" xr:uid="{00000000-0005-0000-0000-0000DD2B0000}"/>
    <cellStyle name="Normal 2 2 2 5 4 4 3 2" xfId="32691" xr:uid="{00000000-0005-0000-0000-0000DE2B0000}"/>
    <cellStyle name="Normal 2 2 2 5 4 4 4" xfId="23661" xr:uid="{00000000-0005-0000-0000-0000DF2B0000}"/>
    <cellStyle name="Normal 2 2 2 5 4 5" xfId="5103" xr:uid="{00000000-0005-0000-0000-0000E02B0000}"/>
    <cellStyle name="Normal 2 2 2 5 4 5 2" xfId="14133" xr:uid="{00000000-0005-0000-0000-0000E12B0000}"/>
    <cellStyle name="Normal 2 2 2 5 4 5 2 2" xfId="34185" xr:uid="{00000000-0005-0000-0000-0000E22B0000}"/>
    <cellStyle name="Normal 2 2 2 5 4 5 3" xfId="25155" xr:uid="{00000000-0005-0000-0000-0000E32B0000}"/>
    <cellStyle name="Normal 2 2 2 5 4 6" xfId="9651" xr:uid="{00000000-0005-0000-0000-0000E42B0000}"/>
    <cellStyle name="Normal 2 2 2 5 4 6 2" xfId="29703" xr:uid="{00000000-0005-0000-0000-0000E52B0000}"/>
    <cellStyle name="Normal 2 2 2 5 4 7" xfId="20673" xr:uid="{00000000-0005-0000-0000-0000E62B0000}"/>
    <cellStyle name="Normal 2 2 2 5 5" xfId="808" xr:uid="{00000000-0005-0000-0000-0000E72B0000}"/>
    <cellStyle name="Normal 2 2 2 5 5 2" xfId="2302" xr:uid="{00000000-0005-0000-0000-0000E82B0000}"/>
    <cellStyle name="Normal 2 2 2 5 5 2 2" xfId="6784" xr:uid="{00000000-0005-0000-0000-0000E92B0000}"/>
    <cellStyle name="Normal 2 2 2 5 5 2 2 2" xfId="15814" xr:uid="{00000000-0005-0000-0000-0000EA2B0000}"/>
    <cellStyle name="Normal 2 2 2 5 5 2 2 2 2" xfId="35866" xr:uid="{00000000-0005-0000-0000-0000EB2B0000}"/>
    <cellStyle name="Normal 2 2 2 5 5 2 2 3" xfId="26836" xr:uid="{00000000-0005-0000-0000-0000EC2B0000}"/>
    <cellStyle name="Normal 2 2 2 5 5 2 3" xfId="11332" xr:uid="{00000000-0005-0000-0000-0000ED2B0000}"/>
    <cellStyle name="Normal 2 2 2 5 5 2 3 2" xfId="31384" xr:uid="{00000000-0005-0000-0000-0000EE2B0000}"/>
    <cellStyle name="Normal 2 2 2 5 5 2 4" xfId="22354" xr:uid="{00000000-0005-0000-0000-0000EF2B0000}"/>
    <cellStyle name="Normal 2 2 2 5 5 3" xfId="3796" xr:uid="{00000000-0005-0000-0000-0000F02B0000}"/>
    <cellStyle name="Normal 2 2 2 5 5 3 2" xfId="8278" xr:uid="{00000000-0005-0000-0000-0000F12B0000}"/>
    <cellStyle name="Normal 2 2 2 5 5 3 2 2" xfId="17308" xr:uid="{00000000-0005-0000-0000-0000F22B0000}"/>
    <cellStyle name="Normal 2 2 2 5 5 3 2 2 2" xfId="37360" xr:uid="{00000000-0005-0000-0000-0000F32B0000}"/>
    <cellStyle name="Normal 2 2 2 5 5 3 2 3" xfId="28330" xr:uid="{00000000-0005-0000-0000-0000F42B0000}"/>
    <cellStyle name="Normal 2 2 2 5 5 3 3" xfId="12826" xr:uid="{00000000-0005-0000-0000-0000F52B0000}"/>
    <cellStyle name="Normal 2 2 2 5 5 3 3 2" xfId="32878" xr:uid="{00000000-0005-0000-0000-0000F62B0000}"/>
    <cellStyle name="Normal 2 2 2 5 5 3 4" xfId="23848" xr:uid="{00000000-0005-0000-0000-0000F72B0000}"/>
    <cellStyle name="Normal 2 2 2 5 5 4" xfId="5290" xr:uid="{00000000-0005-0000-0000-0000F82B0000}"/>
    <cellStyle name="Normal 2 2 2 5 5 4 2" xfId="14320" xr:uid="{00000000-0005-0000-0000-0000F92B0000}"/>
    <cellStyle name="Normal 2 2 2 5 5 4 2 2" xfId="34372" xr:uid="{00000000-0005-0000-0000-0000FA2B0000}"/>
    <cellStyle name="Normal 2 2 2 5 5 4 3" xfId="25342" xr:uid="{00000000-0005-0000-0000-0000FB2B0000}"/>
    <cellStyle name="Normal 2 2 2 5 5 5" xfId="9838" xr:uid="{00000000-0005-0000-0000-0000FC2B0000}"/>
    <cellStyle name="Normal 2 2 2 5 5 5 2" xfId="29890" xr:uid="{00000000-0005-0000-0000-0000FD2B0000}"/>
    <cellStyle name="Normal 2 2 2 5 5 6" xfId="20860" xr:uid="{00000000-0005-0000-0000-0000FE2B0000}"/>
    <cellStyle name="Normal 2 2 2 5 6" xfId="1557" xr:uid="{00000000-0005-0000-0000-0000FF2B0000}"/>
    <cellStyle name="Normal 2 2 2 5 6 2" xfId="6039" xr:uid="{00000000-0005-0000-0000-0000002C0000}"/>
    <cellStyle name="Normal 2 2 2 5 6 2 2" xfId="15069" xr:uid="{00000000-0005-0000-0000-0000012C0000}"/>
    <cellStyle name="Normal 2 2 2 5 6 2 2 2" xfId="35121" xr:uid="{00000000-0005-0000-0000-0000022C0000}"/>
    <cellStyle name="Normal 2 2 2 5 6 2 3" xfId="26091" xr:uid="{00000000-0005-0000-0000-0000032C0000}"/>
    <cellStyle name="Normal 2 2 2 5 6 3" xfId="10587" xr:uid="{00000000-0005-0000-0000-0000042C0000}"/>
    <cellStyle name="Normal 2 2 2 5 6 3 2" xfId="30639" xr:uid="{00000000-0005-0000-0000-0000052C0000}"/>
    <cellStyle name="Normal 2 2 2 5 6 4" xfId="21609" xr:uid="{00000000-0005-0000-0000-0000062C0000}"/>
    <cellStyle name="Normal 2 2 2 5 7" xfId="3051" xr:uid="{00000000-0005-0000-0000-0000072C0000}"/>
    <cellStyle name="Normal 2 2 2 5 7 2" xfId="7533" xr:uid="{00000000-0005-0000-0000-0000082C0000}"/>
    <cellStyle name="Normal 2 2 2 5 7 2 2" xfId="16563" xr:uid="{00000000-0005-0000-0000-0000092C0000}"/>
    <cellStyle name="Normal 2 2 2 5 7 2 2 2" xfId="36615" xr:uid="{00000000-0005-0000-0000-00000A2C0000}"/>
    <cellStyle name="Normal 2 2 2 5 7 2 3" xfId="27585" xr:uid="{00000000-0005-0000-0000-00000B2C0000}"/>
    <cellStyle name="Normal 2 2 2 5 7 3" xfId="12081" xr:uid="{00000000-0005-0000-0000-00000C2C0000}"/>
    <cellStyle name="Normal 2 2 2 5 7 3 2" xfId="32133" xr:uid="{00000000-0005-0000-0000-00000D2C0000}"/>
    <cellStyle name="Normal 2 2 2 5 7 4" xfId="23103" xr:uid="{00000000-0005-0000-0000-00000E2C0000}"/>
    <cellStyle name="Normal 2 2 2 5 8" xfId="4545" xr:uid="{00000000-0005-0000-0000-00000F2C0000}"/>
    <cellStyle name="Normal 2 2 2 5 8 2" xfId="13575" xr:uid="{00000000-0005-0000-0000-0000102C0000}"/>
    <cellStyle name="Normal 2 2 2 5 8 2 2" xfId="33627" xr:uid="{00000000-0005-0000-0000-0000112C0000}"/>
    <cellStyle name="Normal 2 2 2 5 8 3" xfId="24597" xr:uid="{00000000-0005-0000-0000-0000122C0000}"/>
    <cellStyle name="Normal 2 2 2 5 9" xfId="9093" xr:uid="{00000000-0005-0000-0000-0000132C0000}"/>
    <cellStyle name="Normal 2 2 2 5 9 2" xfId="29145" xr:uid="{00000000-0005-0000-0000-0000142C0000}"/>
    <cellStyle name="Normal 2 2 2 6" xfId="87" xr:uid="{00000000-0005-0000-0000-0000152C0000}"/>
    <cellStyle name="Normal 2 2 2 6 10" xfId="20139" xr:uid="{00000000-0005-0000-0000-0000162C0000}"/>
    <cellStyle name="Normal 2 2 2 6 2" xfId="273" xr:uid="{00000000-0005-0000-0000-0000172C0000}"/>
    <cellStyle name="Normal 2 2 2 6 2 2" xfId="1017" xr:uid="{00000000-0005-0000-0000-0000182C0000}"/>
    <cellStyle name="Normal 2 2 2 6 2 2 2" xfId="2511" xr:uid="{00000000-0005-0000-0000-0000192C0000}"/>
    <cellStyle name="Normal 2 2 2 6 2 2 2 2" xfId="6993" xr:uid="{00000000-0005-0000-0000-00001A2C0000}"/>
    <cellStyle name="Normal 2 2 2 6 2 2 2 2 2" xfId="16023" xr:uid="{00000000-0005-0000-0000-00001B2C0000}"/>
    <cellStyle name="Normal 2 2 2 6 2 2 2 2 2 2" xfId="36075" xr:uid="{00000000-0005-0000-0000-00001C2C0000}"/>
    <cellStyle name="Normal 2 2 2 6 2 2 2 2 3" xfId="27045" xr:uid="{00000000-0005-0000-0000-00001D2C0000}"/>
    <cellStyle name="Normal 2 2 2 6 2 2 2 3" xfId="11541" xr:uid="{00000000-0005-0000-0000-00001E2C0000}"/>
    <cellStyle name="Normal 2 2 2 6 2 2 2 3 2" xfId="31593" xr:uid="{00000000-0005-0000-0000-00001F2C0000}"/>
    <cellStyle name="Normal 2 2 2 6 2 2 2 4" xfId="22563" xr:uid="{00000000-0005-0000-0000-0000202C0000}"/>
    <cellStyle name="Normal 2 2 2 6 2 2 3" xfId="4005" xr:uid="{00000000-0005-0000-0000-0000212C0000}"/>
    <cellStyle name="Normal 2 2 2 6 2 2 3 2" xfId="8487" xr:uid="{00000000-0005-0000-0000-0000222C0000}"/>
    <cellStyle name="Normal 2 2 2 6 2 2 3 2 2" xfId="17517" xr:uid="{00000000-0005-0000-0000-0000232C0000}"/>
    <cellStyle name="Normal 2 2 2 6 2 2 3 2 2 2" xfId="37569" xr:uid="{00000000-0005-0000-0000-0000242C0000}"/>
    <cellStyle name="Normal 2 2 2 6 2 2 3 2 3" xfId="28539" xr:uid="{00000000-0005-0000-0000-0000252C0000}"/>
    <cellStyle name="Normal 2 2 2 6 2 2 3 3" xfId="13035" xr:uid="{00000000-0005-0000-0000-0000262C0000}"/>
    <cellStyle name="Normal 2 2 2 6 2 2 3 3 2" xfId="33087" xr:uid="{00000000-0005-0000-0000-0000272C0000}"/>
    <cellStyle name="Normal 2 2 2 6 2 2 3 4" xfId="24057" xr:uid="{00000000-0005-0000-0000-0000282C0000}"/>
    <cellStyle name="Normal 2 2 2 6 2 2 4" xfId="5499" xr:uid="{00000000-0005-0000-0000-0000292C0000}"/>
    <cellStyle name="Normal 2 2 2 6 2 2 4 2" xfId="14529" xr:uid="{00000000-0005-0000-0000-00002A2C0000}"/>
    <cellStyle name="Normal 2 2 2 6 2 2 4 2 2" xfId="34581" xr:uid="{00000000-0005-0000-0000-00002B2C0000}"/>
    <cellStyle name="Normal 2 2 2 6 2 2 4 3" xfId="25551" xr:uid="{00000000-0005-0000-0000-00002C2C0000}"/>
    <cellStyle name="Normal 2 2 2 6 2 2 5" xfId="10047" xr:uid="{00000000-0005-0000-0000-00002D2C0000}"/>
    <cellStyle name="Normal 2 2 2 6 2 2 5 2" xfId="30099" xr:uid="{00000000-0005-0000-0000-00002E2C0000}"/>
    <cellStyle name="Normal 2 2 2 6 2 2 6" xfId="21069" xr:uid="{00000000-0005-0000-0000-00002F2C0000}"/>
    <cellStyle name="Normal 2 2 2 6 2 3" xfId="1767" xr:uid="{00000000-0005-0000-0000-0000302C0000}"/>
    <cellStyle name="Normal 2 2 2 6 2 3 2" xfId="6249" xr:uid="{00000000-0005-0000-0000-0000312C0000}"/>
    <cellStyle name="Normal 2 2 2 6 2 3 2 2" xfId="15279" xr:uid="{00000000-0005-0000-0000-0000322C0000}"/>
    <cellStyle name="Normal 2 2 2 6 2 3 2 2 2" xfId="35331" xr:uid="{00000000-0005-0000-0000-0000332C0000}"/>
    <cellStyle name="Normal 2 2 2 6 2 3 2 3" xfId="26301" xr:uid="{00000000-0005-0000-0000-0000342C0000}"/>
    <cellStyle name="Normal 2 2 2 6 2 3 3" xfId="10797" xr:uid="{00000000-0005-0000-0000-0000352C0000}"/>
    <cellStyle name="Normal 2 2 2 6 2 3 3 2" xfId="30849" xr:uid="{00000000-0005-0000-0000-0000362C0000}"/>
    <cellStyle name="Normal 2 2 2 6 2 3 4" xfId="21819" xr:uid="{00000000-0005-0000-0000-0000372C0000}"/>
    <cellStyle name="Normal 2 2 2 6 2 4" xfId="3261" xr:uid="{00000000-0005-0000-0000-0000382C0000}"/>
    <cellStyle name="Normal 2 2 2 6 2 4 2" xfId="7743" xr:uid="{00000000-0005-0000-0000-0000392C0000}"/>
    <cellStyle name="Normal 2 2 2 6 2 4 2 2" xfId="16773" xr:uid="{00000000-0005-0000-0000-00003A2C0000}"/>
    <cellStyle name="Normal 2 2 2 6 2 4 2 2 2" xfId="36825" xr:uid="{00000000-0005-0000-0000-00003B2C0000}"/>
    <cellStyle name="Normal 2 2 2 6 2 4 2 3" xfId="27795" xr:uid="{00000000-0005-0000-0000-00003C2C0000}"/>
    <cellStyle name="Normal 2 2 2 6 2 4 3" xfId="12291" xr:uid="{00000000-0005-0000-0000-00003D2C0000}"/>
    <cellStyle name="Normal 2 2 2 6 2 4 3 2" xfId="32343" xr:uid="{00000000-0005-0000-0000-00003E2C0000}"/>
    <cellStyle name="Normal 2 2 2 6 2 4 4" xfId="23313" xr:uid="{00000000-0005-0000-0000-00003F2C0000}"/>
    <cellStyle name="Normal 2 2 2 6 2 5" xfId="4755" xr:uid="{00000000-0005-0000-0000-0000402C0000}"/>
    <cellStyle name="Normal 2 2 2 6 2 5 2" xfId="13785" xr:uid="{00000000-0005-0000-0000-0000412C0000}"/>
    <cellStyle name="Normal 2 2 2 6 2 5 2 2" xfId="33837" xr:uid="{00000000-0005-0000-0000-0000422C0000}"/>
    <cellStyle name="Normal 2 2 2 6 2 5 3" xfId="24807" xr:uid="{00000000-0005-0000-0000-0000432C0000}"/>
    <cellStyle name="Normal 2 2 2 6 2 6" xfId="9303" xr:uid="{00000000-0005-0000-0000-0000442C0000}"/>
    <cellStyle name="Normal 2 2 2 6 2 6 2" xfId="29355" xr:uid="{00000000-0005-0000-0000-0000452C0000}"/>
    <cellStyle name="Normal 2 2 2 6 2 7" xfId="20325" xr:uid="{00000000-0005-0000-0000-0000462C0000}"/>
    <cellStyle name="Normal 2 2 2 6 3" xfId="459" xr:uid="{00000000-0005-0000-0000-0000472C0000}"/>
    <cellStyle name="Normal 2 2 2 6 3 2" xfId="1206" xr:uid="{00000000-0005-0000-0000-0000482C0000}"/>
    <cellStyle name="Normal 2 2 2 6 3 2 2" xfId="2700" xr:uid="{00000000-0005-0000-0000-0000492C0000}"/>
    <cellStyle name="Normal 2 2 2 6 3 2 2 2" xfId="7182" xr:uid="{00000000-0005-0000-0000-00004A2C0000}"/>
    <cellStyle name="Normal 2 2 2 6 3 2 2 2 2" xfId="16212" xr:uid="{00000000-0005-0000-0000-00004B2C0000}"/>
    <cellStyle name="Normal 2 2 2 6 3 2 2 2 2 2" xfId="36264" xr:uid="{00000000-0005-0000-0000-00004C2C0000}"/>
    <cellStyle name="Normal 2 2 2 6 3 2 2 2 3" xfId="27234" xr:uid="{00000000-0005-0000-0000-00004D2C0000}"/>
    <cellStyle name="Normal 2 2 2 6 3 2 2 3" xfId="11730" xr:uid="{00000000-0005-0000-0000-00004E2C0000}"/>
    <cellStyle name="Normal 2 2 2 6 3 2 2 3 2" xfId="31782" xr:uid="{00000000-0005-0000-0000-00004F2C0000}"/>
    <cellStyle name="Normal 2 2 2 6 3 2 2 4" xfId="22752" xr:uid="{00000000-0005-0000-0000-0000502C0000}"/>
    <cellStyle name="Normal 2 2 2 6 3 2 3" xfId="4194" xr:uid="{00000000-0005-0000-0000-0000512C0000}"/>
    <cellStyle name="Normal 2 2 2 6 3 2 3 2" xfId="8676" xr:uid="{00000000-0005-0000-0000-0000522C0000}"/>
    <cellStyle name="Normal 2 2 2 6 3 2 3 2 2" xfId="17706" xr:uid="{00000000-0005-0000-0000-0000532C0000}"/>
    <cellStyle name="Normal 2 2 2 6 3 2 3 2 2 2" xfId="37758" xr:uid="{00000000-0005-0000-0000-0000542C0000}"/>
    <cellStyle name="Normal 2 2 2 6 3 2 3 2 3" xfId="28728" xr:uid="{00000000-0005-0000-0000-0000552C0000}"/>
    <cellStyle name="Normal 2 2 2 6 3 2 3 3" xfId="13224" xr:uid="{00000000-0005-0000-0000-0000562C0000}"/>
    <cellStyle name="Normal 2 2 2 6 3 2 3 3 2" xfId="33276" xr:uid="{00000000-0005-0000-0000-0000572C0000}"/>
    <cellStyle name="Normal 2 2 2 6 3 2 3 4" xfId="24246" xr:uid="{00000000-0005-0000-0000-0000582C0000}"/>
    <cellStyle name="Normal 2 2 2 6 3 2 4" xfId="5688" xr:uid="{00000000-0005-0000-0000-0000592C0000}"/>
    <cellStyle name="Normal 2 2 2 6 3 2 4 2" xfId="14718" xr:uid="{00000000-0005-0000-0000-00005A2C0000}"/>
    <cellStyle name="Normal 2 2 2 6 3 2 4 2 2" xfId="34770" xr:uid="{00000000-0005-0000-0000-00005B2C0000}"/>
    <cellStyle name="Normal 2 2 2 6 3 2 4 3" xfId="25740" xr:uid="{00000000-0005-0000-0000-00005C2C0000}"/>
    <cellStyle name="Normal 2 2 2 6 3 2 5" xfId="10236" xr:uid="{00000000-0005-0000-0000-00005D2C0000}"/>
    <cellStyle name="Normal 2 2 2 6 3 2 5 2" xfId="30288" xr:uid="{00000000-0005-0000-0000-00005E2C0000}"/>
    <cellStyle name="Normal 2 2 2 6 3 2 6" xfId="21258" xr:uid="{00000000-0005-0000-0000-00005F2C0000}"/>
    <cellStyle name="Normal 2 2 2 6 3 3" xfId="1953" xr:uid="{00000000-0005-0000-0000-0000602C0000}"/>
    <cellStyle name="Normal 2 2 2 6 3 3 2" xfId="6435" xr:uid="{00000000-0005-0000-0000-0000612C0000}"/>
    <cellStyle name="Normal 2 2 2 6 3 3 2 2" xfId="15465" xr:uid="{00000000-0005-0000-0000-0000622C0000}"/>
    <cellStyle name="Normal 2 2 2 6 3 3 2 2 2" xfId="35517" xr:uid="{00000000-0005-0000-0000-0000632C0000}"/>
    <cellStyle name="Normal 2 2 2 6 3 3 2 3" xfId="26487" xr:uid="{00000000-0005-0000-0000-0000642C0000}"/>
    <cellStyle name="Normal 2 2 2 6 3 3 3" xfId="10983" xr:uid="{00000000-0005-0000-0000-0000652C0000}"/>
    <cellStyle name="Normal 2 2 2 6 3 3 3 2" xfId="31035" xr:uid="{00000000-0005-0000-0000-0000662C0000}"/>
    <cellStyle name="Normal 2 2 2 6 3 3 4" xfId="22005" xr:uid="{00000000-0005-0000-0000-0000672C0000}"/>
    <cellStyle name="Normal 2 2 2 6 3 4" xfId="3447" xr:uid="{00000000-0005-0000-0000-0000682C0000}"/>
    <cellStyle name="Normal 2 2 2 6 3 4 2" xfId="7929" xr:uid="{00000000-0005-0000-0000-0000692C0000}"/>
    <cellStyle name="Normal 2 2 2 6 3 4 2 2" xfId="16959" xr:uid="{00000000-0005-0000-0000-00006A2C0000}"/>
    <cellStyle name="Normal 2 2 2 6 3 4 2 2 2" xfId="37011" xr:uid="{00000000-0005-0000-0000-00006B2C0000}"/>
    <cellStyle name="Normal 2 2 2 6 3 4 2 3" xfId="27981" xr:uid="{00000000-0005-0000-0000-00006C2C0000}"/>
    <cellStyle name="Normal 2 2 2 6 3 4 3" xfId="12477" xr:uid="{00000000-0005-0000-0000-00006D2C0000}"/>
    <cellStyle name="Normal 2 2 2 6 3 4 3 2" xfId="32529" xr:uid="{00000000-0005-0000-0000-00006E2C0000}"/>
    <cellStyle name="Normal 2 2 2 6 3 4 4" xfId="23499" xr:uid="{00000000-0005-0000-0000-00006F2C0000}"/>
    <cellStyle name="Normal 2 2 2 6 3 5" xfId="4941" xr:uid="{00000000-0005-0000-0000-0000702C0000}"/>
    <cellStyle name="Normal 2 2 2 6 3 5 2" xfId="13971" xr:uid="{00000000-0005-0000-0000-0000712C0000}"/>
    <cellStyle name="Normal 2 2 2 6 3 5 2 2" xfId="34023" xr:uid="{00000000-0005-0000-0000-0000722C0000}"/>
    <cellStyle name="Normal 2 2 2 6 3 5 3" xfId="24993" xr:uid="{00000000-0005-0000-0000-0000732C0000}"/>
    <cellStyle name="Normal 2 2 2 6 3 6" xfId="9489" xr:uid="{00000000-0005-0000-0000-0000742C0000}"/>
    <cellStyle name="Normal 2 2 2 6 3 6 2" xfId="29541" xr:uid="{00000000-0005-0000-0000-0000752C0000}"/>
    <cellStyle name="Normal 2 2 2 6 3 7" xfId="20511" xr:uid="{00000000-0005-0000-0000-0000762C0000}"/>
    <cellStyle name="Normal 2 2 2 6 4" xfId="645" xr:uid="{00000000-0005-0000-0000-0000772C0000}"/>
    <cellStyle name="Normal 2 2 2 6 4 2" xfId="1392" xr:uid="{00000000-0005-0000-0000-0000782C0000}"/>
    <cellStyle name="Normal 2 2 2 6 4 2 2" xfId="2886" xr:uid="{00000000-0005-0000-0000-0000792C0000}"/>
    <cellStyle name="Normal 2 2 2 6 4 2 2 2" xfId="7368" xr:uid="{00000000-0005-0000-0000-00007A2C0000}"/>
    <cellStyle name="Normal 2 2 2 6 4 2 2 2 2" xfId="16398" xr:uid="{00000000-0005-0000-0000-00007B2C0000}"/>
    <cellStyle name="Normal 2 2 2 6 4 2 2 2 2 2" xfId="36450" xr:uid="{00000000-0005-0000-0000-00007C2C0000}"/>
    <cellStyle name="Normal 2 2 2 6 4 2 2 2 3" xfId="27420" xr:uid="{00000000-0005-0000-0000-00007D2C0000}"/>
    <cellStyle name="Normal 2 2 2 6 4 2 2 3" xfId="11916" xr:uid="{00000000-0005-0000-0000-00007E2C0000}"/>
    <cellStyle name="Normal 2 2 2 6 4 2 2 3 2" xfId="31968" xr:uid="{00000000-0005-0000-0000-00007F2C0000}"/>
    <cellStyle name="Normal 2 2 2 6 4 2 2 4" xfId="22938" xr:uid="{00000000-0005-0000-0000-0000802C0000}"/>
    <cellStyle name="Normal 2 2 2 6 4 2 3" xfId="4380" xr:uid="{00000000-0005-0000-0000-0000812C0000}"/>
    <cellStyle name="Normal 2 2 2 6 4 2 3 2" xfId="8862" xr:uid="{00000000-0005-0000-0000-0000822C0000}"/>
    <cellStyle name="Normal 2 2 2 6 4 2 3 2 2" xfId="17892" xr:uid="{00000000-0005-0000-0000-0000832C0000}"/>
    <cellStyle name="Normal 2 2 2 6 4 2 3 2 2 2" xfId="37944" xr:uid="{00000000-0005-0000-0000-0000842C0000}"/>
    <cellStyle name="Normal 2 2 2 6 4 2 3 2 3" xfId="28914" xr:uid="{00000000-0005-0000-0000-0000852C0000}"/>
    <cellStyle name="Normal 2 2 2 6 4 2 3 3" xfId="13410" xr:uid="{00000000-0005-0000-0000-0000862C0000}"/>
    <cellStyle name="Normal 2 2 2 6 4 2 3 3 2" xfId="33462" xr:uid="{00000000-0005-0000-0000-0000872C0000}"/>
    <cellStyle name="Normal 2 2 2 6 4 2 3 4" xfId="24432" xr:uid="{00000000-0005-0000-0000-0000882C0000}"/>
    <cellStyle name="Normal 2 2 2 6 4 2 4" xfId="5874" xr:uid="{00000000-0005-0000-0000-0000892C0000}"/>
    <cellStyle name="Normal 2 2 2 6 4 2 4 2" xfId="14904" xr:uid="{00000000-0005-0000-0000-00008A2C0000}"/>
    <cellStyle name="Normal 2 2 2 6 4 2 4 2 2" xfId="34956" xr:uid="{00000000-0005-0000-0000-00008B2C0000}"/>
    <cellStyle name="Normal 2 2 2 6 4 2 4 3" xfId="25926" xr:uid="{00000000-0005-0000-0000-00008C2C0000}"/>
    <cellStyle name="Normal 2 2 2 6 4 2 5" xfId="10422" xr:uid="{00000000-0005-0000-0000-00008D2C0000}"/>
    <cellStyle name="Normal 2 2 2 6 4 2 5 2" xfId="30474" xr:uid="{00000000-0005-0000-0000-00008E2C0000}"/>
    <cellStyle name="Normal 2 2 2 6 4 2 6" xfId="21444" xr:uid="{00000000-0005-0000-0000-00008F2C0000}"/>
    <cellStyle name="Normal 2 2 2 6 4 3" xfId="2139" xr:uid="{00000000-0005-0000-0000-0000902C0000}"/>
    <cellStyle name="Normal 2 2 2 6 4 3 2" xfId="6621" xr:uid="{00000000-0005-0000-0000-0000912C0000}"/>
    <cellStyle name="Normal 2 2 2 6 4 3 2 2" xfId="15651" xr:uid="{00000000-0005-0000-0000-0000922C0000}"/>
    <cellStyle name="Normal 2 2 2 6 4 3 2 2 2" xfId="35703" xr:uid="{00000000-0005-0000-0000-0000932C0000}"/>
    <cellStyle name="Normal 2 2 2 6 4 3 2 3" xfId="26673" xr:uid="{00000000-0005-0000-0000-0000942C0000}"/>
    <cellStyle name="Normal 2 2 2 6 4 3 3" xfId="11169" xr:uid="{00000000-0005-0000-0000-0000952C0000}"/>
    <cellStyle name="Normal 2 2 2 6 4 3 3 2" xfId="31221" xr:uid="{00000000-0005-0000-0000-0000962C0000}"/>
    <cellStyle name="Normal 2 2 2 6 4 3 4" xfId="22191" xr:uid="{00000000-0005-0000-0000-0000972C0000}"/>
    <cellStyle name="Normal 2 2 2 6 4 4" xfId="3633" xr:uid="{00000000-0005-0000-0000-0000982C0000}"/>
    <cellStyle name="Normal 2 2 2 6 4 4 2" xfId="8115" xr:uid="{00000000-0005-0000-0000-0000992C0000}"/>
    <cellStyle name="Normal 2 2 2 6 4 4 2 2" xfId="17145" xr:uid="{00000000-0005-0000-0000-00009A2C0000}"/>
    <cellStyle name="Normal 2 2 2 6 4 4 2 2 2" xfId="37197" xr:uid="{00000000-0005-0000-0000-00009B2C0000}"/>
    <cellStyle name="Normal 2 2 2 6 4 4 2 3" xfId="28167" xr:uid="{00000000-0005-0000-0000-00009C2C0000}"/>
    <cellStyle name="Normal 2 2 2 6 4 4 3" xfId="12663" xr:uid="{00000000-0005-0000-0000-00009D2C0000}"/>
    <cellStyle name="Normal 2 2 2 6 4 4 3 2" xfId="32715" xr:uid="{00000000-0005-0000-0000-00009E2C0000}"/>
    <cellStyle name="Normal 2 2 2 6 4 4 4" xfId="23685" xr:uid="{00000000-0005-0000-0000-00009F2C0000}"/>
    <cellStyle name="Normal 2 2 2 6 4 5" xfId="5127" xr:uid="{00000000-0005-0000-0000-0000A02C0000}"/>
    <cellStyle name="Normal 2 2 2 6 4 5 2" xfId="14157" xr:uid="{00000000-0005-0000-0000-0000A12C0000}"/>
    <cellStyle name="Normal 2 2 2 6 4 5 2 2" xfId="34209" xr:uid="{00000000-0005-0000-0000-0000A22C0000}"/>
    <cellStyle name="Normal 2 2 2 6 4 5 3" xfId="25179" xr:uid="{00000000-0005-0000-0000-0000A32C0000}"/>
    <cellStyle name="Normal 2 2 2 6 4 6" xfId="9675" xr:uid="{00000000-0005-0000-0000-0000A42C0000}"/>
    <cellStyle name="Normal 2 2 2 6 4 6 2" xfId="29727" xr:uid="{00000000-0005-0000-0000-0000A52C0000}"/>
    <cellStyle name="Normal 2 2 2 6 4 7" xfId="20697" xr:uid="{00000000-0005-0000-0000-0000A62C0000}"/>
    <cellStyle name="Normal 2 2 2 6 5" xfId="832" xr:uid="{00000000-0005-0000-0000-0000A72C0000}"/>
    <cellStyle name="Normal 2 2 2 6 5 2" xfId="2326" xr:uid="{00000000-0005-0000-0000-0000A82C0000}"/>
    <cellStyle name="Normal 2 2 2 6 5 2 2" xfId="6808" xr:uid="{00000000-0005-0000-0000-0000A92C0000}"/>
    <cellStyle name="Normal 2 2 2 6 5 2 2 2" xfId="15838" xr:uid="{00000000-0005-0000-0000-0000AA2C0000}"/>
    <cellStyle name="Normal 2 2 2 6 5 2 2 2 2" xfId="35890" xr:uid="{00000000-0005-0000-0000-0000AB2C0000}"/>
    <cellStyle name="Normal 2 2 2 6 5 2 2 3" xfId="26860" xr:uid="{00000000-0005-0000-0000-0000AC2C0000}"/>
    <cellStyle name="Normal 2 2 2 6 5 2 3" xfId="11356" xr:uid="{00000000-0005-0000-0000-0000AD2C0000}"/>
    <cellStyle name="Normal 2 2 2 6 5 2 3 2" xfId="31408" xr:uid="{00000000-0005-0000-0000-0000AE2C0000}"/>
    <cellStyle name="Normal 2 2 2 6 5 2 4" xfId="22378" xr:uid="{00000000-0005-0000-0000-0000AF2C0000}"/>
    <cellStyle name="Normal 2 2 2 6 5 3" xfId="3820" xr:uid="{00000000-0005-0000-0000-0000B02C0000}"/>
    <cellStyle name="Normal 2 2 2 6 5 3 2" xfId="8302" xr:uid="{00000000-0005-0000-0000-0000B12C0000}"/>
    <cellStyle name="Normal 2 2 2 6 5 3 2 2" xfId="17332" xr:uid="{00000000-0005-0000-0000-0000B22C0000}"/>
    <cellStyle name="Normal 2 2 2 6 5 3 2 2 2" xfId="37384" xr:uid="{00000000-0005-0000-0000-0000B32C0000}"/>
    <cellStyle name="Normal 2 2 2 6 5 3 2 3" xfId="28354" xr:uid="{00000000-0005-0000-0000-0000B42C0000}"/>
    <cellStyle name="Normal 2 2 2 6 5 3 3" xfId="12850" xr:uid="{00000000-0005-0000-0000-0000B52C0000}"/>
    <cellStyle name="Normal 2 2 2 6 5 3 3 2" xfId="32902" xr:uid="{00000000-0005-0000-0000-0000B62C0000}"/>
    <cellStyle name="Normal 2 2 2 6 5 3 4" xfId="23872" xr:uid="{00000000-0005-0000-0000-0000B72C0000}"/>
    <cellStyle name="Normal 2 2 2 6 5 4" xfId="5314" xr:uid="{00000000-0005-0000-0000-0000B82C0000}"/>
    <cellStyle name="Normal 2 2 2 6 5 4 2" xfId="14344" xr:uid="{00000000-0005-0000-0000-0000B92C0000}"/>
    <cellStyle name="Normal 2 2 2 6 5 4 2 2" xfId="34396" xr:uid="{00000000-0005-0000-0000-0000BA2C0000}"/>
    <cellStyle name="Normal 2 2 2 6 5 4 3" xfId="25366" xr:uid="{00000000-0005-0000-0000-0000BB2C0000}"/>
    <cellStyle name="Normal 2 2 2 6 5 5" xfId="9862" xr:uid="{00000000-0005-0000-0000-0000BC2C0000}"/>
    <cellStyle name="Normal 2 2 2 6 5 5 2" xfId="29914" xr:uid="{00000000-0005-0000-0000-0000BD2C0000}"/>
    <cellStyle name="Normal 2 2 2 6 5 6" xfId="20884" xr:uid="{00000000-0005-0000-0000-0000BE2C0000}"/>
    <cellStyle name="Normal 2 2 2 6 6" xfId="1581" xr:uid="{00000000-0005-0000-0000-0000BF2C0000}"/>
    <cellStyle name="Normal 2 2 2 6 6 2" xfId="6063" xr:uid="{00000000-0005-0000-0000-0000C02C0000}"/>
    <cellStyle name="Normal 2 2 2 6 6 2 2" xfId="15093" xr:uid="{00000000-0005-0000-0000-0000C12C0000}"/>
    <cellStyle name="Normal 2 2 2 6 6 2 2 2" xfId="35145" xr:uid="{00000000-0005-0000-0000-0000C22C0000}"/>
    <cellStyle name="Normal 2 2 2 6 6 2 3" xfId="26115" xr:uid="{00000000-0005-0000-0000-0000C32C0000}"/>
    <cellStyle name="Normal 2 2 2 6 6 3" xfId="10611" xr:uid="{00000000-0005-0000-0000-0000C42C0000}"/>
    <cellStyle name="Normal 2 2 2 6 6 3 2" xfId="30663" xr:uid="{00000000-0005-0000-0000-0000C52C0000}"/>
    <cellStyle name="Normal 2 2 2 6 6 4" xfId="21633" xr:uid="{00000000-0005-0000-0000-0000C62C0000}"/>
    <cellStyle name="Normal 2 2 2 6 7" xfId="3075" xr:uid="{00000000-0005-0000-0000-0000C72C0000}"/>
    <cellStyle name="Normal 2 2 2 6 7 2" xfId="7557" xr:uid="{00000000-0005-0000-0000-0000C82C0000}"/>
    <cellStyle name="Normal 2 2 2 6 7 2 2" xfId="16587" xr:uid="{00000000-0005-0000-0000-0000C92C0000}"/>
    <cellStyle name="Normal 2 2 2 6 7 2 2 2" xfId="36639" xr:uid="{00000000-0005-0000-0000-0000CA2C0000}"/>
    <cellStyle name="Normal 2 2 2 6 7 2 3" xfId="27609" xr:uid="{00000000-0005-0000-0000-0000CB2C0000}"/>
    <cellStyle name="Normal 2 2 2 6 7 3" xfId="12105" xr:uid="{00000000-0005-0000-0000-0000CC2C0000}"/>
    <cellStyle name="Normal 2 2 2 6 7 3 2" xfId="32157" xr:uid="{00000000-0005-0000-0000-0000CD2C0000}"/>
    <cellStyle name="Normal 2 2 2 6 7 4" xfId="23127" xr:uid="{00000000-0005-0000-0000-0000CE2C0000}"/>
    <cellStyle name="Normal 2 2 2 6 8" xfId="4569" xr:uid="{00000000-0005-0000-0000-0000CF2C0000}"/>
    <cellStyle name="Normal 2 2 2 6 8 2" xfId="13599" xr:uid="{00000000-0005-0000-0000-0000D02C0000}"/>
    <cellStyle name="Normal 2 2 2 6 8 2 2" xfId="33651" xr:uid="{00000000-0005-0000-0000-0000D12C0000}"/>
    <cellStyle name="Normal 2 2 2 6 8 3" xfId="24621" xr:uid="{00000000-0005-0000-0000-0000D22C0000}"/>
    <cellStyle name="Normal 2 2 2 6 9" xfId="9117" xr:uid="{00000000-0005-0000-0000-0000D32C0000}"/>
    <cellStyle name="Normal 2 2 2 6 9 2" xfId="29169" xr:uid="{00000000-0005-0000-0000-0000D42C0000}"/>
    <cellStyle name="Normal 2 2 2 7" xfId="104" xr:uid="{00000000-0005-0000-0000-0000D52C0000}"/>
    <cellStyle name="Normal 2 2 2 7 10" xfId="20156" xr:uid="{00000000-0005-0000-0000-0000D62C0000}"/>
    <cellStyle name="Normal 2 2 2 7 2" xfId="290" xr:uid="{00000000-0005-0000-0000-0000D72C0000}"/>
    <cellStyle name="Normal 2 2 2 7 2 2" xfId="1033" xr:uid="{00000000-0005-0000-0000-0000D82C0000}"/>
    <cellStyle name="Normal 2 2 2 7 2 2 2" xfId="2527" xr:uid="{00000000-0005-0000-0000-0000D92C0000}"/>
    <cellStyle name="Normal 2 2 2 7 2 2 2 2" xfId="7009" xr:uid="{00000000-0005-0000-0000-0000DA2C0000}"/>
    <cellStyle name="Normal 2 2 2 7 2 2 2 2 2" xfId="16039" xr:uid="{00000000-0005-0000-0000-0000DB2C0000}"/>
    <cellStyle name="Normal 2 2 2 7 2 2 2 2 2 2" xfId="36091" xr:uid="{00000000-0005-0000-0000-0000DC2C0000}"/>
    <cellStyle name="Normal 2 2 2 7 2 2 2 2 3" xfId="27061" xr:uid="{00000000-0005-0000-0000-0000DD2C0000}"/>
    <cellStyle name="Normal 2 2 2 7 2 2 2 3" xfId="11557" xr:uid="{00000000-0005-0000-0000-0000DE2C0000}"/>
    <cellStyle name="Normal 2 2 2 7 2 2 2 3 2" xfId="31609" xr:uid="{00000000-0005-0000-0000-0000DF2C0000}"/>
    <cellStyle name="Normal 2 2 2 7 2 2 2 4" xfId="22579" xr:uid="{00000000-0005-0000-0000-0000E02C0000}"/>
    <cellStyle name="Normal 2 2 2 7 2 2 3" xfId="4021" xr:uid="{00000000-0005-0000-0000-0000E12C0000}"/>
    <cellStyle name="Normal 2 2 2 7 2 2 3 2" xfId="8503" xr:uid="{00000000-0005-0000-0000-0000E22C0000}"/>
    <cellStyle name="Normal 2 2 2 7 2 2 3 2 2" xfId="17533" xr:uid="{00000000-0005-0000-0000-0000E32C0000}"/>
    <cellStyle name="Normal 2 2 2 7 2 2 3 2 2 2" xfId="37585" xr:uid="{00000000-0005-0000-0000-0000E42C0000}"/>
    <cellStyle name="Normal 2 2 2 7 2 2 3 2 3" xfId="28555" xr:uid="{00000000-0005-0000-0000-0000E52C0000}"/>
    <cellStyle name="Normal 2 2 2 7 2 2 3 3" xfId="13051" xr:uid="{00000000-0005-0000-0000-0000E62C0000}"/>
    <cellStyle name="Normal 2 2 2 7 2 2 3 3 2" xfId="33103" xr:uid="{00000000-0005-0000-0000-0000E72C0000}"/>
    <cellStyle name="Normal 2 2 2 7 2 2 3 4" xfId="24073" xr:uid="{00000000-0005-0000-0000-0000E82C0000}"/>
    <cellStyle name="Normal 2 2 2 7 2 2 4" xfId="5515" xr:uid="{00000000-0005-0000-0000-0000E92C0000}"/>
    <cellStyle name="Normal 2 2 2 7 2 2 4 2" xfId="14545" xr:uid="{00000000-0005-0000-0000-0000EA2C0000}"/>
    <cellStyle name="Normal 2 2 2 7 2 2 4 2 2" xfId="34597" xr:uid="{00000000-0005-0000-0000-0000EB2C0000}"/>
    <cellStyle name="Normal 2 2 2 7 2 2 4 3" xfId="25567" xr:uid="{00000000-0005-0000-0000-0000EC2C0000}"/>
    <cellStyle name="Normal 2 2 2 7 2 2 5" xfId="10063" xr:uid="{00000000-0005-0000-0000-0000ED2C0000}"/>
    <cellStyle name="Normal 2 2 2 7 2 2 5 2" xfId="30115" xr:uid="{00000000-0005-0000-0000-0000EE2C0000}"/>
    <cellStyle name="Normal 2 2 2 7 2 2 6" xfId="21085" xr:uid="{00000000-0005-0000-0000-0000EF2C0000}"/>
    <cellStyle name="Normal 2 2 2 7 2 3" xfId="1784" xr:uid="{00000000-0005-0000-0000-0000F02C0000}"/>
    <cellStyle name="Normal 2 2 2 7 2 3 2" xfId="6266" xr:uid="{00000000-0005-0000-0000-0000F12C0000}"/>
    <cellStyle name="Normal 2 2 2 7 2 3 2 2" xfId="15296" xr:uid="{00000000-0005-0000-0000-0000F22C0000}"/>
    <cellStyle name="Normal 2 2 2 7 2 3 2 2 2" xfId="35348" xr:uid="{00000000-0005-0000-0000-0000F32C0000}"/>
    <cellStyle name="Normal 2 2 2 7 2 3 2 3" xfId="26318" xr:uid="{00000000-0005-0000-0000-0000F42C0000}"/>
    <cellStyle name="Normal 2 2 2 7 2 3 3" xfId="10814" xr:uid="{00000000-0005-0000-0000-0000F52C0000}"/>
    <cellStyle name="Normal 2 2 2 7 2 3 3 2" xfId="30866" xr:uid="{00000000-0005-0000-0000-0000F62C0000}"/>
    <cellStyle name="Normal 2 2 2 7 2 3 4" xfId="21836" xr:uid="{00000000-0005-0000-0000-0000F72C0000}"/>
    <cellStyle name="Normal 2 2 2 7 2 4" xfId="3278" xr:uid="{00000000-0005-0000-0000-0000F82C0000}"/>
    <cellStyle name="Normal 2 2 2 7 2 4 2" xfId="7760" xr:uid="{00000000-0005-0000-0000-0000F92C0000}"/>
    <cellStyle name="Normal 2 2 2 7 2 4 2 2" xfId="16790" xr:uid="{00000000-0005-0000-0000-0000FA2C0000}"/>
    <cellStyle name="Normal 2 2 2 7 2 4 2 2 2" xfId="36842" xr:uid="{00000000-0005-0000-0000-0000FB2C0000}"/>
    <cellStyle name="Normal 2 2 2 7 2 4 2 3" xfId="27812" xr:uid="{00000000-0005-0000-0000-0000FC2C0000}"/>
    <cellStyle name="Normal 2 2 2 7 2 4 3" xfId="12308" xr:uid="{00000000-0005-0000-0000-0000FD2C0000}"/>
    <cellStyle name="Normal 2 2 2 7 2 4 3 2" xfId="32360" xr:uid="{00000000-0005-0000-0000-0000FE2C0000}"/>
    <cellStyle name="Normal 2 2 2 7 2 4 4" xfId="23330" xr:uid="{00000000-0005-0000-0000-0000FF2C0000}"/>
    <cellStyle name="Normal 2 2 2 7 2 5" xfId="4772" xr:uid="{00000000-0005-0000-0000-0000002D0000}"/>
    <cellStyle name="Normal 2 2 2 7 2 5 2" xfId="13802" xr:uid="{00000000-0005-0000-0000-0000012D0000}"/>
    <cellStyle name="Normal 2 2 2 7 2 5 2 2" xfId="33854" xr:uid="{00000000-0005-0000-0000-0000022D0000}"/>
    <cellStyle name="Normal 2 2 2 7 2 5 3" xfId="24824" xr:uid="{00000000-0005-0000-0000-0000032D0000}"/>
    <cellStyle name="Normal 2 2 2 7 2 6" xfId="9320" xr:uid="{00000000-0005-0000-0000-0000042D0000}"/>
    <cellStyle name="Normal 2 2 2 7 2 6 2" xfId="29372" xr:uid="{00000000-0005-0000-0000-0000052D0000}"/>
    <cellStyle name="Normal 2 2 2 7 2 7" xfId="20342" xr:uid="{00000000-0005-0000-0000-0000062D0000}"/>
    <cellStyle name="Normal 2 2 2 7 3" xfId="476" xr:uid="{00000000-0005-0000-0000-0000072D0000}"/>
    <cellStyle name="Normal 2 2 2 7 3 2" xfId="1223" xr:uid="{00000000-0005-0000-0000-0000082D0000}"/>
    <cellStyle name="Normal 2 2 2 7 3 2 2" xfId="2717" xr:uid="{00000000-0005-0000-0000-0000092D0000}"/>
    <cellStyle name="Normal 2 2 2 7 3 2 2 2" xfId="7199" xr:uid="{00000000-0005-0000-0000-00000A2D0000}"/>
    <cellStyle name="Normal 2 2 2 7 3 2 2 2 2" xfId="16229" xr:uid="{00000000-0005-0000-0000-00000B2D0000}"/>
    <cellStyle name="Normal 2 2 2 7 3 2 2 2 2 2" xfId="36281" xr:uid="{00000000-0005-0000-0000-00000C2D0000}"/>
    <cellStyle name="Normal 2 2 2 7 3 2 2 2 3" xfId="27251" xr:uid="{00000000-0005-0000-0000-00000D2D0000}"/>
    <cellStyle name="Normal 2 2 2 7 3 2 2 3" xfId="11747" xr:uid="{00000000-0005-0000-0000-00000E2D0000}"/>
    <cellStyle name="Normal 2 2 2 7 3 2 2 3 2" xfId="31799" xr:uid="{00000000-0005-0000-0000-00000F2D0000}"/>
    <cellStyle name="Normal 2 2 2 7 3 2 2 4" xfId="22769" xr:uid="{00000000-0005-0000-0000-0000102D0000}"/>
    <cellStyle name="Normal 2 2 2 7 3 2 3" xfId="4211" xr:uid="{00000000-0005-0000-0000-0000112D0000}"/>
    <cellStyle name="Normal 2 2 2 7 3 2 3 2" xfId="8693" xr:uid="{00000000-0005-0000-0000-0000122D0000}"/>
    <cellStyle name="Normal 2 2 2 7 3 2 3 2 2" xfId="17723" xr:uid="{00000000-0005-0000-0000-0000132D0000}"/>
    <cellStyle name="Normal 2 2 2 7 3 2 3 2 2 2" xfId="37775" xr:uid="{00000000-0005-0000-0000-0000142D0000}"/>
    <cellStyle name="Normal 2 2 2 7 3 2 3 2 3" xfId="28745" xr:uid="{00000000-0005-0000-0000-0000152D0000}"/>
    <cellStyle name="Normal 2 2 2 7 3 2 3 3" xfId="13241" xr:uid="{00000000-0005-0000-0000-0000162D0000}"/>
    <cellStyle name="Normal 2 2 2 7 3 2 3 3 2" xfId="33293" xr:uid="{00000000-0005-0000-0000-0000172D0000}"/>
    <cellStyle name="Normal 2 2 2 7 3 2 3 4" xfId="24263" xr:uid="{00000000-0005-0000-0000-0000182D0000}"/>
    <cellStyle name="Normal 2 2 2 7 3 2 4" xfId="5705" xr:uid="{00000000-0005-0000-0000-0000192D0000}"/>
    <cellStyle name="Normal 2 2 2 7 3 2 4 2" xfId="14735" xr:uid="{00000000-0005-0000-0000-00001A2D0000}"/>
    <cellStyle name="Normal 2 2 2 7 3 2 4 2 2" xfId="34787" xr:uid="{00000000-0005-0000-0000-00001B2D0000}"/>
    <cellStyle name="Normal 2 2 2 7 3 2 4 3" xfId="25757" xr:uid="{00000000-0005-0000-0000-00001C2D0000}"/>
    <cellStyle name="Normal 2 2 2 7 3 2 5" xfId="10253" xr:uid="{00000000-0005-0000-0000-00001D2D0000}"/>
    <cellStyle name="Normal 2 2 2 7 3 2 5 2" xfId="30305" xr:uid="{00000000-0005-0000-0000-00001E2D0000}"/>
    <cellStyle name="Normal 2 2 2 7 3 2 6" xfId="21275" xr:uid="{00000000-0005-0000-0000-00001F2D0000}"/>
    <cellStyle name="Normal 2 2 2 7 3 3" xfId="1970" xr:uid="{00000000-0005-0000-0000-0000202D0000}"/>
    <cellStyle name="Normal 2 2 2 7 3 3 2" xfId="6452" xr:uid="{00000000-0005-0000-0000-0000212D0000}"/>
    <cellStyle name="Normal 2 2 2 7 3 3 2 2" xfId="15482" xr:uid="{00000000-0005-0000-0000-0000222D0000}"/>
    <cellStyle name="Normal 2 2 2 7 3 3 2 2 2" xfId="35534" xr:uid="{00000000-0005-0000-0000-0000232D0000}"/>
    <cellStyle name="Normal 2 2 2 7 3 3 2 3" xfId="26504" xr:uid="{00000000-0005-0000-0000-0000242D0000}"/>
    <cellStyle name="Normal 2 2 2 7 3 3 3" xfId="11000" xr:uid="{00000000-0005-0000-0000-0000252D0000}"/>
    <cellStyle name="Normal 2 2 2 7 3 3 3 2" xfId="31052" xr:uid="{00000000-0005-0000-0000-0000262D0000}"/>
    <cellStyle name="Normal 2 2 2 7 3 3 4" xfId="22022" xr:uid="{00000000-0005-0000-0000-0000272D0000}"/>
    <cellStyle name="Normal 2 2 2 7 3 4" xfId="3464" xr:uid="{00000000-0005-0000-0000-0000282D0000}"/>
    <cellStyle name="Normal 2 2 2 7 3 4 2" xfId="7946" xr:uid="{00000000-0005-0000-0000-0000292D0000}"/>
    <cellStyle name="Normal 2 2 2 7 3 4 2 2" xfId="16976" xr:uid="{00000000-0005-0000-0000-00002A2D0000}"/>
    <cellStyle name="Normal 2 2 2 7 3 4 2 2 2" xfId="37028" xr:uid="{00000000-0005-0000-0000-00002B2D0000}"/>
    <cellStyle name="Normal 2 2 2 7 3 4 2 3" xfId="27998" xr:uid="{00000000-0005-0000-0000-00002C2D0000}"/>
    <cellStyle name="Normal 2 2 2 7 3 4 3" xfId="12494" xr:uid="{00000000-0005-0000-0000-00002D2D0000}"/>
    <cellStyle name="Normal 2 2 2 7 3 4 3 2" xfId="32546" xr:uid="{00000000-0005-0000-0000-00002E2D0000}"/>
    <cellStyle name="Normal 2 2 2 7 3 4 4" xfId="23516" xr:uid="{00000000-0005-0000-0000-00002F2D0000}"/>
    <cellStyle name="Normal 2 2 2 7 3 5" xfId="4958" xr:uid="{00000000-0005-0000-0000-0000302D0000}"/>
    <cellStyle name="Normal 2 2 2 7 3 5 2" xfId="13988" xr:uid="{00000000-0005-0000-0000-0000312D0000}"/>
    <cellStyle name="Normal 2 2 2 7 3 5 2 2" xfId="34040" xr:uid="{00000000-0005-0000-0000-0000322D0000}"/>
    <cellStyle name="Normal 2 2 2 7 3 5 3" xfId="25010" xr:uid="{00000000-0005-0000-0000-0000332D0000}"/>
    <cellStyle name="Normal 2 2 2 7 3 6" xfId="9506" xr:uid="{00000000-0005-0000-0000-0000342D0000}"/>
    <cellStyle name="Normal 2 2 2 7 3 6 2" xfId="29558" xr:uid="{00000000-0005-0000-0000-0000352D0000}"/>
    <cellStyle name="Normal 2 2 2 7 3 7" xfId="20528" xr:uid="{00000000-0005-0000-0000-0000362D0000}"/>
    <cellStyle name="Normal 2 2 2 7 4" xfId="662" xr:uid="{00000000-0005-0000-0000-0000372D0000}"/>
    <cellStyle name="Normal 2 2 2 7 4 2" xfId="1409" xr:uid="{00000000-0005-0000-0000-0000382D0000}"/>
    <cellStyle name="Normal 2 2 2 7 4 2 2" xfId="2903" xr:uid="{00000000-0005-0000-0000-0000392D0000}"/>
    <cellStyle name="Normal 2 2 2 7 4 2 2 2" xfId="7385" xr:uid="{00000000-0005-0000-0000-00003A2D0000}"/>
    <cellStyle name="Normal 2 2 2 7 4 2 2 2 2" xfId="16415" xr:uid="{00000000-0005-0000-0000-00003B2D0000}"/>
    <cellStyle name="Normal 2 2 2 7 4 2 2 2 2 2" xfId="36467" xr:uid="{00000000-0005-0000-0000-00003C2D0000}"/>
    <cellStyle name="Normal 2 2 2 7 4 2 2 2 3" xfId="27437" xr:uid="{00000000-0005-0000-0000-00003D2D0000}"/>
    <cellStyle name="Normal 2 2 2 7 4 2 2 3" xfId="11933" xr:uid="{00000000-0005-0000-0000-00003E2D0000}"/>
    <cellStyle name="Normal 2 2 2 7 4 2 2 3 2" xfId="31985" xr:uid="{00000000-0005-0000-0000-00003F2D0000}"/>
    <cellStyle name="Normal 2 2 2 7 4 2 2 4" xfId="22955" xr:uid="{00000000-0005-0000-0000-0000402D0000}"/>
    <cellStyle name="Normal 2 2 2 7 4 2 3" xfId="4397" xr:uid="{00000000-0005-0000-0000-0000412D0000}"/>
    <cellStyle name="Normal 2 2 2 7 4 2 3 2" xfId="8879" xr:uid="{00000000-0005-0000-0000-0000422D0000}"/>
    <cellStyle name="Normal 2 2 2 7 4 2 3 2 2" xfId="17909" xr:uid="{00000000-0005-0000-0000-0000432D0000}"/>
    <cellStyle name="Normal 2 2 2 7 4 2 3 2 2 2" xfId="37961" xr:uid="{00000000-0005-0000-0000-0000442D0000}"/>
    <cellStyle name="Normal 2 2 2 7 4 2 3 2 3" xfId="28931" xr:uid="{00000000-0005-0000-0000-0000452D0000}"/>
    <cellStyle name="Normal 2 2 2 7 4 2 3 3" xfId="13427" xr:uid="{00000000-0005-0000-0000-0000462D0000}"/>
    <cellStyle name="Normal 2 2 2 7 4 2 3 3 2" xfId="33479" xr:uid="{00000000-0005-0000-0000-0000472D0000}"/>
    <cellStyle name="Normal 2 2 2 7 4 2 3 4" xfId="24449" xr:uid="{00000000-0005-0000-0000-0000482D0000}"/>
    <cellStyle name="Normal 2 2 2 7 4 2 4" xfId="5891" xr:uid="{00000000-0005-0000-0000-0000492D0000}"/>
    <cellStyle name="Normal 2 2 2 7 4 2 4 2" xfId="14921" xr:uid="{00000000-0005-0000-0000-00004A2D0000}"/>
    <cellStyle name="Normal 2 2 2 7 4 2 4 2 2" xfId="34973" xr:uid="{00000000-0005-0000-0000-00004B2D0000}"/>
    <cellStyle name="Normal 2 2 2 7 4 2 4 3" xfId="25943" xr:uid="{00000000-0005-0000-0000-00004C2D0000}"/>
    <cellStyle name="Normal 2 2 2 7 4 2 5" xfId="10439" xr:uid="{00000000-0005-0000-0000-00004D2D0000}"/>
    <cellStyle name="Normal 2 2 2 7 4 2 5 2" xfId="30491" xr:uid="{00000000-0005-0000-0000-00004E2D0000}"/>
    <cellStyle name="Normal 2 2 2 7 4 2 6" xfId="21461" xr:uid="{00000000-0005-0000-0000-00004F2D0000}"/>
    <cellStyle name="Normal 2 2 2 7 4 3" xfId="2156" xr:uid="{00000000-0005-0000-0000-0000502D0000}"/>
    <cellStyle name="Normal 2 2 2 7 4 3 2" xfId="6638" xr:uid="{00000000-0005-0000-0000-0000512D0000}"/>
    <cellStyle name="Normal 2 2 2 7 4 3 2 2" xfId="15668" xr:uid="{00000000-0005-0000-0000-0000522D0000}"/>
    <cellStyle name="Normal 2 2 2 7 4 3 2 2 2" xfId="35720" xr:uid="{00000000-0005-0000-0000-0000532D0000}"/>
    <cellStyle name="Normal 2 2 2 7 4 3 2 3" xfId="26690" xr:uid="{00000000-0005-0000-0000-0000542D0000}"/>
    <cellStyle name="Normal 2 2 2 7 4 3 3" xfId="11186" xr:uid="{00000000-0005-0000-0000-0000552D0000}"/>
    <cellStyle name="Normal 2 2 2 7 4 3 3 2" xfId="31238" xr:uid="{00000000-0005-0000-0000-0000562D0000}"/>
    <cellStyle name="Normal 2 2 2 7 4 3 4" xfId="22208" xr:uid="{00000000-0005-0000-0000-0000572D0000}"/>
    <cellStyle name="Normal 2 2 2 7 4 4" xfId="3650" xr:uid="{00000000-0005-0000-0000-0000582D0000}"/>
    <cellStyle name="Normal 2 2 2 7 4 4 2" xfId="8132" xr:uid="{00000000-0005-0000-0000-0000592D0000}"/>
    <cellStyle name="Normal 2 2 2 7 4 4 2 2" xfId="17162" xr:uid="{00000000-0005-0000-0000-00005A2D0000}"/>
    <cellStyle name="Normal 2 2 2 7 4 4 2 2 2" xfId="37214" xr:uid="{00000000-0005-0000-0000-00005B2D0000}"/>
    <cellStyle name="Normal 2 2 2 7 4 4 2 3" xfId="28184" xr:uid="{00000000-0005-0000-0000-00005C2D0000}"/>
    <cellStyle name="Normal 2 2 2 7 4 4 3" xfId="12680" xr:uid="{00000000-0005-0000-0000-00005D2D0000}"/>
    <cellStyle name="Normal 2 2 2 7 4 4 3 2" xfId="32732" xr:uid="{00000000-0005-0000-0000-00005E2D0000}"/>
    <cellStyle name="Normal 2 2 2 7 4 4 4" xfId="23702" xr:uid="{00000000-0005-0000-0000-00005F2D0000}"/>
    <cellStyle name="Normal 2 2 2 7 4 5" xfId="5144" xr:uid="{00000000-0005-0000-0000-0000602D0000}"/>
    <cellStyle name="Normal 2 2 2 7 4 5 2" xfId="14174" xr:uid="{00000000-0005-0000-0000-0000612D0000}"/>
    <cellStyle name="Normal 2 2 2 7 4 5 2 2" xfId="34226" xr:uid="{00000000-0005-0000-0000-0000622D0000}"/>
    <cellStyle name="Normal 2 2 2 7 4 5 3" xfId="25196" xr:uid="{00000000-0005-0000-0000-0000632D0000}"/>
    <cellStyle name="Normal 2 2 2 7 4 6" xfId="9692" xr:uid="{00000000-0005-0000-0000-0000642D0000}"/>
    <cellStyle name="Normal 2 2 2 7 4 6 2" xfId="29744" xr:uid="{00000000-0005-0000-0000-0000652D0000}"/>
    <cellStyle name="Normal 2 2 2 7 4 7" xfId="20714" xr:uid="{00000000-0005-0000-0000-0000662D0000}"/>
    <cellStyle name="Normal 2 2 2 7 5" xfId="849" xr:uid="{00000000-0005-0000-0000-0000672D0000}"/>
    <cellStyle name="Normal 2 2 2 7 5 2" xfId="2343" xr:uid="{00000000-0005-0000-0000-0000682D0000}"/>
    <cellStyle name="Normal 2 2 2 7 5 2 2" xfId="6825" xr:uid="{00000000-0005-0000-0000-0000692D0000}"/>
    <cellStyle name="Normal 2 2 2 7 5 2 2 2" xfId="15855" xr:uid="{00000000-0005-0000-0000-00006A2D0000}"/>
    <cellStyle name="Normal 2 2 2 7 5 2 2 2 2" xfId="35907" xr:uid="{00000000-0005-0000-0000-00006B2D0000}"/>
    <cellStyle name="Normal 2 2 2 7 5 2 2 3" xfId="26877" xr:uid="{00000000-0005-0000-0000-00006C2D0000}"/>
    <cellStyle name="Normal 2 2 2 7 5 2 3" xfId="11373" xr:uid="{00000000-0005-0000-0000-00006D2D0000}"/>
    <cellStyle name="Normal 2 2 2 7 5 2 3 2" xfId="31425" xr:uid="{00000000-0005-0000-0000-00006E2D0000}"/>
    <cellStyle name="Normal 2 2 2 7 5 2 4" xfId="22395" xr:uid="{00000000-0005-0000-0000-00006F2D0000}"/>
    <cellStyle name="Normal 2 2 2 7 5 3" xfId="3837" xr:uid="{00000000-0005-0000-0000-0000702D0000}"/>
    <cellStyle name="Normal 2 2 2 7 5 3 2" xfId="8319" xr:uid="{00000000-0005-0000-0000-0000712D0000}"/>
    <cellStyle name="Normal 2 2 2 7 5 3 2 2" xfId="17349" xr:uid="{00000000-0005-0000-0000-0000722D0000}"/>
    <cellStyle name="Normal 2 2 2 7 5 3 2 2 2" xfId="37401" xr:uid="{00000000-0005-0000-0000-0000732D0000}"/>
    <cellStyle name="Normal 2 2 2 7 5 3 2 3" xfId="28371" xr:uid="{00000000-0005-0000-0000-0000742D0000}"/>
    <cellStyle name="Normal 2 2 2 7 5 3 3" xfId="12867" xr:uid="{00000000-0005-0000-0000-0000752D0000}"/>
    <cellStyle name="Normal 2 2 2 7 5 3 3 2" xfId="32919" xr:uid="{00000000-0005-0000-0000-0000762D0000}"/>
    <cellStyle name="Normal 2 2 2 7 5 3 4" xfId="23889" xr:uid="{00000000-0005-0000-0000-0000772D0000}"/>
    <cellStyle name="Normal 2 2 2 7 5 4" xfId="5331" xr:uid="{00000000-0005-0000-0000-0000782D0000}"/>
    <cellStyle name="Normal 2 2 2 7 5 4 2" xfId="14361" xr:uid="{00000000-0005-0000-0000-0000792D0000}"/>
    <cellStyle name="Normal 2 2 2 7 5 4 2 2" xfId="34413" xr:uid="{00000000-0005-0000-0000-00007A2D0000}"/>
    <cellStyle name="Normal 2 2 2 7 5 4 3" xfId="25383" xr:uid="{00000000-0005-0000-0000-00007B2D0000}"/>
    <cellStyle name="Normal 2 2 2 7 5 5" xfId="9879" xr:uid="{00000000-0005-0000-0000-00007C2D0000}"/>
    <cellStyle name="Normal 2 2 2 7 5 5 2" xfId="29931" xr:uid="{00000000-0005-0000-0000-00007D2D0000}"/>
    <cellStyle name="Normal 2 2 2 7 5 6" xfId="20901" xr:uid="{00000000-0005-0000-0000-00007E2D0000}"/>
    <cellStyle name="Normal 2 2 2 7 6" xfId="1598" xr:uid="{00000000-0005-0000-0000-00007F2D0000}"/>
    <cellStyle name="Normal 2 2 2 7 6 2" xfId="6080" xr:uid="{00000000-0005-0000-0000-0000802D0000}"/>
    <cellStyle name="Normal 2 2 2 7 6 2 2" xfId="15110" xr:uid="{00000000-0005-0000-0000-0000812D0000}"/>
    <cellStyle name="Normal 2 2 2 7 6 2 2 2" xfId="35162" xr:uid="{00000000-0005-0000-0000-0000822D0000}"/>
    <cellStyle name="Normal 2 2 2 7 6 2 3" xfId="26132" xr:uid="{00000000-0005-0000-0000-0000832D0000}"/>
    <cellStyle name="Normal 2 2 2 7 6 3" xfId="10628" xr:uid="{00000000-0005-0000-0000-0000842D0000}"/>
    <cellStyle name="Normal 2 2 2 7 6 3 2" xfId="30680" xr:uid="{00000000-0005-0000-0000-0000852D0000}"/>
    <cellStyle name="Normal 2 2 2 7 6 4" xfId="21650" xr:uid="{00000000-0005-0000-0000-0000862D0000}"/>
    <cellStyle name="Normal 2 2 2 7 7" xfId="3092" xr:uid="{00000000-0005-0000-0000-0000872D0000}"/>
    <cellStyle name="Normal 2 2 2 7 7 2" xfId="7574" xr:uid="{00000000-0005-0000-0000-0000882D0000}"/>
    <cellStyle name="Normal 2 2 2 7 7 2 2" xfId="16604" xr:uid="{00000000-0005-0000-0000-0000892D0000}"/>
    <cellStyle name="Normal 2 2 2 7 7 2 2 2" xfId="36656" xr:uid="{00000000-0005-0000-0000-00008A2D0000}"/>
    <cellStyle name="Normal 2 2 2 7 7 2 3" xfId="27626" xr:uid="{00000000-0005-0000-0000-00008B2D0000}"/>
    <cellStyle name="Normal 2 2 2 7 7 3" xfId="12122" xr:uid="{00000000-0005-0000-0000-00008C2D0000}"/>
    <cellStyle name="Normal 2 2 2 7 7 3 2" xfId="32174" xr:uid="{00000000-0005-0000-0000-00008D2D0000}"/>
    <cellStyle name="Normal 2 2 2 7 7 4" xfId="23144" xr:uid="{00000000-0005-0000-0000-00008E2D0000}"/>
    <cellStyle name="Normal 2 2 2 7 8" xfId="4586" xr:uid="{00000000-0005-0000-0000-00008F2D0000}"/>
    <cellStyle name="Normal 2 2 2 7 8 2" xfId="13616" xr:uid="{00000000-0005-0000-0000-0000902D0000}"/>
    <cellStyle name="Normal 2 2 2 7 8 2 2" xfId="33668" xr:uid="{00000000-0005-0000-0000-0000912D0000}"/>
    <cellStyle name="Normal 2 2 2 7 8 3" xfId="24638" xr:uid="{00000000-0005-0000-0000-0000922D0000}"/>
    <cellStyle name="Normal 2 2 2 7 9" xfId="9134" xr:uid="{00000000-0005-0000-0000-0000932D0000}"/>
    <cellStyle name="Normal 2 2 2 7 9 2" xfId="29186" xr:uid="{00000000-0005-0000-0000-0000942D0000}"/>
    <cellStyle name="Normal 2 2 2 8" xfId="134" xr:uid="{00000000-0005-0000-0000-0000952D0000}"/>
    <cellStyle name="Normal 2 2 2 8 10" xfId="20186" xr:uid="{00000000-0005-0000-0000-0000962D0000}"/>
    <cellStyle name="Normal 2 2 2 8 2" xfId="320" xr:uid="{00000000-0005-0000-0000-0000972D0000}"/>
    <cellStyle name="Normal 2 2 2 8 2 2" xfId="1063" xr:uid="{00000000-0005-0000-0000-0000982D0000}"/>
    <cellStyle name="Normal 2 2 2 8 2 2 2" xfId="2557" xr:uid="{00000000-0005-0000-0000-0000992D0000}"/>
    <cellStyle name="Normal 2 2 2 8 2 2 2 2" xfId="7039" xr:uid="{00000000-0005-0000-0000-00009A2D0000}"/>
    <cellStyle name="Normal 2 2 2 8 2 2 2 2 2" xfId="16069" xr:uid="{00000000-0005-0000-0000-00009B2D0000}"/>
    <cellStyle name="Normal 2 2 2 8 2 2 2 2 2 2" xfId="36121" xr:uid="{00000000-0005-0000-0000-00009C2D0000}"/>
    <cellStyle name="Normal 2 2 2 8 2 2 2 2 3" xfId="27091" xr:uid="{00000000-0005-0000-0000-00009D2D0000}"/>
    <cellStyle name="Normal 2 2 2 8 2 2 2 3" xfId="11587" xr:uid="{00000000-0005-0000-0000-00009E2D0000}"/>
    <cellStyle name="Normal 2 2 2 8 2 2 2 3 2" xfId="31639" xr:uid="{00000000-0005-0000-0000-00009F2D0000}"/>
    <cellStyle name="Normal 2 2 2 8 2 2 2 4" xfId="22609" xr:uid="{00000000-0005-0000-0000-0000A02D0000}"/>
    <cellStyle name="Normal 2 2 2 8 2 2 3" xfId="4051" xr:uid="{00000000-0005-0000-0000-0000A12D0000}"/>
    <cellStyle name="Normal 2 2 2 8 2 2 3 2" xfId="8533" xr:uid="{00000000-0005-0000-0000-0000A22D0000}"/>
    <cellStyle name="Normal 2 2 2 8 2 2 3 2 2" xfId="17563" xr:uid="{00000000-0005-0000-0000-0000A32D0000}"/>
    <cellStyle name="Normal 2 2 2 8 2 2 3 2 2 2" xfId="37615" xr:uid="{00000000-0005-0000-0000-0000A42D0000}"/>
    <cellStyle name="Normal 2 2 2 8 2 2 3 2 3" xfId="28585" xr:uid="{00000000-0005-0000-0000-0000A52D0000}"/>
    <cellStyle name="Normal 2 2 2 8 2 2 3 3" xfId="13081" xr:uid="{00000000-0005-0000-0000-0000A62D0000}"/>
    <cellStyle name="Normal 2 2 2 8 2 2 3 3 2" xfId="33133" xr:uid="{00000000-0005-0000-0000-0000A72D0000}"/>
    <cellStyle name="Normal 2 2 2 8 2 2 3 4" xfId="24103" xr:uid="{00000000-0005-0000-0000-0000A82D0000}"/>
    <cellStyle name="Normal 2 2 2 8 2 2 4" xfId="5545" xr:uid="{00000000-0005-0000-0000-0000A92D0000}"/>
    <cellStyle name="Normal 2 2 2 8 2 2 4 2" xfId="14575" xr:uid="{00000000-0005-0000-0000-0000AA2D0000}"/>
    <cellStyle name="Normal 2 2 2 8 2 2 4 2 2" xfId="34627" xr:uid="{00000000-0005-0000-0000-0000AB2D0000}"/>
    <cellStyle name="Normal 2 2 2 8 2 2 4 3" xfId="25597" xr:uid="{00000000-0005-0000-0000-0000AC2D0000}"/>
    <cellStyle name="Normal 2 2 2 8 2 2 5" xfId="10093" xr:uid="{00000000-0005-0000-0000-0000AD2D0000}"/>
    <cellStyle name="Normal 2 2 2 8 2 2 5 2" xfId="30145" xr:uid="{00000000-0005-0000-0000-0000AE2D0000}"/>
    <cellStyle name="Normal 2 2 2 8 2 2 6" xfId="21115" xr:uid="{00000000-0005-0000-0000-0000AF2D0000}"/>
    <cellStyle name="Normal 2 2 2 8 2 3" xfId="1814" xr:uid="{00000000-0005-0000-0000-0000B02D0000}"/>
    <cellStyle name="Normal 2 2 2 8 2 3 2" xfId="6296" xr:uid="{00000000-0005-0000-0000-0000B12D0000}"/>
    <cellStyle name="Normal 2 2 2 8 2 3 2 2" xfId="15326" xr:uid="{00000000-0005-0000-0000-0000B22D0000}"/>
    <cellStyle name="Normal 2 2 2 8 2 3 2 2 2" xfId="35378" xr:uid="{00000000-0005-0000-0000-0000B32D0000}"/>
    <cellStyle name="Normal 2 2 2 8 2 3 2 3" xfId="26348" xr:uid="{00000000-0005-0000-0000-0000B42D0000}"/>
    <cellStyle name="Normal 2 2 2 8 2 3 3" xfId="10844" xr:uid="{00000000-0005-0000-0000-0000B52D0000}"/>
    <cellStyle name="Normal 2 2 2 8 2 3 3 2" xfId="30896" xr:uid="{00000000-0005-0000-0000-0000B62D0000}"/>
    <cellStyle name="Normal 2 2 2 8 2 3 4" xfId="21866" xr:uid="{00000000-0005-0000-0000-0000B72D0000}"/>
    <cellStyle name="Normal 2 2 2 8 2 4" xfId="3308" xr:uid="{00000000-0005-0000-0000-0000B82D0000}"/>
    <cellStyle name="Normal 2 2 2 8 2 4 2" xfId="7790" xr:uid="{00000000-0005-0000-0000-0000B92D0000}"/>
    <cellStyle name="Normal 2 2 2 8 2 4 2 2" xfId="16820" xr:uid="{00000000-0005-0000-0000-0000BA2D0000}"/>
    <cellStyle name="Normal 2 2 2 8 2 4 2 2 2" xfId="36872" xr:uid="{00000000-0005-0000-0000-0000BB2D0000}"/>
    <cellStyle name="Normal 2 2 2 8 2 4 2 3" xfId="27842" xr:uid="{00000000-0005-0000-0000-0000BC2D0000}"/>
    <cellStyle name="Normal 2 2 2 8 2 4 3" xfId="12338" xr:uid="{00000000-0005-0000-0000-0000BD2D0000}"/>
    <cellStyle name="Normal 2 2 2 8 2 4 3 2" xfId="32390" xr:uid="{00000000-0005-0000-0000-0000BE2D0000}"/>
    <cellStyle name="Normal 2 2 2 8 2 4 4" xfId="23360" xr:uid="{00000000-0005-0000-0000-0000BF2D0000}"/>
    <cellStyle name="Normal 2 2 2 8 2 5" xfId="4802" xr:uid="{00000000-0005-0000-0000-0000C02D0000}"/>
    <cellStyle name="Normal 2 2 2 8 2 5 2" xfId="13832" xr:uid="{00000000-0005-0000-0000-0000C12D0000}"/>
    <cellStyle name="Normal 2 2 2 8 2 5 2 2" xfId="33884" xr:uid="{00000000-0005-0000-0000-0000C22D0000}"/>
    <cellStyle name="Normal 2 2 2 8 2 5 3" xfId="24854" xr:uid="{00000000-0005-0000-0000-0000C32D0000}"/>
    <cellStyle name="Normal 2 2 2 8 2 6" xfId="9350" xr:uid="{00000000-0005-0000-0000-0000C42D0000}"/>
    <cellStyle name="Normal 2 2 2 8 2 6 2" xfId="29402" xr:uid="{00000000-0005-0000-0000-0000C52D0000}"/>
    <cellStyle name="Normal 2 2 2 8 2 7" xfId="20372" xr:uid="{00000000-0005-0000-0000-0000C62D0000}"/>
    <cellStyle name="Normal 2 2 2 8 3" xfId="506" xr:uid="{00000000-0005-0000-0000-0000C72D0000}"/>
    <cellStyle name="Normal 2 2 2 8 3 2" xfId="1253" xr:uid="{00000000-0005-0000-0000-0000C82D0000}"/>
    <cellStyle name="Normal 2 2 2 8 3 2 2" xfId="2747" xr:uid="{00000000-0005-0000-0000-0000C92D0000}"/>
    <cellStyle name="Normal 2 2 2 8 3 2 2 2" xfId="7229" xr:uid="{00000000-0005-0000-0000-0000CA2D0000}"/>
    <cellStyle name="Normal 2 2 2 8 3 2 2 2 2" xfId="16259" xr:uid="{00000000-0005-0000-0000-0000CB2D0000}"/>
    <cellStyle name="Normal 2 2 2 8 3 2 2 2 2 2" xfId="36311" xr:uid="{00000000-0005-0000-0000-0000CC2D0000}"/>
    <cellStyle name="Normal 2 2 2 8 3 2 2 2 3" xfId="27281" xr:uid="{00000000-0005-0000-0000-0000CD2D0000}"/>
    <cellStyle name="Normal 2 2 2 8 3 2 2 3" xfId="11777" xr:uid="{00000000-0005-0000-0000-0000CE2D0000}"/>
    <cellStyle name="Normal 2 2 2 8 3 2 2 3 2" xfId="31829" xr:uid="{00000000-0005-0000-0000-0000CF2D0000}"/>
    <cellStyle name="Normal 2 2 2 8 3 2 2 4" xfId="22799" xr:uid="{00000000-0005-0000-0000-0000D02D0000}"/>
    <cellStyle name="Normal 2 2 2 8 3 2 3" xfId="4241" xr:uid="{00000000-0005-0000-0000-0000D12D0000}"/>
    <cellStyle name="Normal 2 2 2 8 3 2 3 2" xfId="8723" xr:uid="{00000000-0005-0000-0000-0000D22D0000}"/>
    <cellStyle name="Normal 2 2 2 8 3 2 3 2 2" xfId="17753" xr:uid="{00000000-0005-0000-0000-0000D32D0000}"/>
    <cellStyle name="Normal 2 2 2 8 3 2 3 2 2 2" xfId="37805" xr:uid="{00000000-0005-0000-0000-0000D42D0000}"/>
    <cellStyle name="Normal 2 2 2 8 3 2 3 2 3" xfId="28775" xr:uid="{00000000-0005-0000-0000-0000D52D0000}"/>
    <cellStyle name="Normal 2 2 2 8 3 2 3 3" xfId="13271" xr:uid="{00000000-0005-0000-0000-0000D62D0000}"/>
    <cellStyle name="Normal 2 2 2 8 3 2 3 3 2" xfId="33323" xr:uid="{00000000-0005-0000-0000-0000D72D0000}"/>
    <cellStyle name="Normal 2 2 2 8 3 2 3 4" xfId="24293" xr:uid="{00000000-0005-0000-0000-0000D82D0000}"/>
    <cellStyle name="Normal 2 2 2 8 3 2 4" xfId="5735" xr:uid="{00000000-0005-0000-0000-0000D92D0000}"/>
    <cellStyle name="Normal 2 2 2 8 3 2 4 2" xfId="14765" xr:uid="{00000000-0005-0000-0000-0000DA2D0000}"/>
    <cellStyle name="Normal 2 2 2 8 3 2 4 2 2" xfId="34817" xr:uid="{00000000-0005-0000-0000-0000DB2D0000}"/>
    <cellStyle name="Normal 2 2 2 8 3 2 4 3" xfId="25787" xr:uid="{00000000-0005-0000-0000-0000DC2D0000}"/>
    <cellStyle name="Normal 2 2 2 8 3 2 5" xfId="10283" xr:uid="{00000000-0005-0000-0000-0000DD2D0000}"/>
    <cellStyle name="Normal 2 2 2 8 3 2 5 2" xfId="30335" xr:uid="{00000000-0005-0000-0000-0000DE2D0000}"/>
    <cellStyle name="Normal 2 2 2 8 3 2 6" xfId="21305" xr:uid="{00000000-0005-0000-0000-0000DF2D0000}"/>
    <cellStyle name="Normal 2 2 2 8 3 3" xfId="2000" xr:uid="{00000000-0005-0000-0000-0000E02D0000}"/>
    <cellStyle name="Normal 2 2 2 8 3 3 2" xfId="6482" xr:uid="{00000000-0005-0000-0000-0000E12D0000}"/>
    <cellStyle name="Normal 2 2 2 8 3 3 2 2" xfId="15512" xr:uid="{00000000-0005-0000-0000-0000E22D0000}"/>
    <cellStyle name="Normal 2 2 2 8 3 3 2 2 2" xfId="35564" xr:uid="{00000000-0005-0000-0000-0000E32D0000}"/>
    <cellStyle name="Normal 2 2 2 8 3 3 2 3" xfId="26534" xr:uid="{00000000-0005-0000-0000-0000E42D0000}"/>
    <cellStyle name="Normal 2 2 2 8 3 3 3" xfId="11030" xr:uid="{00000000-0005-0000-0000-0000E52D0000}"/>
    <cellStyle name="Normal 2 2 2 8 3 3 3 2" xfId="31082" xr:uid="{00000000-0005-0000-0000-0000E62D0000}"/>
    <cellStyle name="Normal 2 2 2 8 3 3 4" xfId="22052" xr:uid="{00000000-0005-0000-0000-0000E72D0000}"/>
    <cellStyle name="Normal 2 2 2 8 3 4" xfId="3494" xr:uid="{00000000-0005-0000-0000-0000E82D0000}"/>
    <cellStyle name="Normal 2 2 2 8 3 4 2" xfId="7976" xr:uid="{00000000-0005-0000-0000-0000E92D0000}"/>
    <cellStyle name="Normal 2 2 2 8 3 4 2 2" xfId="17006" xr:uid="{00000000-0005-0000-0000-0000EA2D0000}"/>
    <cellStyle name="Normal 2 2 2 8 3 4 2 2 2" xfId="37058" xr:uid="{00000000-0005-0000-0000-0000EB2D0000}"/>
    <cellStyle name="Normal 2 2 2 8 3 4 2 3" xfId="28028" xr:uid="{00000000-0005-0000-0000-0000EC2D0000}"/>
    <cellStyle name="Normal 2 2 2 8 3 4 3" xfId="12524" xr:uid="{00000000-0005-0000-0000-0000ED2D0000}"/>
    <cellStyle name="Normal 2 2 2 8 3 4 3 2" xfId="32576" xr:uid="{00000000-0005-0000-0000-0000EE2D0000}"/>
    <cellStyle name="Normal 2 2 2 8 3 4 4" xfId="23546" xr:uid="{00000000-0005-0000-0000-0000EF2D0000}"/>
    <cellStyle name="Normal 2 2 2 8 3 5" xfId="4988" xr:uid="{00000000-0005-0000-0000-0000F02D0000}"/>
    <cellStyle name="Normal 2 2 2 8 3 5 2" xfId="14018" xr:uid="{00000000-0005-0000-0000-0000F12D0000}"/>
    <cellStyle name="Normal 2 2 2 8 3 5 2 2" xfId="34070" xr:uid="{00000000-0005-0000-0000-0000F22D0000}"/>
    <cellStyle name="Normal 2 2 2 8 3 5 3" xfId="25040" xr:uid="{00000000-0005-0000-0000-0000F32D0000}"/>
    <cellStyle name="Normal 2 2 2 8 3 6" xfId="9536" xr:uid="{00000000-0005-0000-0000-0000F42D0000}"/>
    <cellStyle name="Normal 2 2 2 8 3 6 2" xfId="29588" xr:uid="{00000000-0005-0000-0000-0000F52D0000}"/>
    <cellStyle name="Normal 2 2 2 8 3 7" xfId="20558" xr:uid="{00000000-0005-0000-0000-0000F62D0000}"/>
    <cellStyle name="Normal 2 2 2 8 4" xfId="692" xr:uid="{00000000-0005-0000-0000-0000F72D0000}"/>
    <cellStyle name="Normal 2 2 2 8 4 2" xfId="1439" xr:uid="{00000000-0005-0000-0000-0000F82D0000}"/>
    <cellStyle name="Normal 2 2 2 8 4 2 2" xfId="2933" xr:uid="{00000000-0005-0000-0000-0000F92D0000}"/>
    <cellStyle name="Normal 2 2 2 8 4 2 2 2" xfId="7415" xr:uid="{00000000-0005-0000-0000-0000FA2D0000}"/>
    <cellStyle name="Normal 2 2 2 8 4 2 2 2 2" xfId="16445" xr:uid="{00000000-0005-0000-0000-0000FB2D0000}"/>
    <cellStyle name="Normal 2 2 2 8 4 2 2 2 2 2" xfId="36497" xr:uid="{00000000-0005-0000-0000-0000FC2D0000}"/>
    <cellStyle name="Normal 2 2 2 8 4 2 2 2 3" xfId="27467" xr:uid="{00000000-0005-0000-0000-0000FD2D0000}"/>
    <cellStyle name="Normal 2 2 2 8 4 2 2 3" xfId="11963" xr:uid="{00000000-0005-0000-0000-0000FE2D0000}"/>
    <cellStyle name="Normal 2 2 2 8 4 2 2 3 2" xfId="32015" xr:uid="{00000000-0005-0000-0000-0000FF2D0000}"/>
    <cellStyle name="Normal 2 2 2 8 4 2 2 4" xfId="22985" xr:uid="{00000000-0005-0000-0000-0000002E0000}"/>
    <cellStyle name="Normal 2 2 2 8 4 2 3" xfId="4427" xr:uid="{00000000-0005-0000-0000-0000012E0000}"/>
    <cellStyle name="Normal 2 2 2 8 4 2 3 2" xfId="8909" xr:uid="{00000000-0005-0000-0000-0000022E0000}"/>
    <cellStyle name="Normal 2 2 2 8 4 2 3 2 2" xfId="17939" xr:uid="{00000000-0005-0000-0000-0000032E0000}"/>
    <cellStyle name="Normal 2 2 2 8 4 2 3 2 2 2" xfId="37991" xr:uid="{00000000-0005-0000-0000-0000042E0000}"/>
    <cellStyle name="Normal 2 2 2 8 4 2 3 2 3" xfId="28961" xr:uid="{00000000-0005-0000-0000-0000052E0000}"/>
    <cellStyle name="Normal 2 2 2 8 4 2 3 3" xfId="13457" xr:uid="{00000000-0005-0000-0000-0000062E0000}"/>
    <cellStyle name="Normal 2 2 2 8 4 2 3 3 2" xfId="33509" xr:uid="{00000000-0005-0000-0000-0000072E0000}"/>
    <cellStyle name="Normal 2 2 2 8 4 2 3 4" xfId="24479" xr:uid="{00000000-0005-0000-0000-0000082E0000}"/>
    <cellStyle name="Normal 2 2 2 8 4 2 4" xfId="5921" xr:uid="{00000000-0005-0000-0000-0000092E0000}"/>
    <cellStyle name="Normal 2 2 2 8 4 2 4 2" xfId="14951" xr:uid="{00000000-0005-0000-0000-00000A2E0000}"/>
    <cellStyle name="Normal 2 2 2 8 4 2 4 2 2" xfId="35003" xr:uid="{00000000-0005-0000-0000-00000B2E0000}"/>
    <cellStyle name="Normal 2 2 2 8 4 2 4 3" xfId="25973" xr:uid="{00000000-0005-0000-0000-00000C2E0000}"/>
    <cellStyle name="Normal 2 2 2 8 4 2 5" xfId="10469" xr:uid="{00000000-0005-0000-0000-00000D2E0000}"/>
    <cellStyle name="Normal 2 2 2 8 4 2 5 2" xfId="30521" xr:uid="{00000000-0005-0000-0000-00000E2E0000}"/>
    <cellStyle name="Normal 2 2 2 8 4 2 6" xfId="21491" xr:uid="{00000000-0005-0000-0000-00000F2E0000}"/>
    <cellStyle name="Normal 2 2 2 8 4 3" xfId="2186" xr:uid="{00000000-0005-0000-0000-0000102E0000}"/>
    <cellStyle name="Normal 2 2 2 8 4 3 2" xfId="6668" xr:uid="{00000000-0005-0000-0000-0000112E0000}"/>
    <cellStyle name="Normal 2 2 2 8 4 3 2 2" xfId="15698" xr:uid="{00000000-0005-0000-0000-0000122E0000}"/>
    <cellStyle name="Normal 2 2 2 8 4 3 2 2 2" xfId="35750" xr:uid="{00000000-0005-0000-0000-0000132E0000}"/>
    <cellStyle name="Normal 2 2 2 8 4 3 2 3" xfId="26720" xr:uid="{00000000-0005-0000-0000-0000142E0000}"/>
    <cellStyle name="Normal 2 2 2 8 4 3 3" xfId="11216" xr:uid="{00000000-0005-0000-0000-0000152E0000}"/>
    <cellStyle name="Normal 2 2 2 8 4 3 3 2" xfId="31268" xr:uid="{00000000-0005-0000-0000-0000162E0000}"/>
    <cellStyle name="Normal 2 2 2 8 4 3 4" xfId="22238" xr:uid="{00000000-0005-0000-0000-0000172E0000}"/>
    <cellStyle name="Normal 2 2 2 8 4 4" xfId="3680" xr:uid="{00000000-0005-0000-0000-0000182E0000}"/>
    <cellStyle name="Normal 2 2 2 8 4 4 2" xfId="8162" xr:uid="{00000000-0005-0000-0000-0000192E0000}"/>
    <cellStyle name="Normal 2 2 2 8 4 4 2 2" xfId="17192" xr:uid="{00000000-0005-0000-0000-00001A2E0000}"/>
    <cellStyle name="Normal 2 2 2 8 4 4 2 2 2" xfId="37244" xr:uid="{00000000-0005-0000-0000-00001B2E0000}"/>
    <cellStyle name="Normal 2 2 2 8 4 4 2 3" xfId="28214" xr:uid="{00000000-0005-0000-0000-00001C2E0000}"/>
    <cellStyle name="Normal 2 2 2 8 4 4 3" xfId="12710" xr:uid="{00000000-0005-0000-0000-00001D2E0000}"/>
    <cellStyle name="Normal 2 2 2 8 4 4 3 2" xfId="32762" xr:uid="{00000000-0005-0000-0000-00001E2E0000}"/>
    <cellStyle name="Normal 2 2 2 8 4 4 4" xfId="23732" xr:uid="{00000000-0005-0000-0000-00001F2E0000}"/>
    <cellStyle name="Normal 2 2 2 8 4 5" xfId="5174" xr:uid="{00000000-0005-0000-0000-0000202E0000}"/>
    <cellStyle name="Normal 2 2 2 8 4 5 2" xfId="14204" xr:uid="{00000000-0005-0000-0000-0000212E0000}"/>
    <cellStyle name="Normal 2 2 2 8 4 5 2 2" xfId="34256" xr:uid="{00000000-0005-0000-0000-0000222E0000}"/>
    <cellStyle name="Normal 2 2 2 8 4 5 3" xfId="25226" xr:uid="{00000000-0005-0000-0000-0000232E0000}"/>
    <cellStyle name="Normal 2 2 2 8 4 6" xfId="9722" xr:uid="{00000000-0005-0000-0000-0000242E0000}"/>
    <cellStyle name="Normal 2 2 2 8 4 6 2" xfId="29774" xr:uid="{00000000-0005-0000-0000-0000252E0000}"/>
    <cellStyle name="Normal 2 2 2 8 4 7" xfId="20744" xr:uid="{00000000-0005-0000-0000-0000262E0000}"/>
    <cellStyle name="Normal 2 2 2 8 5" xfId="879" xr:uid="{00000000-0005-0000-0000-0000272E0000}"/>
    <cellStyle name="Normal 2 2 2 8 5 2" xfId="2373" xr:uid="{00000000-0005-0000-0000-0000282E0000}"/>
    <cellStyle name="Normal 2 2 2 8 5 2 2" xfId="6855" xr:uid="{00000000-0005-0000-0000-0000292E0000}"/>
    <cellStyle name="Normal 2 2 2 8 5 2 2 2" xfId="15885" xr:uid="{00000000-0005-0000-0000-00002A2E0000}"/>
    <cellStyle name="Normal 2 2 2 8 5 2 2 2 2" xfId="35937" xr:uid="{00000000-0005-0000-0000-00002B2E0000}"/>
    <cellStyle name="Normal 2 2 2 8 5 2 2 3" xfId="26907" xr:uid="{00000000-0005-0000-0000-00002C2E0000}"/>
    <cellStyle name="Normal 2 2 2 8 5 2 3" xfId="11403" xr:uid="{00000000-0005-0000-0000-00002D2E0000}"/>
    <cellStyle name="Normal 2 2 2 8 5 2 3 2" xfId="31455" xr:uid="{00000000-0005-0000-0000-00002E2E0000}"/>
    <cellStyle name="Normal 2 2 2 8 5 2 4" xfId="22425" xr:uid="{00000000-0005-0000-0000-00002F2E0000}"/>
    <cellStyle name="Normal 2 2 2 8 5 3" xfId="3867" xr:uid="{00000000-0005-0000-0000-0000302E0000}"/>
    <cellStyle name="Normal 2 2 2 8 5 3 2" xfId="8349" xr:uid="{00000000-0005-0000-0000-0000312E0000}"/>
    <cellStyle name="Normal 2 2 2 8 5 3 2 2" xfId="17379" xr:uid="{00000000-0005-0000-0000-0000322E0000}"/>
    <cellStyle name="Normal 2 2 2 8 5 3 2 2 2" xfId="37431" xr:uid="{00000000-0005-0000-0000-0000332E0000}"/>
    <cellStyle name="Normal 2 2 2 8 5 3 2 3" xfId="28401" xr:uid="{00000000-0005-0000-0000-0000342E0000}"/>
    <cellStyle name="Normal 2 2 2 8 5 3 3" xfId="12897" xr:uid="{00000000-0005-0000-0000-0000352E0000}"/>
    <cellStyle name="Normal 2 2 2 8 5 3 3 2" xfId="32949" xr:uid="{00000000-0005-0000-0000-0000362E0000}"/>
    <cellStyle name="Normal 2 2 2 8 5 3 4" xfId="23919" xr:uid="{00000000-0005-0000-0000-0000372E0000}"/>
    <cellStyle name="Normal 2 2 2 8 5 4" xfId="5361" xr:uid="{00000000-0005-0000-0000-0000382E0000}"/>
    <cellStyle name="Normal 2 2 2 8 5 4 2" xfId="14391" xr:uid="{00000000-0005-0000-0000-0000392E0000}"/>
    <cellStyle name="Normal 2 2 2 8 5 4 2 2" xfId="34443" xr:uid="{00000000-0005-0000-0000-00003A2E0000}"/>
    <cellStyle name="Normal 2 2 2 8 5 4 3" xfId="25413" xr:uid="{00000000-0005-0000-0000-00003B2E0000}"/>
    <cellStyle name="Normal 2 2 2 8 5 5" xfId="9909" xr:uid="{00000000-0005-0000-0000-00003C2E0000}"/>
    <cellStyle name="Normal 2 2 2 8 5 5 2" xfId="29961" xr:uid="{00000000-0005-0000-0000-00003D2E0000}"/>
    <cellStyle name="Normal 2 2 2 8 5 6" xfId="20931" xr:uid="{00000000-0005-0000-0000-00003E2E0000}"/>
    <cellStyle name="Normal 2 2 2 8 6" xfId="1628" xr:uid="{00000000-0005-0000-0000-00003F2E0000}"/>
    <cellStyle name="Normal 2 2 2 8 6 2" xfId="6110" xr:uid="{00000000-0005-0000-0000-0000402E0000}"/>
    <cellStyle name="Normal 2 2 2 8 6 2 2" xfId="15140" xr:uid="{00000000-0005-0000-0000-0000412E0000}"/>
    <cellStyle name="Normal 2 2 2 8 6 2 2 2" xfId="35192" xr:uid="{00000000-0005-0000-0000-0000422E0000}"/>
    <cellStyle name="Normal 2 2 2 8 6 2 3" xfId="26162" xr:uid="{00000000-0005-0000-0000-0000432E0000}"/>
    <cellStyle name="Normal 2 2 2 8 6 3" xfId="10658" xr:uid="{00000000-0005-0000-0000-0000442E0000}"/>
    <cellStyle name="Normal 2 2 2 8 6 3 2" xfId="30710" xr:uid="{00000000-0005-0000-0000-0000452E0000}"/>
    <cellStyle name="Normal 2 2 2 8 6 4" xfId="21680" xr:uid="{00000000-0005-0000-0000-0000462E0000}"/>
    <cellStyle name="Normal 2 2 2 8 7" xfId="3122" xr:uid="{00000000-0005-0000-0000-0000472E0000}"/>
    <cellStyle name="Normal 2 2 2 8 7 2" xfId="7604" xr:uid="{00000000-0005-0000-0000-0000482E0000}"/>
    <cellStyle name="Normal 2 2 2 8 7 2 2" xfId="16634" xr:uid="{00000000-0005-0000-0000-0000492E0000}"/>
    <cellStyle name="Normal 2 2 2 8 7 2 2 2" xfId="36686" xr:uid="{00000000-0005-0000-0000-00004A2E0000}"/>
    <cellStyle name="Normal 2 2 2 8 7 2 3" xfId="27656" xr:uid="{00000000-0005-0000-0000-00004B2E0000}"/>
    <cellStyle name="Normal 2 2 2 8 7 3" xfId="12152" xr:uid="{00000000-0005-0000-0000-00004C2E0000}"/>
    <cellStyle name="Normal 2 2 2 8 7 3 2" xfId="32204" xr:uid="{00000000-0005-0000-0000-00004D2E0000}"/>
    <cellStyle name="Normal 2 2 2 8 7 4" xfId="23174" xr:uid="{00000000-0005-0000-0000-00004E2E0000}"/>
    <cellStyle name="Normal 2 2 2 8 8" xfId="4616" xr:uid="{00000000-0005-0000-0000-00004F2E0000}"/>
    <cellStyle name="Normal 2 2 2 8 8 2" xfId="13646" xr:uid="{00000000-0005-0000-0000-0000502E0000}"/>
    <cellStyle name="Normal 2 2 2 8 8 2 2" xfId="33698" xr:uid="{00000000-0005-0000-0000-0000512E0000}"/>
    <cellStyle name="Normal 2 2 2 8 8 3" xfId="24668" xr:uid="{00000000-0005-0000-0000-0000522E0000}"/>
    <cellStyle name="Normal 2 2 2 8 9" xfId="9164" xr:uid="{00000000-0005-0000-0000-0000532E0000}"/>
    <cellStyle name="Normal 2 2 2 8 9 2" xfId="29216" xr:uid="{00000000-0005-0000-0000-0000542E0000}"/>
    <cellStyle name="Normal 2 2 2 9" xfId="157" xr:uid="{00000000-0005-0000-0000-0000552E0000}"/>
    <cellStyle name="Normal 2 2 2 9 10" xfId="20209" xr:uid="{00000000-0005-0000-0000-0000562E0000}"/>
    <cellStyle name="Normal 2 2 2 9 2" xfId="343" xr:uid="{00000000-0005-0000-0000-0000572E0000}"/>
    <cellStyle name="Normal 2 2 2 9 2 2" xfId="1086" xr:uid="{00000000-0005-0000-0000-0000582E0000}"/>
    <cellStyle name="Normal 2 2 2 9 2 2 2" xfId="2580" xr:uid="{00000000-0005-0000-0000-0000592E0000}"/>
    <cellStyle name="Normal 2 2 2 9 2 2 2 2" xfId="7062" xr:uid="{00000000-0005-0000-0000-00005A2E0000}"/>
    <cellStyle name="Normal 2 2 2 9 2 2 2 2 2" xfId="16092" xr:uid="{00000000-0005-0000-0000-00005B2E0000}"/>
    <cellStyle name="Normal 2 2 2 9 2 2 2 2 2 2" xfId="36144" xr:uid="{00000000-0005-0000-0000-00005C2E0000}"/>
    <cellStyle name="Normal 2 2 2 9 2 2 2 2 3" xfId="27114" xr:uid="{00000000-0005-0000-0000-00005D2E0000}"/>
    <cellStyle name="Normal 2 2 2 9 2 2 2 3" xfId="11610" xr:uid="{00000000-0005-0000-0000-00005E2E0000}"/>
    <cellStyle name="Normal 2 2 2 9 2 2 2 3 2" xfId="31662" xr:uid="{00000000-0005-0000-0000-00005F2E0000}"/>
    <cellStyle name="Normal 2 2 2 9 2 2 2 4" xfId="22632" xr:uid="{00000000-0005-0000-0000-0000602E0000}"/>
    <cellStyle name="Normal 2 2 2 9 2 2 3" xfId="4074" xr:uid="{00000000-0005-0000-0000-0000612E0000}"/>
    <cellStyle name="Normal 2 2 2 9 2 2 3 2" xfId="8556" xr:uid="{00000000-0005-0000-0000-0000622E0000}"/>
    <cellStyle name="Normal 2 2 2 9 2 2 3 2 2" xfId="17586" xr:uid="{00000000-0005-0000-0000-0000632E0000}"/>
    <cellStyle name="Normal 2 2 2 9 2 2 3 2 2 2" xfId="37638" xr:uid="{00000000-0005-0000-0000-0000642E0000}"/>
    <cellStyle name="Normal 2 2 2 9 2 2 3 2 3" xfId="28608" xr:uid="{00000000-0005-0000-0000-0000652E0000}"/>
    <cellStyle name="Normal 2 2 2 9 2 2 3 3" xfId="13104" xr:uid="{00000000-0005-0000-0000-0000662E0000}"/>
    <cellStyle name="Normal 2 2 2 9 2 2 3 3 2" xfId="33156" xr:uid="{00000000-0005-0000-0000-0000672E0000}"/>
    <cellStyle name="Normal 2 2 2 9 2 2 3 4" xfId="24126" xr:uid="{00000000-0005-0000-0000-0000682E0000}"/>
    <cellStyle name="Normal 2 2 2 9 2 2 4" xfId="5568" xr:uid="{00000000-0005-0000-0000-0000692E0000}"/>
    <cellStyle name="Normal 2 2 2 9 2 2 4 2" xfId="14598" xr:uid="{00000000-0005-0000-0000-00006A2E0000}"/>
    <cellStyle name="Normal 2 2 2 9 2 2 4 2 2" xfId="34650" xr:uid="{00000000-0005-0000-0000-00006B2E0000}"/>
    <cellStyle name="Normal 2 2 2 9 2 2 4 3" xfId="25620" xr:uid="{00000000-0005-0000-0000-00006C2E0000}"/>
    <cellStyle name="Normal 2 2 2 9 2 2 5" xfId="10116" xr:uid="{00000000-0005-0000-0000-00006D2E0000}"/>
    <cellStyle name="Normal 2 2 2 9 2 2 5 2" xfId="30168" xr:uid="{00000000-0005-0000-0000-00006E2E0000}"/>
    <cellStyle name="Normal 2 2 2 9 2 2 6" xfId="21138" xr:uid="{00000000-0005-0000-0000-00006F2E0000}"/>
    <cellStyle name="Normal 2 2 2 9 2 3" xfId="1837" xr:uid="{00000000-0005-0000-0000-0000702E0000}"/>
    <cellStyle name="Normal 2 2 2 9 2 3 2" xfId="6319" xr:uid="{00000000-0005-0000-0000-0000712E0000}"/>
    <cellStyle name="Normal 2 2 2 9 2 3 2 2" xfId="15349" xr:uid="{00000000-0005-0000-0000-0000722E0000}"/>
    <cellStyle name="Normal 2 2 2 9 2 3 2 2 2" xfId="35401" xr:uid="{00000000-0005-0000-0000-0000732E0000}"/>
    <cellStyle name="Normal 2 2 2 9 2 3 2 3" xfId="26371" xr:uid="{00000000-0005-0000-0000-0000742E0000}"/>
    <cellStyle name="Normal 2 2 2 9 2 3 3" xfId="10867" xr:uid="{00000000-0005-0000-0000-0000752E0000}"/>
    <cellStyle name="Normal 2 2 2 9 2 3 3 2" xfId="30919" xr:uid="{00000000-0005-0000-0000-0000762E0000}"/>
    <cellStyle name="Normal 2 2 2 9 2 3 4" xfId="21889" xr:uid="{00000000-0005-0000-0000-0000772E0000}"/>
    <cellStyle name="Normal 2 2 2 9 2 4" xfId="3331" xr:uid="{00000000-0005-0000-0000-0000782E0000}"/>
    <cellStyle name="Normal 2 2 2 9 2 4 2" xfId="7813" xr:uid="{00000000-0005-0000-0000-0000792E0000}"/>
    <cellStyle name="Normal 2 2 2 9 2 4 2 2" xfId="16843" xr:uid="{00000000-0005-0000-0000-00007A2E0000}"/>
    <cellStyle name="Normal 2 2 2 9 2 4 2 2 2" xfId="36895" xr:uid="{00000000-0005-0000-0000-00007B2E0000}"/>
    <cellStyle name="Normal 2 2 2 9 2 4 2 3" xfId="27865" xr:uid="{00000000-0005-0000-0000-00007C2E0000}"/>
    <cellStyle name="Normal 2 2 2 9 2 4 3" xfId="12361" xr:uid="{00000000-0005-0000-0000-00007D2E0000}"/>
    <cellStyle name="Normal 2 2 2 9 2 4 3 2" xfId="32413" xr:uid="{00000000-0005-0000-0000-00007E2E0000}"/>
    <cellStyle name="Normal 2 2 2 9 2 4 4" xfId="23383" xr:uid="{00000000-0005-0000-0000-00007F2E0000}"/>
    <cellStyle name="Normal 2 2 2 9 2 5" xfId="4825" xr:uid="{00000000-0005-0000-0000-0000802E0000}"/>
    <cellStyle name="Normal 2 2 2 9 2 5 2" xfId="13855" xr:uid="{00000000-0005-0000-0000-0000812E0000}"/>
    <cellStyle name="Normal 2 2 2 9 2 5 2 2" xfId="33907" xr:uid="{00000000-0005-0000-0000-0000822E0000}"/>
    <cellStyle name="Normal 2 2 2 9 2 5 3" xfId="24877" xr:uid="{00000000-0005-0000-0000-0000832E0000}"/>
    <cellStyle name="Normal 2 2 2 9 2 6" xfId="9373" xr:uid="{00000000-0005-0000-0000-0000842E0000}"/>
    <cellStyle name="Normal 2 2 2 9 2 6 2" xfId="29425" xr:uid="{00000000-0005-0000-0000-0000852E0000}"/>
    <cellStyle name="Normal 2 2 2 9 2 7" xfId="20395" xr:uid="{00000000-0005-0000-0000-0000862E0000}"/>
    <cellStyle name="Normal 2 2 2 9 3" xfId="529" xr:uid="{00000000-0005-0000-0000-0000872E0000}"/>
    <cellStyle name="Normal 2 2 2 9 3 2" xfId="1276" xr:uid="{00000000-0005-0000-0000-0000882E0000}"/>
    <cellStyle name="Normal 2 2 2 9 3 2 2" xfId="2770" xr:uid="{00000000-0005-0000-0000-0000892E0000}"/>
    <cellStyle name="Normal 2 2 2 9 3 2 2 2" xfId="7252" xr:uid="{00000000-0005-0000-0000-00008A2E0000}"/>
    <cellStyle name="Normal 2 2 2 9 3 2 2 2 2" xfId="16282" xr:uid="{00000000-0005-0000-0000-00008B2E0000}"/>
    <cellStyle name="Normal 2 2 2 9 3 2 2 2 2 2" xfId="36334" xr:uid="{00000000-0005-0000-0000-00008C2E0000}"/>
    <cellStyle name="Normal 2 2 2 9 3 2 2 2 3" xfId="27304" xr:uid="{00000000-0005-0000-0000-00008D2E0000}"/>
    <cellStyle name="Normal 2 2 2 9 3 2 2 3" xfId="11800" xr:uid="{00000000-0005-0000-0000-00008E2E0000}"/>
    <cellStyle name="Normal 2 2 2 9 3 2 2 3 2" xfId="31852" xr:uid="{00000000-0005-0000-0000-00008F2E0000}"/>
    <cellStyle name="Normal 2 2 2 9 3 2 2 4" xfId="22822" xr:uid="{00000000-0005-0000-0000-0000902E0000}"/>
    <cellStyle name="Normal 2 2 2 9 3 2 3" xfId="4264" xr:uid="{00000000-0005-0000-0000-0000912E0000}"/>
    <cellStyle name="Normal 2 2 2 9 3 2 3 2" xfId="8746" xr:uid="{00000000-0005-0000-0000-0000922E0000}"/>
    <cellStyle name="Normal 2 2 2 9 3 2 3 2 2" xfId="17776" xr:uid="{00000000-0005-0000-0000-0000932E0000}"/>
    <cellStyle name="Normal 2 2 2 9 3 2 3 2 2 2" xfId="37828" xr:uid="{00000000-0005-0000-0000-0000942E0000}"/>
    <cellStyle name="Normal 2 2 2 9 3 2 3 2 3" xfId="28798" xr:uid="{00000000-0005-0000-0000-0000952E0000}"/>
    <cellStyle name="Normal 2 2 2 9 3 2 3 3" xfId="13294" xr:uid="{00000000-0005-0000-0000-0000962E0000}"/>
    <cellStyle name="Normal 2 2 2 9 3 2 3 3 2" xfId="33346" xr:uid="{00000000-0005-0000-0000-0000972E0000}"/>
    <cellStyle name="Normal 2 2 2 9 3 2 3 4" xfId="24316" xr:uid="{00000000-0005-0000-0000-0000982E0000}"/>
    <cellStyle name="Normal 2 2 2 9 3 2 4" xfId="5758" xr:uid="{00000000-0005-0000-0000-0000992E0000}"/>
    <cellStyle name="Normal 2 2 2 9 3 2 4 2" xfId="14788" xr:uid="{00000000-0005-0000-0000-00009A2E0000}"/>
    <cellStyle name="Normal 2 2 2 9 3 2 4 2 2" xfId="34840" xr:uid="{00000000-0005-0000-0000-00009B2E0000}"/>
    <cellStyle name="Normal 2 2 2 9 3 2 4 3" xfId="25810" xr:uid="{00000000-0005-0000-0000-00009C2E0000}"/>
    <cellStyle name="Normal 2 2 2 9 3 2 5" xfId="10306" xr:uid="{00000000-0005-0000-0000-00009D2E0000}"/>
    <cellStyle name="Normal 2 2 2 9 3 2 5 2" xfId="30358" xr:uid="{00000000-0005-0000-0000-00009E2E0000}"/>
    <cellStyle name="Normal 2 2 2 9 3 2 6" xfId="21328" xr:uid="{00000000-0005-0000-0000-00009F2E0000}"/>
    <cellStyle name="Normal 2 2 2 9 3 3" xfId="2023" xr:uid="{00000000-0005-0000-0000-0000A02E0000}"/>
    <cellStyle name="Normal 2 2 2 9 3 3 2" xfId="6505" xr:uid="{00000000-0005-0000-0000-0000A12E0000}"/>
    <cellStyle name="Normal 2 2 2 9 3 3 2 2" xfId="15535" xr:uid="{00000000-0005-0000-0000-0000A22E0000}"/>
    <cellStyle name="Normal 2 2 2 9 3 3 2 2 2" xfId="35587" xr:uid="{00000000-0005-0000-0000-0000A32E0000}"/>
    <cellStyle name="Normal 2 2 2 9 3 3 2 3" xfId="26557" xr:uid="{00000000-0005-0000-0000-0000A42E0000}"/>
    <cellStyle name="Normal 2 2 2 9 3 3 3" xfId="11053" xr:uid="{00000000-0005-0000-0000-0000A52E0000}"/>
    <cellStyle name="Normal 2 2 2 9 3 3 3 2" xfId="31105" xr:uid="{00000000-0005-0000-0000-0000A62E0000}"/>
    <cellStyle name="Normal 2 2 2 9 3 3 4" xfId="22075" xr:uid="{00000000-0005-0000-0000-0000A72E0000}"/>
    <cellStyle name="Normal 2 2 2 9 3 4" xfId="3517" xr:uid="{00000000-0005-0000-0000-0000A82E0000}"/>
    <cellStyle name="Normal 2 2 2 9 3 4 2" xfId="7999" xr:uid="{00000000-0005-0000-0000-0000A92E0000}"/>
    <cellStyle name="Normal 2 2 2 9 3 4 2 2" xfId="17029" xr:uid="{00000000-0005-0000-0000-0000AA2E0000}"/>
    <cellStyle name="Normal 2 2 2 9 3 4 2 2 2" xfId="37081" xr:uid="{00000000-0005-0000-0000-0000AB2E0000}"/>
    <cellStyle name="Normal 2 2 2 9 3 4 2 3" xfId="28051" xr:uid="{00000000-0005-0000-0000-0000AC2E0000}"/>
    <cellStyle name="Normal 2 2 2 9 3 4 3" xfId="12547" xr:uid="{00000000-0005-0000-0000-0000AD2E0000}"/>
    <cellStyle name="Normal 2 2 2 9 3 4 3 2" xfId="32599" xr:uid="{00000000-0005-0000-0000-0000AE2E0000}"/>
    <cellStyle name="Normal 2 2 2 9 3 4 4" xfId="23569" xr:uid="{00000000-0005-0000-0000-0000AF2E0000}"/>
    <cellStyle name="Normal 2 2 2 9 3 5" xfId="5011" xr:uid="{00000000-0005-0000-0000-0000B02E0000}"/>
    <cellStyle name="Normal 2 2 2 9 3 5 2" xfId="14041" xr:uid="{00000000-0005-0000-0000-0000B12E0000}"/>
    <cellStyle name="Normal 2 2 2 9 3 5 2 2" xfId="34093" xr:uid="{00000000-0005-0000-0000-0000B22E0000}"/>
    <cellStyle name="Normal 2 2 2 9 3 5 3" xfId="25063" xr:uid="{00000000-0005-0000-0000-0000B32E0000}"/>
    <cellStyle name="Normal 2 2 2 9 3 6" xfId="9559" xr:uid="{00000000-0005-0000-0000-0000B42E0000}"/>
    <cellStyle name="Normal 2 2 2 9 3 6 2" xfId="29611" xr:uid="{00000000-0005-0000-0000-0000B52E0000}"/>
    <cellStyle name="Normal 2 2 2 9 3 7" xfId="20581" xr:uid="{00000000-0005-0000-0000-0000B62E0000}"/>
    <cellStyle name="Normal 2 2 2 9 4" xfId="715" xr:uid="{00000000-0005-0000-0000-0000B72E0000}"/>
    <cellStyle name="Normal 2 2 2 9 4 2" xfId="1462" xr:uid="{00000000-0005-0000-0000-0000B82E0000}"/>
    <cellStyle name="Normal 2 2 2 9 4 2 2" xfId="2956" xr:uid="{00000000-0005-0000-0000-0000B92E0000}"/>
    <cellStyle name="Normal 2 2 2 9 4 2 2 2" xfId="7438" xr:uid="{00000000-0005-0000-0000-0000BA2E0000}"/>
    <cellStyle name="Normal 2 2 2 9 4 2 2 2 2" xfId="16468" xr:uid="{00000000-0005-0000-0000-0000BB2E0000}"/>
    <cellStyle name="Normal 2 2 2 9 4 2 2 2 2 2" xfId="36520" xr:uid="{00000000-0005-0000-0000-0000BC2E0000}"/>
    <cellStyle name="Normal 2 2 2 9 4 2 2 2 3" xfId="27490" xr:uid="{00000000-0005-0000-0000-0000BD2E0000}"/>
    <cellStyle name="Normal 2 2 2 9 4 2 2 3" xfId="11986" xr:uid="{00000000-0005-0000-0000-0000BE2E0000}"/>
    <cellStyle name="Normal 2 2 2 9 4 2 2 3 2" xfId="32038" xr:uid="{00000000-0005-0000-0000-0000BF2E0000}"/>
    <cellStyle name="Normal 2 2 2 9 4 2 2 4" xfId="23008" xr:uid="{00000000-0005-0000-0000-0000C02E0000}"/>
    <cellStyle name="Normal 2 2 2 9 4 2 3" xfId="4450" xr:uid="{00000000-0005-0000-0000-0000C12E0000}"/>
    <cellStyle name="Normal 2 2 2 9 4 2 3 2" xfId="8932" xr:uid="{00000000-0005-0000-0000-0000C22E0000}"/>
    <cellStyle name="Normal 2 2 2 9 4 2 3 2 2" xfId="17962" xr:uid="{00000000-0005-0000-0000-0000C32E0000}"/>
    <cellStyle name="Normal 2 2 2 9 4 2 3 2 2 2" xfId="38014" xr:uid="{00000000-0005-0000-0000-0000C42E0000}"/>
    <cellStyle name="Normal 2 2 2 9 4 2 3 2 3" xfId="28984" xr:uid="{00000000-0005-0000-0000-0000C52E0000}"/>
    <cellStyle name="Normal 2 2 2 9 4 2 3 3" xfId="13480" xr:uid="{00000000-0005-0000-0000-0000C62E0000}"/>
    <cellStyle name="Normal 2 2 2 9 4 2 3 3 2" xfId="33532" xr:uid="{00000000-0005-0000-0000-0000C72E0000}"/>
    <cellStyle name="Normal 2 2 2 9 4 2 3 4" xfId="24502" xr:uid="{00000000-0005-0000-0000-0000C82E0000}"/>
    <cellStyle name="Normal 2 2 2 9 4 2 4" xfId="5944" xr:uid="{00000000-0005-0000-0000-0000C92E0000}"/>
    <cellStyle name="Normal 2 2 2 9 4 2 4 2" xfId="14974" xr:uid="{00000000-0005-0000-0000-0000CA2E0000}"/>
    <cellStyle name="Normal 2 2 2 9 4 2 4 2 2" xfId="35026" xr:uid="{00000000-0005-0000-0000-0000CB2E0000}"/>
    <cellStyle name="Normal 2 2 2 9 4 2 4 3" xfId="25996" xr:uid="{00000000-0005-0000-0000-0000CC2E0000}"/>
    <cellStyle name="Normal 2 2 2 9 4 2 5" xfId="10492" xr:uid="{00000000-0005-0000-0000-0000CD2E0000}"/>
    <cellStyle name="Normal 2 2 2 9 4 2 5 2" xfId="30544" xr:uid="{00000000-0005-0000-0000-0000CE2E0000}"/>
    <cellStyle name="Normal 2 2 2 9 4 2 6" xfId="21514" xr:uid="{00000000-0005-0000-0000-0000CF2E0000}"/>
    <cellStyle name="Normal 2 2 2 9 4 3" xfId="2209" xr:uid="{00000000-0005-0000-0000-0000D02E0000}"/>
    <cellStyle name="Normal 2 2 2 9 4 3 2" xfId="6691" xr:uid="{00000000-0005-0000-0000-0000D12E0000}"/>
    <cellStyle name="Normal 2 2 2 9 4 3 2 2" xfId="15721" xr:uid="{00000000-0005-0000-0000-0000D22E0000}"/>
    <cellStyle name="Normal 2 2 2 9 4 3 2 2 2" xfId="35773" xr:uid="{00000000-0005-0000-0000-0000D32E0000}"/>
    <cellStyle name="Normal 2 2 2 9 4 3 2 3" xfId="26743" xr:uid="{00000000-0005-0000-0000-0000D42E0000}"/>
    <cellStyle name="Normal 2 2 2 9 4 3 3" xfId="11239" xr:uid="{00000000-0005-0000-0000-0000D52E0000}"/>
    <cellStyle name="Normal 2 2 2 9 4 3 3 2" xfId="31291" xr:uid="{00000000-0005-0000-0000-0000D62E0000}"/>
    <cellStyle name="Normal 2 2 2 9 4 3 4" xfId="22261" xr:uid="{00000000-0005-0000-0000-0000D72E0000}"/>
    <cellStyle name="Normal 2 2 2 9 4 4" xfId="3703" xr:uid="{00000000-0005-0000-0000-0000D82E0000}"/>
    <cellStyle name="Normal 2 2 2 9 4 4 2" xfId="8185" xr:uid="{00000000-0005-0000-0000-0000D92E0000}"/>
    <cellStyle name="Normal 2 2 2 9 4 4 2 2" xfId="17215" xr:uid="{00000000-0005-0000-0000-0000DA2E0000}"/>
    <cellStyle name="Normal 2 2 2 9 4 4 2 2 2" xfId="37267" xr:uid="{00000000-0005-0000-0000-0000DB2E0000}"/>
    <cellStyle name="Normal 2 2 2 9 4 4 2 3" xfId="28237" xr:uid="{00000000-0005-0000-0000-0000DC2E0000}"/>
    <cellStyle name="Normal 2 2 2 9 4 4 3" xfId="12733" xr:uid="{00000000-0005-0000-0000-0000DD2E0000}"/>
    <cellStyle name="Normal 2 2 2 9 4 4 3 2" xfId="32785" xr:uid="{00000000-0005-0000-0000-0000DE2E0000}"/>
    <cellStyle name="Normal 2 2 2 9 4 4 4" xfId="23755" xr:uid="{00000000-0005-0000-0000-0000DF2E0000}"/>
    <cellStyle name="Normal 2 2 2 9 4 5" xfId="5197" xr:uid="{00000000-0005-0000-0000-0000E02E0000}"/>
    <cellStyle name="Normal 2 2 2 9 4 5 2" xfId="14227" xr:uid="{00000000-0005-0000-0000-0000E12E0000}"/>
    <cellStyle name="Normal 2 2 2 9 4 5 2 2" xfId="34279" xr:uid="{00000000-0005-0000-0000-0000E22E0000}"/>
    <cellStyle name="Normal 2 2 2 9 4 5 3" xfId="25249" xr:uid="{00000000-0005-0000-0000-0000E32E0000}"/>
    <cellStyle name="Normal 2 2 2 9 4 6" xfId="9745" xr:uid="{00000000-0005-0000-0000-0000E42E0000}"/>
    <cellStyle name="Normal 2 2 2 9 4 6 2" xfId="29797" xr:uid="{00000000-0005-0000-0000-0000E52E0000}"/>
    <cellStyle name="Normal 2 2 2 9 4 7" xfId="20767" xr:uid="{00000000-0005-0000-0000-0000E62E0000}"/>
    <cellStyle name="Normal 2 2 2 9 5" xfId="902" xr:uid="{00000000-0005-0000-0000-0000E72E0000}"/>
    <cellStyle name="Normal 2 2 2 9 5 2" xfId="2396" xr:uid="{00000000-0005-0000-0000-0000E82E0000}"/>
    <cellStyle name="Normal 2 2 2 9 5 2 2" xfId="6878" xr:uid="{00000000-0005-0000-0000-0000E92E0000}"/>
    <cellStyle name="Normal 2 2 2 9 5 2 2 2" xfId="15908" xr:uid="{00000000-0005-0000-0000-0000EA2E0000}"/>
    <cellStyle name="Normal 2 2 2 9 5 2 2 2 2" xfId="35960" xr:uid="{00000000-0005-0000-0000-0000EB2E0000}"/>
    <cellStyle name="Normal 2 2 2 9 5 2 2 3" xfId="26930" xr:uid="{00000000-0005-0000-0000-0000EC2E0000}"/>
    <cellStyle name="Normal 2 2 2 9 5 2 3" xfId="11426" xr:uid="{00000000-0005-0000-0000-0000ED2E0000}"/>
    <cellStyle name="Normal 2 2 2 9 5 2 3 2" xfId="31478" xr:uid="{00000000-0005-0000-0000-0000EE2E0000}"/>
    <cellStyle name="Normal 2 2 2 9 5 2 4" xfId="22448" xr:uid="{00000000-0005-0000-0000-0000EF2E0000}"/>
    <cellStyle name="Normal 2 2 2 9 5 3" xfId="3890" xr:uid="{00000000-0005-0000-0000-0000F02E0000}"/>
    <cellStyle name="Normal 2 2 2 9 5 3 2" xfId="8372" xr:uid="{00000000-0005-0000-0000-0000F12E0000}"/>
    <cellStyle name="Normal 2 2 2 9 5 3 2 2" xfId="17402" xr:uid="{00000000-0005-0000-0000-0000F22E0000}"/>
    <cellStyle name="Normal 2 2 2 9 5 3 2 2 2" xfId="37454" xr:uid="{00000000-0005-0000-0000-0000F32E0000}"/>
    <cellStyle name="Normal 2 2 2 9 5 3 2 3" xfId="28424" xr:uid="{00000000-0005-0000-0000-0000F42E0000}"/>
    <cellStyle name="Normal 2 2 2 9 5 3 3" xfId="12920" xr:uid="{00000000-0005-0000-0000-0000F52E0000}"/>
    <cellStyle name="Normal 2 2 2 9 5 3 3 2" xfId="32972" xr:uid="{00000000-0005-0000-0000-0000F62E0000}"/>
    <cellStyle name="Normal 2 2 2 9 5 3 4" xfId="23942" xr:uid="{00000000-0005-0000-0000-0000F72E0000}"/>
    <cellStyle name="Normal 2 2 2 9 5 4" xfId="5384" xr:uid="{00000000-0005-0000-0000-0000F82E0000}"/>
    <cellStyle name="Normal 2 2 2 9 5 4 2" xfId="14414" xr:uid="{00000000-0005-0000-0000-0000F92E0000}"/>
    <cellStyle name="Normal 2 2 2 9 5 4 2 2" xfId="34466" xr:uid="{00000000-0005-0000-0000-0000FA2E0000}"/>
    <cellStyle name="Normal 2 2 2 9 5 4 3" xfId="25436" xr:uid="{00000000-0005-0000-0000-0000FB2E0000}"/>
    <cellStyle name="Normal 2 2 2 9 5 5" xfId="9932" xr:uid="{00000000-0005-0000-0000-0000FC2E0000}"/>
    <cellStyle name="Normal 2 2 2 9 5 5 2" xfId="29984" xr:uid="{00000000-0005-0000-0000-0000FD2E0000}"/>
    <cellStyle name="Normal 2 2 2 9 5 6" xfId="20954" xr:uid="{00000000-0005-0000-0000-0000FE2E0000}"/>
    <cellStyle name="Normal 2 2 2 9 6" xfId="1651" xr:uid="{00000000-0005-0000-0000-0000FF2E0000}"/>
    <cellStyle name="Normal 2 2 2 9 6 2" xfId="6133" xr:uid="{00000000-0005-0000-0000-0000002F0000}"/>
    <cellStyle name="Normal 2 2 2 9 6 2 2" xfId="15163" xr:uid="{00000000-0005-0000-0000-0000012F0000}"/>
    <cellStyle name="Normal 2 2 2 9 6 2 2 2" xfId="35215" xr:uid="{00000000-0005-0000-0000-0000022F0000}"/>
    <cellStyle name="Normal 2 2 2 9 6 2 3" xfId="26185" xr:uid="{00000000-0005-0000-0000-0000032F0000}"/>
    <cellStyle name="Normal 2 2 2 9 6 3" xfId="10681" xr:uid="{00000000-0005-0000-0000-0000042F0000}"/>
    <cellStyle name="Normal 2 2 2 9 6 3 2" xfId="30733" xr:uid="{00000000-0005-0000-0000-0000052F0000}"/>
    <cellStyle name="Normal 2 2 2 9 6 4" xfId="21703" xr:uid="{00000000-0005-0000-0000-0000062F0000}"/>
    <cellStyle name="Normal 2 2 2 9 7" xfId="3145" xr:uid="{00000000-0005-0000-0000-0000072F0000}"/>
    <cellStyle name="Normal 2 2 2 9 7 2" xfId="7627" xr:uid="{00000000-0005-0000-0000-0000082F0000}"/>
    <cellStyle name="Normal 2 2 2 9 7 2 2" xfId="16657" xr:uid="{00000000-0005-0000-0000-0000092F0000}"/>
    <cellStyle name="Normal 2 2 2 9 7 2 2 2" xfId="36709" xr:uid="{00000000-0005-0000-0000-00000A2F0000}"/>
    <cellStyle name="Normal 2 2 2 9 7 2 3" xfId="27679" xr:uid="{00000000-0005-0000-0000-00000B2F0000}"/>
    <cellStyle name="Normal 2 2 2 9 7 3" xfId="12175" xr:uid="{00000000-0005-0000-0000-00000C2F0000}"/>
    <cellStyle name="Normal 2 2 2 9 7 3 2" xfId="32227" xr:uid="{00000000-0005-0000-0000-00000D2F0000}"/>
    <cellStyle name="Normal 2 2 2 9 7 4" xfId="23197" xr:uid="{00000000-0005-0000-0000-00000E2F0000}"/>
    <cellStyle name="Normal 2 2 2 9 8" xfId="4639" xr:uid="{00000000-0005-0000-0000-00000F2F0000}"/>
    <cellStyle name="Normal 2 2 2 9 8 2" xfId="13669" xr:uid="{00000000-0005-0000-0000-0000102F0000}"/>
    <cellStyle name="Normal 2 2 2 9 8 2 2" xfId="33721" xr:uid="{00000000-0005-0000-0000-0000112F0000}"/>
    <cellStyle name="Normal 2 2 2 9 8 3" xfId="24691" xr:uid="{00000000-0005-0000-0000-0000122F0000}"/>
    <cellStyle name="Normal 2 2 2 9 9" xfId="9187" xr:uid="{00000000-0005-0000-0000-0000132F0000}"/>
    <cellStyle name="Normal 2 2 2 9 9 2" xfId="29239" xr:uid="{00000000-0005-0000-0000-0000142F0000}"/>
    <cellStyle name="Normal 2 2 3" xfId="22" xr:uid="{00000000-0005-0000-0000-0000152F0000}"/>
    <cellStyle name="Normal 2 2 3 10" xfId="394" xr:uid="{00000000-0005-0000-0000-0000162F0000}"/>
    <cellStyle name="Normal 2 2 3 10 2" xfId="1141" xr:uid="{00000000-0005-0000-0000-0000172F0000}"/>
    <cellStyle name="Normal 2 2 3 10 2 2" xfId="2635" xr:uid="{00000000-0005-0000-0000-0000182F0000}"/>
    <cellStyle name="Normal 2 2 3 10 2 2 2" xfId="7117" xr:uid="{00000000-0005-0000-0000-0000192F0000}"/>
    <cellStyle name="Normal 2 2 3 10 2 2 2 2" xfId="16147" xr:uid="{00000000-0005-0000-0000-00001A2F0000}"/>
    <cellStyle name="Normal 2 2 3 10 2 2 2 2 2" xfId="36199" xr:uid="{00000000-0005-0000-0000-00001B2F0000}"/>
    <cellStyle name="Normal 2 2 3 10 2 2 2 3" xfId="27169" xr:uid="{00000000-0005-0000-0000-00001C2F0000}"/>
    <cellStyle name="Normal 2 2 3 10 2 2 3" xfId="11665" xr:uid="{00000000-0005-0000-0000-00001D2F0000}"/>
    <cellStyle name="Normal 2 2 3 10 2 2 3 2" xfId="31717" xr:uid="{00000000-0005-0000-0000-00001E2F0000}"/>
    <cellStyle name="Normal 2 2 3 10 2 2 4" xfId="22687" xr:uid="{00000000-0005-0000-0000-00001F2F0000}"/>
    <cellStyle name="Normal 2 2 3 10 2 3" xfId="4129" xr:uid="{00000000-0005-0000-0000-0000202F0000}"/>
    <cellStyle name="Normal 2 2 3 10 2 3 2" xfId="8611" xr:uid="{00000000-0005-0000-0000-0000212F0000}"/>
    <cellStyle name="Normal 2 2 3 10 2 3 2 2" xfId="17641" xr:uid="{00000000-0005-0000-0000-0000222F0000}"/>
    <cellStyle name="Normal 2 2 3 10 2 3 2 2 2" xfId="37693" xr:uid="{00000000-0005-0000-0000-0000232F0000}"/>
    <cellStyle name="Normal 2 2 3 10 2 3 2 3" xfId="28663" xr:uid="{00000000-0005-0000-0000-0000242F0000}"/>
    <cellStyle name="Normal 2 2 3 10 2 3 3" xfId="13159" xr:uid="{00000000-0005-0000-0000-0000252F0000}"/>
    <cellStyle name="Normal 2 2 3 10 2 3 3 2" xfId="33211" xr:uid="{00000000-0005-0000-0000-0000262F0000}"/>
    <cellStyle name="Normal 2 2 3 10 2 3 4" xfId="24181" xr:uid="{00000000-0005-0000-0000-0000272F0000}"/>
    <cellStyle name="Normal 2 2 3 10 2 4" xfId="5623" xr:uid="{00000000-0005-0000-0000-0000282F0000}"/>
    <cellStyle name="Normal 2 2 3 10 2 4 2" xfId="14653" xr:uid="{00000000-0005-0000-0000-0000292F0000}"/>
    <cellStyle name="Normal 2 2 3 10 2 4 2 2" xfId="34705" xr:uid="{00000000-0005-0000-0000-00002A2F0000}"/>
    <cellStyle name="Normal 2 2 3 10 2 4 3" xfId="25675" xr:uid="{00000000-0005-0000-0000-00002B2F0000}"/>
    <cellStyle name="Normal 2 2 3 10 2 5" xfId="10171" xr:uid="{00000000-0005-0000-0000-00002C2F0000}"/>
    <cellStyle name="Normal 2 2 3 10 2 5 2" xfId="30223" xr:uid="{00000000-0005-0000-0000-00002D2F0000}"/>
    <cellStyle name="Normal 2 2 3 10 2 6" xfId="21193" xr:uid="{00000000-0005-0000-0000-00002E2F0000}"/>
    <cellStyle name="Normal 2 2 3 10 3" xfId="1888" xr:uid="{00000000-0005-0000-0000-00002F2F0000}"/>
    <cellStyle name="Normal 2 2 3 10 3 2" xfId="6370" xr:uid="{00000000-0005-0000-0000-0000302F0000}"/>
    <cellStyle name="Normal 2 2 3 10 3 2 2" xfId="15400" xr:uid="{00000000-0005-0000-0000-0000312F0000}"/>
    <cellStyle name="Normal 2 2 3 10 3 2 2 2" xfId="35452" xr:uid="{00000000-0005-0000-0000-0000322F0000}"/>
    <cellStyle name="Normal 2 2 3 10 3 2 3" xfId="26422" xr:uid="{00000000-0005-0000-0000-0000332F0000}"/>
    <cellStyle name="Normal 2 2 3 10 3 3" xfId="10918" xr:uid="{00000000-0005-0000-0000-0000342F0000}"/>
    <cellStyle name="Normal 2 2 3 10 3 3 2" xfId="30970" xr:uid="{00000000-0005-0000-0000-0000352F0000}"/>
    <cellStyle name="Normal 2 2 3 10 3 4" xfId="21940" xr:uid="{00000000-0005-0000-0000-0000362F0000}"/>
    <cellStyle name="Normal 2 2 3 10 4" xfId="3382" xr:uid="{00000000-0005-0000-0000-0000372F0000}"/>
    <cellStyle name="Normal 2 2 3 10 4 2" xfId="7864" xr:uid="{00000000-0005-0000-0000-0000382F0000}"/>
    <cellStyle name="Normal 2 2 3 10 4 2 2" xfId="16894" xr:uid="{00000000-0005-0000-0000-0000392F0000}"/>
    <cellStyle name="Normal 2 2 3 10 4 2 2 2" xfId="36946" xr:uid="{00000000-0005-0000-0000-00003A2F0000}"/>
    <cellStyle name="Normal 2 2 3 10 4 2 3" xfId="27916" xr:uid="{00000000-0005-0000-0000-00003B2F0000}"/>
    <cellStyle name="Normal 2 2 3 10 4 3" xfId="12412" xr:uid="{00000000-0005-0000-0000-00003C2F0000}"/>
    <cellStyle name="Normal 2 2 3 10 4 3 2" xfId="32464" xr:uid="{00000000-0005-0000-0000-00003D2F0000}"/>
    <cellStyle name="Normal 2 2 3 10 4 4" xfId="23434" xr:uid="{00000000-0005-0000-0000-00003E2F0000}"/>
    <cellStyle name="Normal 2 2 3 10 5" xfId="4876" xr:uid="{00000000-0005-0000-0000-00003F2F0000}"/>
    <cellStyle name="Normal 2 2 3 10 5 2" xfId="13906" xr:uid="{00000000-0005-0000-0000-0000402F0000}"/>
    <cellStyle name="Normal 2 2 3 10 5 2 2" xfId="33958" xr:uid="{00000000-0005-0000-0000-0000412F0000}"/>
    <cellStyle name="Normal 2 2 3 10 5 3" xfId="24928" xr:uid="{00000000-0005-0000-0000-0000422F0000}"/>
    <cellStyle name="Normal 2 2 3 10 6" xfId="9424" xr:uid="{00000000-0005-0000-0000-0000432F0000}"/>
    <cellStyle name="Normal 2 2 3 10 6 2" xfId="29476" xr:uid="{00000000-0005-0000-0000-0000442F0000}"/>
    <cellStyle name="Normal 2 2 3 10 7" xfId="20446" xr:uid="{00000000-0005-0000-0000-0000452F0000}"/>
    <cellStyle name="Normal 2 2 3 11" xfId="580" xr:uid="{00000000-0005-0000-0000-0000462F0000}"/>
    <cellStyle name="Normal 2 2 3 11 2" xfId="1327" xr:uid="{00000000-0005-0000-0000-0000472F0000}"/>
    <cellStyle name="Normal 2 2 3 11 2 2" xfId="2821" xr:uid="{00000000-0005-0000-0000-0000482F0000}"/>
    <cellStyle name="Normal 2 2 3 11 2 2 2" xfId="7303" xr:uid="{00000000-0005-0000-0000-0000492F0000}"/>
    <cellStyle name="Normal 2 2 3 11 2 2 2 2" xfId="16333" xr:uid="{00000000-0005-0000-0000-00004A2F0000}"/>
    <cellStyle name="Normal 2 2 3 11 2 2 2 2 2" xfId="36385" xr:uid="{00000000-0005-0000-0000-00004B2F0000}"/>
    <cellStyle name="Normal 2 2 3 11 2 2 2 3" xfId="27355" xr:uid="{00000000-0005-0000-0000-00004C2F0000}"/>
    <cellStyle name="Normal 2 2 3 11 2 2 3" xfId="11851" xr:uid="{00000000-0005-0000-0000-00004D2F0000}"/>
    <cellStyle name="Normal 2 2 3 11 2 2 3 2" xfId="31903" xr:uid="{00000000-0005-0000-0000-00004E2F0000}"/>
    <cellStyle name="Normal 2 2 3 11 2 2 4" xfId="22873" xr:uid="{00000000-0005-0000-0000-00004F2F0000}"/>
    <cellStyle name="Normal 2 2 3 11 2 3" xfId="4315" xr:uid="{00000000-0005-0000-0000-0000502F0000}"/>
    <cellStyle name="Normal 2 2 3 11 2 3 2" xfId="8797" xr:uid="{00000000-0005-0000-0000-0000512F0000}"/>
    <cellStyle name="Normal 2 2 3 11 2 3 2 2" xfId="17827" xr:uid="{00000000-0005-0000-0000-0000522F0000}"/>
    <cellStyle name="Normal 2 2 3 11 2 3 2 2 2" xfId="37879" xr:uid="{00000000-0005-0000-0000-0000532F0000}"/>
    <cellStyle name="Normal 2 2 3 11 2 3 2 3" xfId="28849" xr:uid="{00000000-0005-0000-0000-0000542F0000}"/>
    <cellStyle name="Normal 2 2 3 11 2 3 3" xfId="13345" xr:uid="{00000000-0005-0000-0000-0000552F0000}"/>
    <cellStyle name="Normal 2 2 3 11 2 3 3 2" xfId="33397" xr:uid="{00000000-0005-0000-0000-0000562F0000}"/>
    <cellStyle name="Normal 2 2 3 11 2 3 4" xfId="24367" xr:uid="{00000000-0005-0000-0000-0000572F0000}"/>
    <cellStyle name="Normal 2 2 3 11 2 4" xfId="5809" xr:uid="{00000000-0005-0000-0000-0000582F0000}"/>
    <cellStyle name="Normal 2 2 3 11 2 4 2" xfId="14839" xr:uid="{00000000-0005-0000-0000-0000592F0000}"/>
    <cellStyle name="Normal 2 2 3 11 2 4 2 2" xfId="34891" xr:uid="{00000000-0005-0000-0000-00005A2F0000}"/>
    <cellStyle name="Normal 2 2 3 11 2 4 3" xfId="25861" xr:uid="{00000000-0005-0000-0000-00005B2F0000}"/>
    <cellStyle name="Normal 2 2 3 11 2 5" xfId="10357" xr:uid="{00000000-0005-0000-0000-00005C2F0000}"/>
    <cellStyle name="Normal 2 2 3 11 2 5 2" xfId="30409" xr:uid="{00000000-0005-0000-0000-00005D2F0000}"/>
    <cellStyle name="Normal 2 2 3 11 2 6" xfId="21379" xr:uid="{00000000-0005-0000-0000-00005E2F0000}"/>
    <cellStyle name="Normal 2 2 3 11 3" xfId="2074" xr:uid="{00000000-0005-0000-0000-00005F2F0000}"/>
    <cellStyle name="Normal 2 2 3 11 3 2" xfId="6556" xr:uid="{00000000-0005-0000-0000-0000602F0000}"/>
    <cellStyle name="Normal 2 2 3 11 3 2 2" xfId="15586" xr:uid="{00000000-0005-0000-0000-0000612F0000}"/>
    <cellStyle name="Normal 2 2 3 11 3 2 2 2" xfId="35638" xr:uid="{00000000-0005-0000-0000-0000622F0000}"/>
    <cellStyle name="Normal 2 2 3 11 3 2 3" xfId="26608" xr:uid="{00000000-0005-0000-0000-0000632F0000}"/>
    <cellStyle name="Normal 2 2 3 11 3 3" xfId="11104" xr:uid="{00000000-0005-0000-0000-0000642F0000}"/>
    <cellStyle name="Normal 2 2 3 11 3 3 2" xfId="31156" xr:uid="{00000000-0005-0000-0000-0000652F0000}"/>
    <cellStyle name="Normal 2 2 3 11 3 4" xfId="22126" xr:uid="{00000000-0005-0000-0000-0000662F0000}"/>
    <cellStyle name="Normal 2 2 3 11 4" xfId="3568" xr:uid="{00000000-0005-0000-0000-0000672F0000}"/>
    <cellStyle name="Normal 2 2 3 11 4 2" xfId="8050" xr:uid="{00000000-0005-0000-0000-0000682F0000}"/>
    <cellStyle name="Normal 2 2 3 11 4 2 2" xfId="17080" xr:uid="{00000000-0005-0000-0000-0000692F0000}"/>
    <cellStyle name="Normal 2 2 3 11 4 2 2 2" xfId="37132" xr:uid="{00000000-0005-0000-0000-00006A2F0000}"/>
    <cellStyle name="Normal 2 2 3 11 4 2 3" xfId="28102" xr:uid="{00000000-0005-0000-0000-00006B2F0000}"/>
    <cellStyle name="Normal 2 2 3 11 4 3" xfId="12598" xr:uid="{00000000-0005-0000-0000-00006C2F0000}"/>
    <cellStyle name="Normal 2 2 3 11 4 3 2" xfId="32650" xr:uid="{00000000-0005-0000-0000-00006D2F0000}"/>
    <cellStyle name="Normal 2 2 3 11 4 4" xfId="23620" xr:uid="{00000000-0005-0000-0000-00006E2F0000}"/>
    <cellStyle name="Normal 2 2 3 11 5" xfId="5062" xr:uid="{00000000-0005-0000-0000-00006F2F0000}"/>
    <cellStyle name="Normal 2 2 3 11 5 2" xfId="14092" xr:uid="{00000000-0005-0000-0000-0000702F0000}"/>
    <cellStyle name="Normal 2 2 3 11 5 2 2" xfId="34144" xr:uid="{00000000-0005-0000-0000-0000712F0000}"/>
    <cellStyle name="Normal 2 2 3 11 5 3" xfId="25114" xr:uid="{00000000-0005-0000-0000-0000722F0000}"/>
    <cellStyle name="Normal 2 2 3 11 6" xfId="9610" xr:uid="{00000000-0005-0000-0000-0000732F0000}"/>
    <cellStyle name="Normal 2 2 3 11 6 2" xfId="29662" xr:uid="{00000000-0005-0000-0000-0000742F0000}"/>
    <cellStyle name="Normal 2 2 3 11 7" xfId="20632" xr:uid="{00000000-0005-0000-0000-0000752F0000}"/>
    <cellStyle name="Normal 2 2 3 12" xfId="767" xr:uid="{00000000-0005-0000-0000-0000762F0000}"/>
    <cellStyle name="Normal 2 2 3 12 2" xfId="2261" xr:uid="{00000000-0005-0000-0000-0000772F0000}"/>
    <cellStyle name="Normal 2 2 3 12 2 2" xfId="6743" xr:uid="{00000000-0005-0000-0000-0000782F0000}"/>
    <cellStyle name="Normal 2 2 3 12 2 2 2" xfId="15773" xr:uid="{00000000-0005-0000-0000-0000792F0000}"/>
    <cellStyle name="Normal 2 2 3 12 2 2 2 2" xfId="35825" xr:uid="{00000000-0005-0000-0000-00007A2F0000}"/>
    <cellStyle name="Normal 2 2 3 12 2 2 3" xfId="26795" xr:uid="{00000000-0005-0000-0000-00007B2F0000}"/>
    <cellStyle name="Normal 2 2 3 12 2 3" xfId="11291" xr:uid="{00000000-0005-0000-0000-00007C2F0000}"/>
    <cellStyle name="Normal 2 2 3 12 2 3 2" xfId="31343" xr:uid="{00000000-0005-0000-0000-00007D2F0000}"/>
    <cellStyle name="Normal 2 2 3 12 2 4" xfId="22313" xr:uid="{00000000-0005-0000-0000-00007E2F0000}"/>
    <cellStyle name="Normal 2 2 3 12 3" xfId="3755" xr:uid="{00000000-0005-0000-0000-00007F2F0000}"/>
    <cellStyle name="Normal 2 2 3 12 3 2" xfId="8237" xr:uid="{00000000-0005-0000-0000-0000802F0000}"/>
    <cellStyle name="Normal 2 2 3 12 3 2 2" xfId="17267" xr:uid="{00000000-0005-0000-0000-0000812F0000}"/>
    <cellStyle name="Normal 2 2 3 12 3 2 2 2" xfId="37319" xr:uid="{00000000-0005-0000-0000-0000822F0000}"/>
    <cellStyle name="Normal 2 2 3 12 3 2 3" xfId="28289" xr:uid="{00000000-0005-0000-0000-0000832F0000}"/>
    <cellStyle name="Normal 2 2 3 12 3 3" xfId="12785" xr:uid="{00000000-0005-0000-0000-0000842F0000}"/>
    <cellStyle name="Normal 2 2 3 12 3 3 2" xfId="32837" xr:uid="{00000000-0005-0000-0000-0000852F0000}"/>
    <cellStyle name="Normal 2 2 3 12 3 4" xfId="23807" xr:uid="{00000000-0005-0000-0000-0000862F0000}"/>
    <cellStyle name="Normal 2 2 3 12 4" xfId="5249" xr:uid="{00000000-0005-0000-0000-0000872F0000}"/>
    <cellStyle name="Normal 2 2 3 12 4 2" xfId="14279" xr:uid="{00000000-0005-0000-0000-0000882F0000}"/>
    <cellStyle name="Normal 2 2 3 12 4 2 2" xfId="34331" xr:uid="{00000000-0005-0000-0000-0000892F0000}"/>
    <cellStyle name="Normal 2 2 3 12 4 3" xfId="25301" xr:uid="{00000000-0005-0000-0000-00008A2F0000}"/>
    <cellStyle name="Normal 2 2 3 12 5" xfId="9797" xr:uid="{00000000-0005-0000-0000-00008B2F0000}"/>
    <cellStyle name="Normal 2 2 3 12 5 2" xfId="29849" xr:uid="{00000000-0005-0000-0000-00008C2F0000}"/>
    <cellStyle name="Normal 2 2 3 12 6" xfId="20819" xr:uid="{00000000-0005-0000-0000-00008D2F0000}"/>
    <cellStyle name="Normal 2 2 3 13" xfId="1516" xr:uid="{00000000-0005-0000-0000-00008E2F0000}"/>
    <cellStyle name="Normal 2 2 3 13 2" xfId="5998" xr:uid="{00000000-0005-0000-0000-00008F2F0000}"/>
    <cellStyle name="Normal 2 2 3 13 2 2" xfId="15028" xr:uid="{00000000-0005-0000-0000-0000902F0000}"/>
    <cellStyle name="Normal 2 2 3 13 2 2 2" xfId="35080" xr:uid="{00000000-0005-0000-0000-0000912F0000}"/>
    <cellStyle name="Normal 2 2 3 13 2 3" xfId="26050" xr:uid="{00000000-0005-0000-0000-0000922F0000}"/>
    <cellStyle name="Normal 2 2 3 13 3" xfId="10546" xr:uid="{00000000-0005-0000-0000-0000932F0000}"/>
    <cellStyle name="Normal 2 2 3 13 3 2" xfId="30598" xr:uid="{00000000-0005-0000-0000-0000942F0000}"/>
    <cellStyle name="Normal 2 2 3 13 4" xfId="21568" xr:uid="{00000000-0005-0000-0000-0000952F0000}"/>
    <cellStyle name="Normal 2 2 3 14" xfId="3010" xr:uid="{00000000-0005-0000-0000-0000962F0000}"/>
    <cellStyle name="Normal 2 2 3 14 2" xfId="7492" xr:uid="{00000000-0005-0000-0000-0000972F0000}"/>
    <cellStyle name="Normal 2 2 3 14 2 2" xfId="16522" xr:uid="{00000000-0005-0000-0000-0000982F0000}"/>
    <cellStyle name="Normal 2 2 3 14 2 2 2" xfId="36574" xr:uid="{00000000-0005-0000-0000-0000992F0000}"/>
    <cellStyle name="Normal 2 2 3 14 2 3" xfId="27544" xr:uid="{00000000-0005-0000-0000-00009A2F0000}"/>
    <cellStyle name="Normal 2 2 3 14 3" xfId="12040" xr:uid="{00000000-0005-0000-0000-00009B2F0000}"/>
    <cellStyle name="Normal 2 2 3 14 3 2" xfId="32092" xr:uid="{00000000-0005-0000-0000-00009C2F0000}"/>
    <cellStyle name="Normal 2 2 3 14 4" xfId="23062" xr:uid="{00000000-0005-0000-0000-00009D2F0000}"/>
    <cellStyle name="Normal 2 2 3 15" xfId="4504" xr:uid="{00000000-0005-0000-0000-00009E2F0000}"/>
    <cellStyle name="Normal 2 2 3 15 2" xfId="13534" xr:uid="{00000000-0005-0000-0000-00009F2F0000}"/>
    <cellStyle name="Normal 2 2 3 15 2 2" xfId="33586" xr:uid="{00000000-0005-0000-0000-0000A02F0000}"/>
    <cellStyle name="Normal 2 2 3 15 3" xfId="24556" xr:uid="{00000000-0005-0000-0000-0000A12F0000}"/>
    <cellStyle name="Normal 2 2 3 16" xfId="9052" xr:uid="{00000000-0005-0000-0000-0000A22F0000}"/>
    <cellStyle name="Normal 2 2 3 16 2" xfId="29104" xr:uid="{00000000-0005-0000-0000-0000A32F0000}"/>
    <cellStyle name="Normal 2 2 3 17" xfId="20074" xr:uid="{00000000-0005-0000-0000-0000A42F0000}"/>
    <cellStyle name="Normal 2 2 3 2" xfId="45" xr:uid="{00000000-0005-0000-0000-0000A52F0000}"/>
    <cellStyle name="Normal 2 2 3 2 10" xfId="20097" xr:uid="{00000000-0005-0000-0000-0000A62F0000}"/>
    <cellStyle name="Normal 2 2 3 2 2" xfId="231" xr:uid="{00000000-0005-0000-0000-0000A72F0000}"/>
    <cellStyle name="Normal 2 2 3 2 2 2" xfId="976" xr:uid="{00000000-0005-0000-0000-0000A82F0000}"/>
    <cellStyle name="Normal 2 2 3 2 2 2 2" xfId="2470" xr:uid="{00000000-0005-0000-0000-0000A92F0000}"/>
    <cellStyle name="Normal 2 2 3 2 2 2 2 2" xfId="6952" xr:uid="{00000000-0005-0000-0000-0000AA2F0000}"/>
    <cellStyle name="Normal 2 2 3 2 2 2 2 2 2" xfId="15982" xr:uid="{00000000-0005-0000-0000-0000AB2F0000}"/>
    <cellStyle name="Normal 2 2 3 2 2 2 2 2 2 2" xfId="36034" xr:uid="{00000000-0005-0000-0000-0000AC2F0000}"/>
    <cellStyle name="Normal 2 2 3 2 2 2 2 2 3" xfId="27004" xr:uid="{00000000-0005-0000-0000-0000AD2F0000}"/>
    <cellStyle name="Normal 2 2 3 2 2 2 2 3" xfId="11500" xr:uid="{00000000-0005-0000-0000-0000AE2F0000}"/>
    <cellStyle name="Normal 2 2 3 2 2 2 2 3 2" xfId="31552" xr:uid="{00000000-0005-0000-0000-0000AF2F0000}"/>
    <cellStyle name="Normal 2 2 3 2 2 2 2 4" xfId="22522" xr:uid="{00000000-0005-0000-0000-0000B02F0000}"/>
    <cellStyle name="Normal 2 2 3 2 2 2 3" xfId="3964" xr:uid="{00000000-0005-0000-0000-0000B12F0000}"/>
    <cellStyle name="Normal 2 2 3 2 2 2 3 2" xfId="8446" xr:uid="{00000000-0005-0000-0000-0000B22F0000}"/>
    <cellStyle name="Normal 2 2 3 2 2 2 3 2 2" xfId="17476" xr:uid="{00000000-0005-0000-0000-0000B32F0000}"/>
    <cellStyle name="Normal 2 2 3 2 2 2 3 2 2 2" xfId="37528" xr:uid="{00000000-0005-0000-0000-0000B42F0000}"/>
    <cellStyle name="Normal 2 2 3 2 2 2 3 2 3" xfId="28498" xr:uid="{00000000-0005-0000-0000-0000B52F0000}"/>
    <cellStyle name="Normal 2 2 3 2 2 2 3 3" xfId="12994" xr:uid="{00000000-0005-0000-0000-0000B62F0000}"/>
    <cellStyle name="Normal 2 2 3 2 2 2 3 3 2" xfId="33046" xr:uid="{00000000-0005-0000-0000-0000B72F0000}"/>
    <cellStyle name="Normal 2 2 3 2 2 2 3 4" xfId="24016" xr:uid="{00000000-0005-0000-0000-0000B82F0000}"/>
    <cellStyle name="Normal 2 2 3 2 2 2 4" xfId="5458" xr:uid="{00000000-0005-0000-0000-0000B92F0000}"/>
    <cellStyle name="Normal 2 2 3 2 2 2 4 2" xfId="14488" xr:uid="{00000000-0005-0000-0000-0000BA2F0000}"/>
    <cellStyle name="Normal 2 2 3 2 2 2 4 2 2" xfId="34540" xr:uid="{00000000-0005-0000-0000-0000BB2F0000}"/>
    <cellStyle name="Normal 2 2 3 2 2 2 4 3" xfId="25510" xr:uid="{00000000-0005-0000-0000-0000BC2F0000}"/>
    <cellStyle name="Normal 2 2 3 2 2 2 5" xfId="10006" xr:uid="{00000000-0005-0000-0000-0000BD2F0000}"/>
    <cellStyle name="Normal 2 2 3 2 2 2 5 2" xfId="30058" xr:uid="{00000000-0005-0000-0000-0000BE2F0000}"/>
    <cellStyle name="Normal 2 2 3 2 2 2 6" xfId="21028" xr:uid="{00000000-0005-0000-0000-0000BF2F0000}"/>
    <cellStyle name="Normal 2 2 3 2 2 3" xfId="1725" xr:uid="{00000000-0005-0000-0000-0000C02F0000}"/>
    <cellStyle name="Normal 2 2 3 2 2 3 2" xfId="6207" xr:uid="{00000000-0005-0000-0000-0000C12F0000}"/>
    <cellStyle name="Normal 2 2 3 2 2 3 2 2" xfId="15237" xr:uid="{00000000-0005-0000-0000-0000C22F0000}"/>
    <cellStyle name="Normal 2 2 3 2 2 3 2 2 2" xfId="35289" xr:uid="{00000000-0005-0000-0000-0000C32F0000}"/>
    <cellStyle name="Normal 2 2 3 2 2 3 2 3" xfId="26259" xr:uid="{00000000-0005-0000-0000-0000C42F0000}"/>
    <cellStyle name="Normal 2 2 3 2 2 3 3" xfId="10755" xr:uid="{00000000-0005-0000-0000-0000C52F0000}"/>
    <cellStyle name="Normal 2 2 3 2 2 3 3 2" xfId="30807" xr:uid="{00000000-0005-0000-0000-0000C62F0000}"/>
    <cellStyle name="Normal 2 2 3 2 2 3 4" xfId="21777" xr:uid="{00000000-0005-0000-0000-0000C72F0000}"/>
    <cellStyle name="Normal 2 2 3 2 2 4" xfId="3219" xr:uid="{00000000-0005-0000-0000-0000C82F0000}"/>
    <cellStyle name="Normal 2 2 3 2 2 4 2" xfId="7701" xr:uid="{00000000-0005-0000-0000-0000C92F0000}"/>
    <cellStyle name="Normal 2 2 3 2 2 4 2 2" xfId="16731" xr:uid="{00000000-0005-0000-0000-0000CA2F0000}"/>
    <cellStyle name="Normal 2 2 3 2 2 4 2 2 2" xfId="36783" xr:uid="{00000000-0005-0000-0000-0000CB2F0000}"/>
    <cellStyle name="Normal 2 2 3 2 2 4 2 3" xfId="27753" xr:uid="{00000000-0005-0000-0000-0000CC2F0000}"/>
    <cellStyle name="Normal 2 2 3 2 2 4 3" xfId="12249" xr:uid="{00000000-0005-0000-0000-0000CD2F0000}"/>
    <cellStyle name="Normal 2 2 3 2 2 4 3 2" xfId="32301" xr:uid="{00000000-0005-0000-0000-0000CE2F0000}"/>
    <cellStyle name="Normal 2 2 3 2 2 4 4" xfId="23271" xr:uid="{00000000-0005-0000-0000-0000CF2F0000}"/>
    <cellStyle name="Normal 2 2 3 2 2 5" xfId="4713" xr:uid="{00000000-0005-0000-0000-0000D02F0000}"/>
    <cellStyle name="Normal 2 2 3 2 2 5 2" xfId="13743" xr:uid="{00000000-0005-0000-0000-0000D12F0000}"/>
    <cellStyle name="Normal 2 2 3 2 2 5 2 2" xfId="33795" xr:uid="{00000000-0005-0000-0000-0000D22F0000}"/>
    <cellStyle name="Normal 2 2 3 2 2 5 3" xfId="24765" xr:uid="{00000000-0005-0000-0000-0000D32F0000}"/>
    <cellStyle name="Normal 2 2 3 2 2 6" xfId="9261" xr:uid="{00000000-0005-0000-0000-0000D42F0000}"/>
    <cellStyle name="Normal 2 2 3 2 2 6 2" xfId="29313" xr:uid="{00000000-0005-0000-0000-0000D52F0000}"/>
    <cellStyle name="Normal 2 2 3 2 2 7" xfId="20283" xr:uid="{00000000-0005-0000-0000-0000D62F0000}"/>
    <cellStyle name="Normal 2 2 3 2 3" xfId="417" xr:uid="{00000000-0005-0000-0000-0000D72F0000}"/>
    <cellStyle name="Normal 2 2 3 2 3 2" xfId="1164" xr:uid="{00000000-0005-0000-0000-0000D82F0000}"/>
    <cellStyle name="Normal 2 2 3 2 3 2 2" xfId="2658" xr:uid="{00000000-0005-0000-0000-0000D92F0000}"/>
    <cellStyle name="Normal 2 2 3 2 3 2 2 2" xfId="7140" xr:uid="{00000000-0005-0000-0000-0000DA2F0000}"/>
    <cellStyle name="Normal 2 2 3 2 3 2 2 2 2" xfId="16170" xr:uid="{00000000-0005-0000-0000-0000DB2F0000}"/>
    <cellStyle name="Normal 2 2 3 2 3 2 2 2 2 2" xfId="36222" xr:uid="{00000000-0005-0000-0000-0000DC2F0000}"/>
    <cellStyle name="Normal 2 2 3 2 3 2 2 2 3" xfId="27192" xr:uid="{00000000-0005-0000-0000-0000DD2F0000}"/>
    <cellStyle name="Normal 2 2 3 2 3 2 2 3" xfId="11688" xr:uid="{00000000-0005-0000-0000-0000DE2F0000}"/>
    <cellStyle name="Normal 2 2 3 2 3 2 2 3 2" xfId="31740" xr:uid="{00000000-0005-0000-0000-0000DF2F0000}"/>
    <cellStyle name="Normal 2 2 3 2 3 2 2 4" xfId="22710" xr:uid="{00000000-0005-0000-0000-0000E02F0000}"/>
    <cellStyle name="Normal 2 2 3 2 3 2 3" xfId="4152" xr:uid="{00000000-0005-0000-0000-0000E12F0000}"/>
    <cellStyle name="Normal 2 2 3 2 3 2 3 2" xfId="8634" xr:uid="{00000000-0005-0000-0000-0000E22F0000}"/>
    <cellStyle name="Normal 2 2 3 2 3 2 3 2 2" xfId="17664" xr:uid="{00000000-0005-0000-0000-0000E32F0000}"/>
    <cellStyle name="Normal 2 2 3 2 3 2 3 2 2 2" xfId="37716" xr:uid="{00000000-0005-0000-0000-0000E42F0000}"/>
    <cellStyle name="Normal 2 2 3 2 3 2 3 2 3" xfId="28686" xr:uid="{00000000-0005-0000-0000-0000E52F0000}"/>
    <cellStyle name="Normal 2 2 3 2 3 2 3 3" xfId="13182" xr:uid="{00000000-0005-0000-0000-0000E62F0000}"/>
    <cellStyle name="Normal 2 2 3 2 3 2 3 3 2" xfId="33234" xr:uid="{00000000-0005-0000-0000-0000E72F0000}"/>
    <cellStyle name="Normal 2 2 3 2 3 2 3 4" xfId="24204" xr:uid="{00000000-0005-0000-0000-0000E82F0000}"/>
    <cellStyle name="Normal 2 2 3 2 3 2 4" xfId="5646" xr:uid="{00000000-0005-0000-0000-0000E92F0000}"/>
    <cellStyle name="Normal 2 2 3 2 3 2 4 2" xfId="14676" xr:uid="{00000000-0005-0000-0000-0000EA2F0000}"/>
    <cellStyle name="Normal 2 2 3 2 3 2 4 2 2" xfId="34728" xr:uid="{00000000-0005-0000-0000-0000EB2F0000}"/>
    <cellStyle name="Normal 2 2 3 2 3 2 4 3" xfId="25698" xr:uid="{00000000-0005-0000-0000-0000EC2F0000}"/>
    <cellStyle name="Normal 2 2 3 2 3 2 5" xfId="10194" xr:uid="{00000000-0005-0000-0000-0000ED2F0000}"/>
    <cellStyle name="Normal 2 2 3 2 3 2 5 2" xfId="30246" xr:uid="{00000000-0005-0000-0000-0000EE2F0000}"/>
    <cellStyle name="Normal 2 2 3 2 3 2 6" xfId="21216" xr:uid="{00000000-0005-0000-0000-0000EF2F0000}"/>
    <cellStyle name="Normal 2 2 3 2 3 3" xfId="1911" xr:uid="{00000000-0005-0000-0000-0000F02F0000}"/>
    <cellStyle name="Normal 2 2 3 2 3 3 2" xfId="6393" xr:uid="{00000000-0005-0000-0000-0000F12F0000}"/>
    <cellStyle name="Normal 2 2 3 2 3 3 2 2" xfId="15423" xr:uid="{00000000-0005-0000-0000-0000F22F0000}"/>
    <cellStyle name="Normal 2 2 3 2 3 3 2 2 2" xfId="35475" xr:uid="{00000000-0005-0000-0000-0000F32F0000}"/>
    <cellStyle name="Normal 2 2 3 2 3 3 2 3" xfId="26445" xr:uid="{00000000-0005-0000-0000-0000F42F0000}"/>
    <cellStyle name="Normal 2 2 3 2 3 3 3" xfId="10941" xr:uid="{00000000-0005-0000-0000-0000F52F0000}"/>
    <cellStyle name="Normal 2 2 3 2 3 3 3 2" xfId="30993" xr:uid="{00000000-0005-0000-0000-0000F62F0000}"/>
    <cellStyle name="Normal 2 2 3 2 3 3 4" xfId="21963" xr:uid="{00000000-0005-0000-0000-0000F72F0000}"/>
    <cellStyle name="Normal 2 2 3 2 3 4" xfId="3405" xr:uid="{00000000-0005-0000-0000-0000F82F0000}"/>
    <cellStyle name="Normal 2 2 3 2 3 4 2" xfId="7887" xr:uid="{00000000-0005-0000-0000-0000F92F0000}"/>
    <cellStyle name="Normal 2 2 3 2 3 4 2 2" xfId="16917" xr:uid="{00000000-0005-0000-0000-0000FA2F0000}"/>
    <cellStyle name="Normal 2 2 3 2 3 4 2 2 2" xfId="36969" xr:uid="{00000000-0005-0000-0000-0000FB2F0000}"/>
    <cellStyle name="Normal 2 2 3 2 3 4 2 3" xfId="27939" xr:uid="{00000000-0005-0000-0000-0000FC2F0000}"/>
    <cellStyle name="Normal 2 2 3 2 3 4 3" xfId="12435" xr:uid="{00000000-0005-0000-0000-0000FD2F0000}"/>
    <cellStyle name="Normal 2 2 3 2 3 4 3 2" xfId="32487" xr:uid="{00000000-0005-0000-0000-0000FE2F0000}"/>
    <cellStyle name="Normal 2 2 3 2 3 4 4" xfId="23457" xr:uid="{00000000-0005-0000-0000-0000FF2F0000}"/>
    <cellStyle name="Normal 2 2 3 2 3 5" xfId="4899" xr:uid="{00000000-0005-0000-0000-000000300000}"/>
    <cellStyle name="Normal 2 2 3 2 3 5 2" xfId="13929" xr:uid="{00000000-0005-0000-0000-000001300000}"/>
    <cellStyle name="Normal 2 2 3 2 3 5 2 2" xfId="33981" xr:uid="{00000000-0005-0000-0000-000002300000}"/>
    <cellStyle name="Normal 2 2 3 2 3 5 3" xfId="24951" xr:uid="{00000000-0005-0000-0000-000003300000}"/>
    <cellStyle name="Normal 2 2 3 2 3 6" xfId="9447" xr:uid="{00000000-0005-0000-0000-000004300000}"/>
    <cellStyle name="Normal 2 2 3 2 3 6 2" xfId="29499" xr:uid="{00000000-0005-0000-0000-000005300000}"/>
    <cellStyle name="Normal 2 2 3 2 3 7" xfId="20469" xr:uid="{00000000-0005-0000-0000-000006300000}"/>
    <cellStyle name="Normal 2 2 3 2 4" xfId="603" xr:uid="{00000000-0005-0000-0000-000007300000}"/>
    <cellStyle name="Normal 2 2 3 2 4 2" xfId="1350" xr:uid="{00000000-0005-0000-0000-000008300000}"/>
    <cellStyle name="Normal 2 2 3 2 4 2 2" xfId="2844" xr:uid="{00000000-0005-0000-0000-000009300000}"/>
    <cellStyle name="Normal 2 2 3 2 4 2 2 2" xfId="7326" xr:uid="{00000000-0005-0000-0000-00000A300000}"/>
    <cellStyle name="Normal 2 2 3 2 4 2 2 2 2" xfId="16356" xr:uid="{00000000-0005-0000-0000-00000B300000}"/>
    <cellStyle name="Normal 2 2 3 2 4 2 2 2 2 2" xfId="36408" xr:uid="{00000000-0005-0000-0000-00000C300000}"/>
    <cellStyle name="Normal 2 2 3 2 4 2 2 2 3" xfId="27378" xr:uid="{00000000-0005-0000-0000-00000D300000}"/>
    <cellStyle name="Normal 2 2 3 2 4 2 2 3" xfId="11874" xr:uid="{00000000-0005-0000-0000-00000E300000}"/>
    <cellStyle name="Normal 2 2 3 2 4 2 2 3 2" xfId="31926" xr:uid="{00000000-0005-0000-0000-00000F300000}"/>
    <cellStyle name="Normal 2 2 3 2 4 2 2 4" xfId="22896" xr:uid="{00000000-0005-0000-0000-000010300000}"/>
    <cellStyle name="Normal 2 2 3 2 4 2 3" xfId="4338" xr:uid="{00000000-0005-0000-0000-000011300000}"/>
    <cellStyle name="Normal 2 2 3 2 4 2 3 2" xfId="8820" xr:uid="{00000000-0005-0000-0000-000012300000}"/>
    <cellStyle name="Normal 2 2 3 2 4 2 3 2 2" xfId="17850" xr:uid="{00000000-0005-0000-0000-000013300000}"/>
    <cellStyle name="Normal 2 2 3 2 4 2 3 2 2 2" xfId="37902" xr:uid="{00000000-0005-0000-0000-000014300000}"/>
    <cellStyle name="Normal 2 2 3 2 4 2 3 2 3" xfId="28872" xr:uid="{00000000-0005-0000-0000-000015300000}"/>
    <cellStyle name="Normal 2 2 3 2 4 2 3 3" xfId="13368" xr:uid="{00000000-0005-0000-0000-000016300000}"/>
    <cellStyle name="Normal 2 2 3 2 4 2 3 3 2" xfId="33420" xr:uid="{00000000-0005-0000-0000-000017300000}"/>
    <cellStyle name="Normal 2 2 3 2 4 2 3 4" xfId="24390" xr:uid="{00000000-0005-0000-0000-000018300000}"/>
    <cellStyle name="Normal 2 2 3 2 4 2 4" xfId="5832" xr:uid="{00000000-0005-0000-0000-000019300000}"/>
    <cellStyle name="Normal 2 2 3 2 4 2 4 2" xfId="14862" xr:uid="{00000000-0005-0000-0000-00001A300000}"/>
    <cellStyle name="Normal 2 2 3 2 4 2 4 2 2" xfId="34914" xr:uid="{00000000-0005-0000-0000-00001B300000}"/>
    <cellStyle name="Normal 2 2 3 2 4 2 4 3" xfId="25884" xr:uid="{00000000-0005-0000-0000-00001C300000}"/>
    <cellStyle name="Normal 2 2 3 2 4 2 5" xfId="10380" xr:uid="{00000000-0005-0000-0000-00001D300000}"/>
    <cellStyle name="Normal 2 2 3 2 4 2 5 2" xfId="30432" xr:uid="{00000000-0005-0000-0000-00001E300000}"/>
    <cellStyle name="Normal 2 2 3 2 4 2 6" xfId="21402" xr:uid="{00000000-0005-0000-0000-00001F300000}"/>
    <cellStyle name="Normal 2 2 3 2 4 3" xfId="2097" xr:uid="{00000000-0005-0000-0000-000020300000}"/>
    <cellStyle name="Normal 2 2 3 2 4 3 2" xfId="6579" xr:uid="{00000000-0005-0000-0000-000021300000}"/>
    <cellStyle name="Normal 2 2 3 2 4 3 2 2" xfId="15609" xr:uid="{00000000-0005-0000-0000-000022300000}"/>
    <cellStyle name="Normal 2 2 3 2 4 3 2 2 2" xfId="35661" xr:uid="{00000000-0005-0000-0000-000023300000}"/>
    <cellStyle name="Normal 2 2 3 2 4 3 2 3" xfId="26631" xr:uid="{00000000-0005-0000-0000-000024300000}"/>
    <cellStyle name="Normal 2 2 3 2 4 3 3" xfId="11127" xr:uid="{00000000-0005-0000-0000-000025300000}"/>
    <cellStyle name="Normal 2 2 3 2 4 3 3 2" xfId="31179" xr:uid="{00000000-0005-0000-0000-000026300000}"/>
    <cellStyle name="Normal 2 2 3 2 4 3 4" xfId="22149" xr:uid="{00000000-0005-0000-0000-000027300000}"/>
    <cellStyle name="Normal 2 2 3 2 4 4" xfId="3591" xr:uid="{00000000-0005-0000-0000-000028300000}"/>
    <cellStyle name="Normal 2 2 3 2 4 4 2" xfId="8073" xr:uid="{00000000-0005-0000-0000-000029300000}"/>
    <cellStyle name="Normal 2 2 3 2 4 4 2 2" xfId="17103" xr:uid="{00000000-0005-0000-0000-00002A300000}"/>
    <cellStyle name="Normal 2 2 3 2 4 4 2 2 2" xfId="37155" xr:uid="{00000000-0005-0000-0000-00002B300000}"/>
    <cellStyle name="Normal 2 2 3 2 4 4 2 3" xfId="28125" xr:uid="{00000000-0005-0000-0000-00002C300000}"/>
    <cellStyle name="Normal 2 2 3 2 4 4 3" xfId="12621" xr:uid="{00000000-0005-0000-0000-00002D300000}"/>
    <cellStyle name="Normal 2 2 3 2 4 4 3 2" xfId="32673" xr:uid="{00000000-0005-0000-0000-00002E300000}"/>
    <cellStyle name="Normal 2 2 3 2 4 4 4" xfId="23643" xr:uid="{00000000-0005-0000-0000-00002F300000}"/>
    <cellStyle name="Normal 2 2 3 2 4 5" xfId="5085" xr:uid="{00000000-0005-0000-0000-000030300000}"/>
    <cellStyle name="Normal 2 2 3 2 4 5 2" xfId="14115" xr:uid="{00000000-0005-0000-0000-000031300000}"/>
    <cellStyle name="Normal 2 2 3 2 4 5 2 2" xfId="34167" xr:uid="{00000000-0005-0000-0000-000032300000}"/>
    <cellStyle name="Normal 2 2 3 2 4 5 3" xfId="25137" xr:uid="{00000000-0005-0000-0000-000033300000}"/>
    <cellStyle name="Normal 2 2 3 2 4 6" xfId="9633" xr:uid="{00000000-0005-0000-0000-000034300000}"/>
    <cellStyle name="Normal 2 2 3 2 4 6 2" xfId="29685" xr:uid="{00000000-0005-0000-0000-000035300000}"/>
    <cellStyle name="Normal 2 2 3 2 4 7" xfId="20655" xr:uid="{00000000-0005-0000-0000-000036300000}"/>
    <cellStyle name="Normal 2 2 3 2 5" xfId="790" xr:uid="{00000000-0005-0000-0000-000037300000}"/>
    <cellStyle name="Normal 2 2 3 2 5 2" xfId="2284" xr:uid="{00000000-0005-0000-0000-000038300000}"/>
    <cellStyle name="Normal 2 2 3 2 5 2 2" xfId="6766" xr:uid="{00000000-0005-0000-0000-000039300000}"/>
    <cellStyle name="Normal 2 2 3 2 5 2 2 2" xfId="15796" xr:uid="{00000000-0005-0000-0000-00003A300000}"/>
    <cellStyle name="Normal 2 2 3 2 5 2 2 2 2" xfId="35848" xr:uid="{00000000-0005-0000-0000-00003B300000}"/>
    <cellStyle name="Normal 2 2 3 2 5 2 2 3" xfId="26818" xr:uid="{00000000-0005-0000-0000-00003C300000}"/>
    <cellStyle name="Normal 2 2 3 2 5 2 3" xfId="11314" xr:uid="{00000000-0005-0000-0000-00003D300000}"/>
    <cellStyle name="Normal 2 2 3 2 5 2 3 2" xfId="31366" xr:uid="{00000000-0005-0000-0000-00003E300000}"/>
    <cellStyle name="Normal 2 2 3 2 5 2 4" xfId="22336" xr:uid="{00000000-0005-0000-0000-00003F300000}"/>
    <cellStyle name="Normal 2 2 3 2 5 3" xfId="3778" xr:uid="{00000000-0005-0000-0000-000040300000}"/>
    <cellStyle name="Normal 2 2 3 2 5 3 2" xfId="8260" xr:uid="{00000000-0005-0000-0000-000041300000}"/>
    <cellStyle name="Normal 2 2 3 2 5 3 2 2" xfId="17290" xr:uid="{00000000-0005-0000-0000-000042300000}"/>
    <cellStyle name="Normal 2 2 3 2 5 3 2 2 2" xfId="37342" xr:uid="{00000000-0005-0000-0000-000043300000}"/>
    <cellStyle name="Normal 2 2 3 2 5 3 2 3" xfId="28312" xr:uid="{00000000-0005-0000-0000-000044300000}"/>
    <cellStyle name="Normal 2 2 3 2 5 3 3" xfId="12808" xr:uid="{00000000-0005-0000-0000-000045300000}"/>
    <cellStyle name="Normal 2 2 3 2 5 3 3 2" xfId="32860" xr:uid="{00000000-0005-0000-0000-000046300000}"/>
    <cellStyle name="Normal 2 2 3 2 5 3 4" xfId="23830" xr:uid="{00000000-0005-0000-0000-000047300000}"/>
    <cellStyle name="Normal 2 2 3 2 5 4" xfId="5272" xr:uid="{00000000-0005-0000-0000-000048300000}"/>
    <cellStyle name="Normal 2 2 3 2 5 4 2" xfId="14302" xr:uid="{00000000-0005-0000-0000-000049300000}"/>
    <cellStyle name="Normal 2 2 3 2 5 4 2 2" xfId="34354" xr:uid="{00000000-0005-0000-0000-00004A300000}"/>
    <cellStyle name="Normal 2 2 3 2 5 4 3" xfId="25324" xr:uid="{00000000-0005-0000-0000-00004B300000}"/>
    <cellStyle name="Normal 2 2 3 2 5 5" xfId="9820" xr:uid="{00000000-0005-0000-0000-00004C300000}"/>
    <cellStyle name="Normal 2 2 3 2 5 5 2" xfId="29872" xr:uid="{00000000-0005-0000-0000-00004D300000}"/>
    <cellStyle name="Normal 2 2 3 2 5 6" xfId="20842" xr:uid="{00000000-0005-0000-0000-00004E300000}"/>
    <cellStyle name="Normal 2 2 3 2 6" xfId="1539" xr:uid="{00000000-0005-0000-0000-00004F300000}"/>
    <cellStyle name="Normal 2 2 3 2 6 2" xfId="6021" xr:uid="{00000000-0005-0000-0000-000050300000}"/>
    <cellStyle name="Normal 2 2 3 2 6 2 2" xfId="15051" xr:uid="{00000000-0005-0000-0000-000051300000}"/>
    <cellStyle name="Normal 2 2 3 2 6 2 2 2" xfId="35103" xr:uid="{00000000-0005-0000-0000-000052300000}"/>
    <cellStyle name="Normal 2 2 3 2 6 2 3" xfId="26073" xr:uid="{00000000-0005-0000-0000-000053300000}"/>
    <cellStyle name="Normal 2 2 3 2 6 3" xfId="10569" xr:uid="{00000000-0005-0000-0000-000054300000}"/>
    <cellStyle name="Normal 2 2 3 2 6 3 2" xfId="30621" xr:uid="{00000000-0005-0000-0000-000055300000}"/>
    <cellStyle name="Normal 2 2 3 2 6 4" xfId="21591" xr:uid="{00000000-0005-0000-0000-000056300000}"/>
    <cellStyle name="Normal 2 2 3 2 7" xfId="3033" xr:uid="{00000000-0005-0000-0000-000057300000}"/>
    <cellStyle name="Normal 2 2 3 2 7 2" xfId="7515" xr:uid="{00000000-0005-0000-0000-000058300000}"/>
    <cellStyle name="Normal 2 2 3 2 7 2 2" xfId="16545" xr:uid="{00000000-0005-0000-0000-000059300000}"/>
    <cellStyle name="Normal 2 2 3 2 7 2 2 2" xfId="36597" xr:uid="{00000000-0005-0000-0000-00005A300000}"/>
    <cellStyle name="Normal 2 2 3 2 7 2 3" xfId="27567" xr:uid="{00000000-0005-0000-0000-00005B300000}"/>
    <cellStyle name="Normal 2 2 3 2 7 3" xfId="12063" xr:uid="{00000000-0005-0000-0000-00005C300000}"/>
    <cellStyle name="Normal 2 2 3 2 7 3 2" xfId="32115" xr:uid="{00000000-0005-0000-0000-00005D300000}"/>
    <cellStyle name="Normal 2 2 3 2 7 4" xfId="23085" xr:uid="{00000000-0005-0000-0000-00005E300000}"/>
    <cellStyle name="Normal 2 2 3 2 8" xfId="4527" xr:uid="{00000000-0005-0000-0000-00005F300000}"/>
    <cellStyle name="Normal 2 2 3 2 8 2" xfId="13557" xr:uid="{00000000-0005-0000-0000-000060300000}"/>
    <cellStyle name="Normal 2 2 3 2 8 2 2" xfId="33609" xr:uid="{00000000-0005-0000-0000-000061300000}"/>
    <cellStyle name="Normal 2 2 3 2 8 3" xfId="24579" xr:uid="{00000000-0005-0000-0000-000062300000}"/>
    <cellStyle name="Normal 2 2 3 2 9" xfId="9075" xr:uid="{00000000-0005-0000-0000-000063300000}"/>
    <cellStyle name="Normal 2 2 3 2 9 2" xfId="29127" xr:uid="{00000000-0005-0000-0000-000064300000}"/>
    <cellStyle name="Normal 2 2 3 3" xfId="68" xr:uid="{00000000-0005-0000-0000-000065300000}"/>
    <cellStyle name="Normal 2 2 3 3 10" xfId="20120" xr:uid="{00000000-0005-0000-0000-000066300000}"/>
    <cellStyle name="Normal 2 2 3 3 2" xfId="254" xr:uid="{00000000-0005-0000-0000-000067300000}"/>
    <cellStyle name="Normal 2 2 3 3 2 2" xfId="999" xr:uid="{00000000-0005-0000-0000-000068300000}"/>
    <cellStyle name="Normal 2 2 3 3 2 2 2" xfId="2493" xr:uid="{00000000-0005-0000-0000-000069300000}"/>
    <cellStyle name="Normal 2 2 3 3 2 2 2 2" xfId="6975" xr:uid="{00000000-0005-0000-0000-00006A300000}"/>
    <cellStyle name="Normal 2 2 3 3 2 2 2 2 2" xfId="16005" xr:uid="{00000000-0005-0000-0000-00006B300000}"/>
    <cellStyle name="Normal 2 2 3 3 2 2 2 2 2 2" xfId="36057" xr:uid="{00000000-0005-0000-0000-00006C300000}"/>
    <cellStyle name="Normal 2 2 3 3 2 2 2 2 3" xfId="27027" xr:uid="{00000000-0005-0000-0000-00006D300000}"/>
    <cellStyle name="Normal 2 2 3 3 2 2 2 3" xfId="11523" xr:uid="{00000000-0005-0000-0000-00006E300000}"/>
    <cellStyle name="Normal 2 2 3 3 2 2 2 3 2" xfId="31575" xr:uid="{00000000-0005-0000-0000-00006F300000}"/>
    <cellStyle name="Normal 2 2 3 3 2 2 2 4" xfId="22545" xr:uid="{00000000-0005-0000-0000-000070300000}"/>
    <cellStyle name="Normal 2 2 3 3 2 2 3" xfId="3987" xr:uid="{00000000-0005-0000-0000-000071300000}"/>
    <cellStyle name="Normal 2 2 3 3 2 2 3 2" xfId="8469" xr:uid="{00000000-0005-0000-0000-000072300000}"/>
    <cellStyle name="Normal 2 2 3 3 2 2 3 2 2" xfId="17499" xr:uid="{00000000-0005-0000-0000-000073300000}"/>
    <cellStyle name="Normal 2 2 3 3 2 2 3 2 2 2" xfId="37551" xr:uid="{00000000-0005-0000-0000-000074300000}"/>
    <cellStyle name="Normal 2 2 3 3 2 2 3 2 3" xfId="28521" xr:uid="{00000000-0005-0000-0000-000075300000}"/>
    <cellStyle name="Normal 2 2 3 3 2 2 3 3" xfId="13017" xr:uid="{00000000-0005-0000-0000-000076300000}"/>
    <cellStyle name="Normal 2 2 3 3 2 2 3 3 2" xfId="33069" xr:uid="{00000000-0005-0000-0000-000077300000}"/>
    <cellStyle name="Normal 2 2 3 3 2 2 3 4" xfId="24039" xr:uid="{00000000-0005-0000-0000-000078300000}"/>
    <cellStyle name="Normal 2 2 3 3 2 2 4" xfId="5481" xr:uid="{00000000-0005-0000-0000-000079300000}"/>
    <cellStyle name="Normal 2 2 3 3 2 2 4 2" xfId="14511" xr:uid="{00000000-0005-0000-0000-00007A300000}"/>
    <cellStyle name="Normal 2 2 3 3 2 2 4 2 2" xfId="34563" xr:uid="{00000000-0005-0000-0000-00007B300000}"/>
    <cellStyle name="Normal 2 2 3 3 2 2 4 3" xfId="25533" xr:uid="{00000000-0005-0000-0000-00007C300000}"/>
    <cellStyle name="Normal 2 2 3 3 2 2 5" xfId="10029" xr:uid="{00000000-0005-0000-0000-00007D300000}"/>
    <cellStyle name="Normal 2 2 3 3 2 2 5 2" xfId="30081" xr:uid="{00000000-0005-0000-0000-00007E300000}"/>
    <cellStyle name="Normal 2 2 3 3 2 2 6" xfId="21051" xr:uid="{00000000-0005-0000-0000-00007F300000}"/>
    <cellStyle name="Normal 2 2 3 3 2 3" xfId="1748" xr:uid="{00000000-0005-0000-0000-000080300000}"/>
    <cellStyle name="Normal 2 2 3 3 2 3 2" xfId="6230" xr:uid="{00000000-0005-0000-0000-000081300000}"/>
    <cellStyle name="Normal 2 2 3 3 2 3 2 2" xfId="15260" xr:uid="{00000000-0005-0000-0000-000082300000}"/>
    <cellStyle name="Normal 2 2 3 3 2 3 2 2 2" xfId="35312" xr:uid="{00000000-0005-0000-0000-000083300000}"/>
    <cellStyle name="Normal 2 2 3 3 2 3 2 3" xfId="26282" xr:uid="{00000000-0005-0000-0000-000084300000}"/>
    <cellStyle name="Normal 2 2 3 3 2 3 3" xfId="10778" xr:uid="{00000000-0005-0000-0000-000085300000}"/>
    <cellStyle name="Normal 2 2 3 3 2 3 3 2" xfId="30830" xr:uid="{00000000-0005-0000-0000-000086300000}"/>
    <cellStyle name="Normal 2 2 3 3 2 3 4" xfId="21800" xr:uid="{00000000-0005-0000-0000-000087300000}"/>
    <cellStyle name="Normal 2 2 3 3 2 4" xfId="3242" xr:uid="{00000000-0005-0000-0000-000088300000}"/>
    <cellStyle name="Normal 2 2 3 3 2 4 2" xfId="7724" xr:uid="{00000000-0005-0000-0000-000089300000}"/>
    <cellStyle name="Normal 2 2 3 3 2 4 2 2" xfId="16754" xr:uid="{00000000-0005-0000-0000-00008A300000}"/>
    <cellStyle name="Normal 2 2 3 3 2 4 2 2 2" xfId="36806" xr:uid="{00000000-0005-0000-0000-00008B300000}"/>
    <cellStyle name="Normal 2 2 3 3 2 4 2 3" xfId="27776" xr:uid="{00000000-0005-0000-0000-00008C300000}"/>
    <cellStyle name="Normal 2 2 3 3 2 4 3" xfId="12272" xr:uid="{00000000-0005-0000-0000-00008D300000}"/>
    <cellStyle name="Normal 2 2 3 3 2 4 3 2" xfId="32324" xr:uid="{00000000-0005-0000-0000-00008E300000}"/>
    <cellStyle name="Normal 2 2 3 3 2 4 4" xfId="23294" xr:uid="{00000000-0005-0000-0000-00008F300000}"/>
    <cellStyle name="Normal 2 2 3 3 2 5" xfId="4736" xr:uid="{00000000-0005-0000-0000-000090300000}"/>
    <cellStyle name="Normal 2 2 3 3 2 5 2" xfId="13766" xr:uid="{00000000-0005-0000-0000-000091300000}"/>
    <cellStyle name="Normal 2 2 3 3 2 5 2 2" xfId="33818" xr:uid="{00000000-0005-0000-0000-000092300000}"/>
    <cellStyle name="Normal 2 2 3 3 2 5 3" xfId="24788" xr:uid="{00000000-0005-0000-0000-000093300000}"/>
    <cellStyle name="Normal 2 2 3 3 2 6" xfId="9284" xr:uid="{00000000-0005-0000-0000-000094300000}"/>
    <cellStyle name="Normal 2 2 3 3 2 6 2" xfId="29336" xr:uid="{00000000-0005-0000-0000-000095300000}"/>
    <cellStyle name="Normal 2 2 3 3 2 7" xfId="20306" xr:uid="{00000000-0005-0000-0000-000096300000}"/>
    <cellStyle name="Normal 2 2 3 3 3" xfId="440" xr:uid="{00000000-0005-0000-0000-000097300000}"/>
    <cellStyle name="Normal 2 2 3 3 3 2" xfId="1187" xr:uid="{00000000-0005-0000-0000-000098300000}"/>
    <cellStyle name="Normal 2 2 3 3 3 2 2" xfId="2681" xr:uid="{00000000-0005-0000-0000-000099300000}"/>
    <cellStyle name="Normal 2 2 3 3 3 2 2 2" xfId="7163" xr:uid="{00000000-0005-0000-0000-00009A300000}"/>
    <cellStyle name="Normal 2 2 3 3 3 2 2 2 2" xfId="16193" xr:uid="{00000000-0005-0000-0000-00009B300000}"/>
    <cellStyle name="Normal 2 2 3 3 3 2 2 2 2 2" xfId="36245" xr:uid="{00000000-0005-0000-0000-00009C300000}"/>
    <cellStyle name="Normal 2 2 3 3 3 2 2 2 3" xfId="27215" xr:uid="{00000000-0005-0000-0000-00009D300000}"/>
    <cellStyle name="Normal 2 2 3 3 3 2 2 3" xfId="11711" xr:uid="{00000000-0005-0000-0000-00009E300000}"/>
    <cellStyle name="Normal 2 2 3 3 3 2 2 3 2" xfId="31763" xr:uid="{00000000-0005-0000-0000-00009F300000}"/>
    <cellStyle name="Normal 2 2 3 3 3 2 2 4" xfId="22733" xr:uid="{00000000-0005-0000-0000-0000A0300000}"/>
    <cellStyle name="Normal 2 2 3 3 3 2 3" xfId="4175" xr:uid="{00000000-0005-0000-0000-0000A1300000}"/>
    <cellStyle name="Normal 2 2 3 3 3 2 3 2" xfId="8657" xr:uid="{00000000-0005-0000-0000-0000A2300000}"/>
    <cellStyle name="Normal 2 2 3 3 3 2 3 2 2" xfId="17687" xr:uid="{00000000-0005-0000-0000-0000A3300000}"/>
    <cellStyle name="Normal 2 2 3 3 3 2 3 2 2 2" xfId="37739" xr:uid="{00000000-0005-0000-0000-0000A4300000}"/>
    <cellStyle name="Normal 2 2 3 3 3 2 3 2 3" xfId="28709" xr:uid="{00000000-0005-0000-0000-0000A5300000}"/>
    <cellStyle name="Normal 2 2 3 3 3 2 3 3" xfId="13205" xr:uid="{00000000-0005-0000-0000-0000A6300000}"/>
    <cellStyle name="Normal 2 2 3 3 3 2 3 3 2" xfId="33257" xr:uid="{00000000-0005-0000-0000-0000A7300000}"/>
    <cellStyle name="Normal 2 2 3 3 3 2 3 4" xfId="24227" xr:uid="{00000000-0005-0000-0000-0000A8300000}"/>
    <cellStyle name="Normal 2 2 3 3 3 2 4" xfId="5669" xr:uid="{00000000-0005-0000-0000-0000A9300000}"/>
    <cellStyle name="Normal 2 2 3 3 3 2 4 2" xfId="14699" xr:uid="{00000000-0005-0000-0000-0000AA300000}"/>
    <cellStyle name="Normal 2 2 3 3 3 2 4 2 2" xfId="34751" xr:uid="{00000000-0005-0000-0000-0000AB300000}"/>
    <cellStyle name="Normal 2 2 3 3 3 2 4 3" xfId="25721" xr:uid="{00000000-0005-0000-0000-0000AC300000}"/>
    <cellStyle name="Normal 2 2 3 3 3 2 5" xfId="10217" xr:uid="{00000000-0005-0000-0000-0000AD300000}"/>
    <cellStyle name="Normal 2 2 3 3 3 2 5 2" xfId="30269" xr:uid="{00000000-0005-0000-0000-0000AE300000}"/>
    <cellStyle name="Normal 2 2 3 3 3 2 6" xfId="21239" xr:uid="{00000000-0005-0000-0000-0000AF300000}"/>
    <cellStyle name="Normal 2 2 3 3 3 3" xfId="1934" xr:uid="{00000000-0005-0000-0000-0000B0300000}"/>
    <cellStyle name="Normal 2 2 3 3 3 3 2" xfId="6416" xr:uid="{00000000-0005-0000-0000-0000B1300000}"/>
    <cellStyle name="Normal 2 2 3 3 3 3 2 2" xfId="15446" xr:uid="{00000000-0005-0000-0000-0000B2300000}"/>
    <cellStyle name="Normal 2 2 3 3 3 3 2 2 2" xfId="35498" xr:uid="{00000000-0005-0000-0000-0000B3300000}"/>
    <cellStyle name="Normal 2 2 3 3 3 3 2 3" xfId="26468" xr:uid="{00000000-0005-0000-0000-0000B4300000}"/>
    <cellStyle name="Normal 2 2 3 3 3 3 3" xfId="10964" xr:uid="{00000000-0005-0000-0000-0000B5300000}"/>
    <cellStyle name="Normal 2 2 3 3 3 3 3 2" xfId="31016" xr:uid="{00000000-0005-0000-0000-0000B6300000}"/>
    <cellStyle name="Normal 2 2 3 3 3 3 4" xfId="21986" xr:uid="{00000000-0005-0000-0000-0000B7300000}"/>
    <cellStyle name="Normal 2 2 3 3 3 4" xfId="3428" xr:uid="{00000000-0005-0000-0000-0000B8300000}"/>
    <cellStyle name="Normal 2 2 3 3 3 4 2" xfId="7910" xr:uid="{00000000-0005-0000-0000-0000B9300000}"/>
    <cellStyle name="Normal 2 2 3 3 3 4 2 2" xfId="16940" xr:uid="{00000000-0005-0000-0000-0000BA300000}"/>
    <cellStyle name="Normal 2 2 3 3 3 4 2 2 2" xfId="36992" xr:uid="{00000000-0005-0000-0000-0000BB300000}"/>
    <cellStyle name="Normal 2 2 3 3 3 4 2 3" xfId="27962" xr:uid="{00000000-0005-0000-0000-0000BC300000}"/>
    <cellStyle name="Normal 2 2 3 3 3 4 3" xfId="12458" xr:uid="{00000000-0005-0000-0000-0000BD300000}"/>
    <cellStyle name="Normal 2 2 3 3 3 4 3 2" xfId="32510" xr:uid="{00000000-0005-0000-0000-0000BE300000}"/>
    <cellStyle name="Normal 2 2 3 3 3 4 4" xfId="23480" xr:uid="{00000000-0005-0000-0000-0000BF300000}"/>
    <cellStyle name="Normal 2 2 3 3 3 5" xfId="4922" xr:uid="{00000000-0005-0000-0000-0000C0300000}"/>
    <cellStyle name="Normal 2 2 3 3 3 5 2" xfId="13952" xr:uid="{00000000-0005-0000-0000-0000C1300000}"/>
    <cellStyle name="Normal 2 2 3 3 3 5 2 2" xfId="34004" xr:uid="{00000000-0005-0000-0000-0000C2300000}"/>
    <cellStyle name="Normal 2 2 3 3 3 5 3" xfId="24974" xr:uid="{00000000-0005-0000-0000-0000C3300000}"/>
    <cellStyle name="Normal 2 2 3 3 3 6" xfId="9470" xr:uid="{00000000-0005-0000-0000-0000C4300000}"/>
    <cellStyle name="Normal 2 2 3 3 3 6 2" xfId="29522" xr:uid="{00000000-0005-0000-0000-0000C5300000}"/>
    <cellStyle name="Normal 2 2 3 3 3 7" xfId="20492" xr:uid="{00000000-0005-0000-0000-0000C6300000}"/>
    <cellStyle name="Normal 2 2 3 3 4" xfId="626" xr:uid="{00000000-0005-0000-0000-0000C7300000}"/>
    <cellStyle name="Normal 2 2 3 3 4 2" xfId="1373" xr:uid="{00000000-0005-0000-0000-0000C8300000}"/>
    <cellStyle name="Normal 2 2 3 3 4 2 2" xfId="2867" xr:uid="{00000000-0005-0000-0000-0000C9300000}"/>
    <cellStyle name="Normal 2 2 3 3 4 2 2 2" xfId="7349" xr:uid="{00000000-0005-0000-0000-0000CA300000}"/>
    <cellStyle name="Normal 2 2 3 3 4 2 2 2 2" xfId="16379" xr:uid="{00000000-0005-0000-0000-0000CB300000}"/>
    <cellStyle name="Normal 2 2 3 3 4 2 2 2 2 2" xfId="36431" xr:uid="{00000000-0005-0000-0000-0000CC300000}"/>
    <cellStyle name="Normal 2 2 3 3 4 2 2 2 3" xfId="27401" xr:uid="{00000000-0005-0000-0000-0000CD300000}"/>
    <cellStyle name="Normal 2 2 3 3 4 2 2 3" xfId="11897" xr:uid="{00000000-0005-0000-0000-0000CE300000}"/>
    <cellStyle name="Normal 2 2 3 3 4 2 2 3 2" xfId="31949" xr:uid="{00000000-0005-0000-0000-0000CF300000}"/>
    <cellStyle name="Normal 2 2 3 3 4 2 2 4" xfId="22919" xr:uid="{00000000-0005-0000-0000-0000D0300000}"/>
    <cellStyle name="Normal 2 2 3 3 4 2 3" xfId="4361" xr:uid="{00000000-0005-0000-0000-0000D1300000}"/>
    <cellStyle name="Normal 2 2 3 3 4 2 3 2" xfId="8843" xr:uid="{00000000-0005-0000-0000-0000D2300000}"/>
    <cellStyle name="Normal 2 2 3 3 4 2 3 2 2" xfId="17873" xr:uid="{00000000-0005-0000-0000-0000D3300000}"/>
    <cellStyle name="Normal 2 2 3 3 4 2 3 2 2 2" xfId="37925" xr:uid="{00000000-0005-0000-0000-0000D4300000}"/>
    <cellStyle name="Normal 2 2 3 3 4 2 3 2 3" xfId="28895" xr:uid="{00000000-0005-0000-0000-0000D5300000}"/>
    <cellStyle name="Normal 2 2 3 3 4 2 3 3" xfId="13391" xr:uid="{00000000-0005-0000-0000-0000D6300000}"/>
    <cellStyle name="Normal 2 2 3 3 4 2 3 3 2" xfId="33443" xr:uid="{00000000-0005-0000-0000-0000D7300000}"/>
    <cellStyle name="Normal 2 2 3 3 4 2 3 4" xfId="24413" xr:uid="{00000000-0005-0000-0000-0000D8300000}"/>
    <cellStyle name="Normal 2 2 3 3 4 2 4" xfId="5855" xr:uid="{00000000-0005-0000-0000-0000D9300000}"/>
    <cellStyle name="Normal 2 2 3 3 4 2 4 2" xfId="14885" xr:uid="{00000000-0005-0000-0000-0000DA300000}"/>
    <cellStyle name="Normal 2 2 3 3 4 2 4 2 2" xfId="34937" xr:uid="{00000000-0005-0000-0000-0000DB300000}"/>
    <cellStyle name="Normal 2 2 3 3 4 2 4 3" xfId="25907" xr:uid="{00000000-0005-0000-0000-0000DC300000}"/>
    <cellStyle name="Normal 2 2 3 3 4 2 5" xfId="10403" xr:uid="{00000000-0005-0000-0000-0000DD300000}"/>
    <cellStyle name="Normal 2 2 3 3 4 2 5 2" xfId="30455" xr:uid="{00000000-0005-0000-0000-0000DE300000}"/>
    <cellStyle name="Normal 2 2 3 3 4 2 6" xfId="21425" xr:uid="{00000000-0005-0000-0000-0000DF300000}"/>
    <cellStyle name="Normal 2 2 3 3 4 3" xfId="2120" xr:uid="{00000000-0005-0000-0000-0000E0300000}"/>
    <cellStyle name="Normal 2 2 3 3 4 3 2" xfId="6602" xr:uid="{00000000-0005-0000-0000-0000E1300000}"/>
    <cellStyle name="Normal 2 2 3 3 4 3 2 2" xfId="15632" xr:uid="{00000000-0005-0000-0000-0000E2300000}"/>
    <cellStyle name="Normal 2 2 3 3 4 3 2 2 2" xfId="35684" xr:uid="{00000000-0005-0000-0000-0000E3300000}"/>
    <cellStyle name="Normal 2 2 3 3 4 3 2 3" xfId="26654" xr:uid="{00000000-0005-0000-0000-0000E4300000}"/>
    <cellStyle name="Normal 2 2 3 3 4 3 3" xfId="11150" xr:uid="{00000000-0005-0000-0000-0000E5300000}"/>
    <cellStyle name="Normal 2 2 3 3 4 3 3 2" xfId="31202" xr:uid="{00000000-0005-0000-0000-0000E6300000}"/>
    <cellStyle name="Normal 2 2 3 3 4 3 4" xfId="22172" xr:uid="{00000000-0005-0000-0000-0000E7300000}"/>
    <cellStyle name="Normal 2 2 3 3 4 4" xfId="3614" xr:uid="{00000000-0005-0000-0000-0000E8300000}"/>
    <cellStyle name="Normal 2 2 3 3 4 4 2" xfId="8096" xr:uid="{00000000-0005-0000-0000-0000E9300000}"/>
    <cellStyle name="Normal 2 2 3 3 4 4 2 2" xfId="17126" xr:uid="{00000000-0005-0000-0000-0000EA300000}"/>
    <cellStyle name="Normal 2 2 3 3 4 4 2 2 2" xfId="37178" xr:uid="{00000000-0005-0000-0000-0000EB300000}"/>
    <cellStyle name="Normal 2 2 3 3 4 4 2 3" xfId="28148" xr:uid="{00000000-0005-0000-0000-0000EC300000}"/>
    <cellStyle name="Normal 2 2 3 3 4 4 3" xfId="12644" xr:uid="{00000000-0005-0000-0000-0000ED300000}"/>
    <cellStyle name="Normal 2 2 3 3 4 4 3 2" xfId="32696" xr:uid="{00000000-0005-0000-0000-0000EE300000}"/>
    <cellStyle name="Normal 2 2 3 3 4 4 4" xfId="23666" xr:uid="{00000000-0005-0000-0000-0000EF300000}"/>
    <cellStyle name="Normal 2 2 3 3 4 5" xfId="5108" xr:uid="{00000000-0005-0000-0000-0000F0300000}"/>
    <cellStyle name="Normal 2 2 3 3 4 5 2" xfId="14138" xr:uid="{00000000-0005-0000-0000-0000F1300000}"/>
    <cellStyle name="Normal 2 2 3 3 4 5 2 2" xfId="34190" xr:uid="{00000000-0005-0000-0000-0000F2300000}"/>
    <cellStyle name="Normal 2 2 3 3 4 5 3" xfId="25160" xr:uid="{00000000-0005-0000-0000-0000F3300000}"/>
    <cellStyle name="Normal 2 2 3 3 4 6" xfId="9656" xr:uid="{00000000-0005-0000-0000-0000F4300000}"/>
    <cellStyle name="Normal 2 2 3 3 4 6 2" xfId="29708" xr:uid="{00000000-0005-0000-0000-0000F5300000}"/>
    <cellStyle name="Normal 2 2 3 3 4 7" xfId="20678" xr:uid="{00000000-0005-0000-0000-0000F6300000}"/>
    <cellStyle name="Normal 2 2 3 3 5" xfId="813" xr:uid="{00000000-0005-0000-0000-0000F7300000}"/>
    <cellStyle name="Normal 2 2 3 3 5 2" xfId="2307" xr:uid="{00000000-0005-0000-0000-0000F8300000}"/>
    <cellStyle name="Normal 2 2 3 3 5 2 2" xfId="6789" xr:uid="{00000000-0005-0000-0000-0000F9300000}"/>
    <cellStyle name="Normal 2 2 3 3 5 2 2 2" xfId="15819" xr:uid="{00000000-0005-0000-0000-0000FA300000}"/>
    <cellStyle name="Normal 2 2 3 3 5 2 2 2 2" xfId="35871" xr:uid="{00000000-0005-0000-0000-0000FB300000}"/>
    <cellStyle name="Normal 2 2 3 3 5 2 2 3" xfId="26841" xr:uid="{00000000-0005-0000-0000-0000FC300000}"/>
    <cellStyle name="Normal 2 2 3 3 5 2 3" xfId="11337" xr:uid="{00000000-0005-0000-0000-0000FD300000}"/>
    <cellStyle name="Normal 2 2 3 3 5 2 3 2" xfId="31389" xr:uid="{00000000-0005-0000-0000-0000FE300000}"/>
    <cellStyle name="Normal 2 2 3 3 5 2 4" xfId="22359" xr:uid="{00000000-0005-0000-0000-0000FF300000}"/>
    <cellStyle name="Normal 2 2 3 3 5 3" xfId="3801" xr:uid="{00000000-0005-0000-0000-000000310000}"/>
    <cellStyle name="Normal 2 2 3 3 5 3 2" xfId="8283" xr:uid="{00000000-0005-0000-0000-000001310000}"/>
    <cellStyle name="Normal 2 2 3 3 5 3 2 2" xfId="17313" xr:uid="{00000000-0005-0000-0000-000002310000}"/>
    <cellStyle name="Normal 2 2 3 3 5 3 2 2 2" xfId="37365" xr:uid="{00000000-0005-0000-0000-000003310000}"/>
    <cellStyle name="Normal 2 2 3 3 5 3 2 3" xfId="28335" xr:uid="{00000000-0005-0000-0000-000004310000}"/>
    <cellStyle name="Normal 2 2 3 3 5 3 3" xfId="12831" xr:uid="{00000000-0005-0000-0000-000005310000}"/>
    <cellStyle name="Normal 2 2 3 3 5 3 3 2" xfId="32883" xr:uid="{00000000-0005-0000-0000-000006310000}"/>
    <cellStyle name="Normal 2 2 3 3 5 3 4" xfId="23853" xr:uid="{00000000-0005-0000-0000-000007310000}"/>
    <cellStyle name="Normal 2 2 3 3 5 4" xfId="5295" xr:uid="{00000000-0005-0000-0000-000008310000}"/>
    <cellStyle name="Normal 2 2 3 3 5 4 2" xfId="14325" xr:uid="{00000000-0005-0000-0000-000009310000}"/>
    <cellStyle name="Normal 2 2 3 3 5 4 2 2" xfId="34377" xr:uid="{00000000-0005-0000-0000-00000A310000}"/>
    <cellStyle name="Normal 2 2 3 3 5 4 3" xfId="25347" xr:uid="{00000000-0005-0000-0000-00000B310000}"/>
    <cellStyle name="Normal 2 2 3 3 5 5" xfId="9843" xr:uid="{00000000-0005-0000-0000-00000C310000}"/>
    <cellStyle name="Normal 2 2 3 3 5 5 2" xfId="29895" xr:uid="{00000000-0005-0000-0000-00000D310000}"/>
    <cellStyle name="Normal 2 2 3 3 5 6" xfId="20865" xr:uid="{00000000-0005-0000-0000-00000E310000}"/>
    <cellStyle name="Normal 2 2 3 3 6" xfId="1562" xr:uid="{00000000-0005-0000-0000-00000F310000}"/>
    <cellStyle name="Normal 2 2 3 3 6 2" xfId="6044" xr:uid="{00000000-0005-0000-0000-000010310000}"/>
    <cellStyle name="Normal 2 2 3 3 6 2 2" xfId="15074" xr:uid="{00000000-0005-0000-0000-000011310000}"/>
    <cellStyle name="Normal 2 2 3 3 6 2 2 2" xfId="35126" xr:uid="{00000000-0005-0000-0000-000012310000}"/>
    <cellStyle name="Normal 2 2 3 3 6 2 3" xfId="26096" xr:uid="{00000000-0005-0000-0000-000013310000}"/>
    <cellStyle name="Normal 2 2 3 3 6 3" xfId="10592" xr:uid="{00000000-0005-0000-0000-000014310000}"/>
    <cellStyle name="Normal 2 2 3 3 6 3 2" xfId="30644" xr:uid="{00000000-0005-0000-0000-000015310000}"/>
    <cellStyle name="Normal 2 2 3 3 6 4" xfId="21614" xr:uid="{00000000-0005-0000-0000-000016310000}"/>
    <cellStyle name="Normal 2 2 3 3 7" xfId="3056" xr:uid="{00000000-0005-0000-0000-000017310000}"/>
    <cellStyle name="Normal 2 2 3 3 7 2" xfId="7538" xr:uid="{00000000-0005-0000-0000-000018310000}"/>
    <cellStyle name="Normal 2 2 3 3 7 2 2" xfId="16568" xr:uid="{00000000-0005-0000-0000-000019310000}"/>
    <cellStyle name="Normal 2 2 3 3 7 2 2 2" xfId="36620" xr:uid="{00000000-0005-0000-0000-00001A310000}"/>
    <cellStyle name="Normal 2 2 3 3 7 2 3" xfId="27590" xr:uid="{00000000-0005-0000-0000-00001B310000}"/>
    <cellStyle name="Normal 2 2 3 3 7 3" xfId="12086" xr:uid="{00000000-0005-0000-0000-00001C310000}"/>
    <cellStyle name="Normal 2 2 3 3 7 3 2" xfId="32138" xr:uid="{00000000-0005-0000-0000-00001D310000}"/>
    <cellStyle name="Normal 2 2 3 3 7 4" xfId="23108" xr:uid="{00000000-0005-0000-0000-00001E310000}"/>
    <cellStyle name="Normal 2 2 3 3 8" xfId="4550" xr:uid="{00000000-0005-0000-0000-00001F310000}"/>
    <cellStyle name="Normal 2 2 3 3 8 2" xfId="13580" xr:uid="{00000000-0005-0000-0000-000020310000}"/>
    <cellStyle name="Normal 2 2 3 3 8 2 2" xfId="33632" xr:uid="{00000000-0005-0000-0000-000021310000}"/>
    <cellStyle name="Normal 2 2 3 3 8 3" xfId="24602" xr:uid="{00000000-0005-0000-0000-000022310000}"/>
    <cellStyle name="Normal 2 2 3 3 9" xfId="9098" xr:uid="{00000000-0005-0000-0000-000023310000}"/>
    <cellStyle name="Normal 2 2 3 3 9 2" xfId="29150" xr:uid="{00000000-0005-0000-0000-000024310000}"/>
    <cellStyle name="Normal 2 2 3 4" xfId="92" xr:uid="{00000000-0005-0000-0000-000025310000}"/>
    <cellStyle name="Normal 2 2 3 4 10" xfId="20144" xr:uid="{00000000-0005-0000-0000-000026310000}"/>
    <cellStyle name="Normal 2 2 3 4 2" xfId="278" xr:uid="{00000000-0005-0000-0000-000027310000}"/>
    <cellStyle name="Normal 2 2 3 4 2 2" xfId="1022" xr:uid="{00000000-0005-0000-0000-000028310000}"/>
    <cellStyle name="Normal 2 2 3 4 2 2 2" xfId="2516" xr:uid="{00000000-0005-0000-0000-000029310000}"/>
    <cellStyle name="Normal 2 2 3 4 2 2 2 2" xfId="6998" xr:uid="{00000000-0005-0000-0000-00002A310000}"/>
    <cellStyle name="Normal 2 2 3 4 2 2 2 2 2" xfId="16028" xr:uid="{00000000-0005-0000-0000-00002B310000}"/>
    <cellStyle name="Normal 2 2 3 4 2 2 2 2 2 2" xfId="36080" xr:uid="{00000000-0005-0000-0000-00002C310000}"/>
    <cellStyle name="Normal 2 2 3 4 2 2 2 2 3" xfId="27050" xr:uid="{00000000-0005-0000-0000-00002D310000}"/>
    <cellStyle name="Normal 2 2 3 4 2 2 2 3" xfId="11546" xr:uid="{00000000-0005-0000-0000-00002E310000}"/>
    <cellStyle name="Normal 2 2 3 4 2 2 2 3 2" xfId="31598" xr:uid="{00000000-0005-0000-0000-00002F310000}"/>
    <cellStyle name="Normal 2 2 3 4 2 2 2 4" xfId="22568" xr:uid="{00000000-0005-0000-0000-000030310000}"/>
    <cellStyle name="Normal 2 2 3 4 2 2 3" xfId="4010" xr:uid="{00000000-0005-0000-0000-000031310000}"/>
    <cellStyle name="Normal 2 2 3 4 2 2 3 2" xfId="8492" xr:uid="{00000000-0005-0000-0000-000032310000}"/>
    <cellStyle name="Normal 2 2 3 4 2 2 3 2 2" xfId="17522" xr:uid="{00000000-0005-0000-0000-000033310000}"/>
    <cellStyle name="Normal 2 2 3 4 2 2 3 2 2 2" xfId="37574" xr:uid="{00000000-0005-0000-0000-000034310000}"/>
    <cellStyle name="Normal 2 2 3 4 2 2 3 2 3" xfId="28544" xr:uid="{00000000-0005-0000-0000-000035310000}"/>
    <cellStyle name="Normal 2 2 3 4 2 2 3 3" xfId="13040" xr:uid="{00000000-0005-0000-0000-000036310000}"/>
    <cellStyle name="Normal 2 2 3 4 2 2 3 3 2" xfId="33092" xr:uid="{00000000-0005-0000-0000-000037310000}"/>
    <cellStyle name="Normal 2 2 3 4 2 2 3 4" xfId="24062" xr:uid="{00000000-0005-0000-0000-000038310000}"/>
    <cellStyle name="Normal 2 2 3 4 2 2 4" xfId="5504" xr:uid="{00000000-0005-0000-0000-000039310000}"/>
    <cellStyle name="Normal 2 2 3 4 2 2 4 2" xfId="14534" xr:uid="{00000000-0005-0000-0000-00003A310000}"/>
    <cellStyle name="Normal 2 2 3 4 2 2 4 2 2" xfId="34586" xr:uid="{00000000-0005-0000-0000-00003B310000}"/>
    <cellStyle name="Normal 2 2 3 4 2 2 4 3" xfId="25556" xr:uid="{00000000-0005-0000-0000-00003C310000}"/>
    <cellStyle name="Normal 2 2 3 4 2 2 5" xfId="10052" xr:uid="{00000000-0005-0000-0000-00003D310000}"/>
    <cellStyle name="Normal 2 2 3 4 2 2 5 2" xfId="30104" xr:uid="{00000000-0005-0000-0000-00003E310000}"/>
    <cellStyle name="Normal 2 2 3 4 2 2 6" xfId="21074" xr:uid="{00000000-0005-0000-0000-00003F310000}"/>
    <cellStyle name="Normal 2 2 3 4 2 3" xfId="1772" xr:uid="{00000000-0005-0000-0000-000040310000}"/>
    <cellStyle name="Normal 2 2 3 4 2 3 2" xfId="6254" xr:uid="{00000000-0005-0000-0000-000041310000}"/>
    <cellStyle name="Normal 2 2 3 4 2 3 2 2" xfId="15284" xr:uid="{00000000-0005-0000-0000-000042310000}"/>
    <cellStyle name="Normal 2 2 3 4 2 3 2 2 2" xfId="35336" xr:uid="{00000000-0005-0000-0000-000043310000}"/>
    <cellStyle name="Normal 2 2 3 4 2 3 2 3" xfId="26306" xr:uid="{00000000-0005-0000-0000-000044310000}"/>
    <cellStyle name="Normal 2 2 3 4 2 3 3" xfId="10802" xr:uid="{00000000-0005-0000-0000-000045310000}"/>
    <cellStyle name="Normal 2 2 3 4 2 3 3 2" xfId="30854" xr:uid="{00000000-0005-0000-0000-000046310000}"/>
    <cellStyle name="Normal 2 2 3 4 2 3 4" xfId="21824" xr:uid="{00000000-0005-0000-0000-000047310000}"/>
    <cellStyle name="Normal 2 2 3 4 2 4" xfId="3266" xr:uid="{00000000-0005-0000-0000-000048310000}"/>
    <cellStyle name="Normal 2 2 3 4 2 4 2" xfId="7748" xr:uid="{00000000-0005-0000-0000-000049310000}"/>
    <cellStyle name="Normal 2 2 3 4 2 4 2 2" xfId="16778" xr:uid="{00000000-0005-0000-0000-00004A310000}"/>
    <cellStyle name="Normal 2 2 3 4 2 4 2 2 2" xfId="36830" xr:uid="{00000000-0005-0000-0000-00004B310000}"/>
    <cellStyle name="Normal 2 2 3 4 2 4 2 3" xfId="27800" xr:uid="{00000000-0005-0000-0000-00004C310000}"/>
    <cellStyle name="Normal 2 2 3 4 2 4 3" xfId="12296" xr:uid="{00000000-0005-0000-0000-00004D310000}"/>
    <cellStyle name="Normal 2 2 3 4 2 4 3 2" xfId="32348" xr:uid="{00000000-0005-0000-0000-00004E310000}"/>
    <cellStyle name="Normal 2 2 3 4 2 4 4" xfId="23318" xr:uid="{00000000-0005-0000-0000-00004F310000}"/>
    <cellStyle name="Normal 2 2 3 4 2 5" xfId="4760" xr:uid="{00000000-0005-0000-0000-000050310000}"/>
    <cellStyle name="Normal 2 2 3 4 2 5 2" xfId="13790" xr:uid="{00000000-0005-0000-0000-000051310000}"/>
    <cellStyle name="Normal 2 2 3 4 2 5 2 2" xfId="33842" xr:uid="{00000000-0005-0000-0000-000052310000}"/>
    <cellStyle name="Normal 2 2 3 4 2 5 3" xfId="24812" xr:uid="{00000000-0005-0000-0000-000053310000}"/>
    <cellStyle name="Normal 2 2 3 4 2 6" xfId="9308" xr:uid="{00000000-0005-0000-0000-000054310000}"/>
    <cellStyle name="Normal 2 2 3 4 2 6 2" xfId="29360" xr:uid="{00000000-0005-0000-0000-000055310000}"/>
    <cellStyle name="Normal 2 2 3 4 2 7" xfId="20330" xr:uid="{00000000-0005-0000-0000-000056310000}"/>
    <cellStyle name="Normal 2 2 3 4 3" xfId="464" xr:uid="{00000000-0005-0000-0000-000057310000}"/>
    <cellStyle name="Normal 2 2 3 4 3 2" xfId="1211" xr:uid="{00000000-0005-0000-0000-000058310000}"/>
    <cellStyle name="Normal 2 2 3 4 3 2 2" xfId="2705" xr:uid="{00000000-0005-0000-0000-000059310000}"/>
    <cellStyle name="Normal 2 2 3 4 3 2 2 2" xfId="7187" xr:uid="{00000000-0005-0000-0000-00005A310000}"/>
    <cellStyle name="Normal 2 2 3 4 3 2 2 2 2" xfId="16217" xr:uid="{00000000-0005-0000-0000-00005B310000}"/>
    <cellStyle name="Normal 2 2 3 4 3 2 2 2 2 2" xfId="36269" xr:uid="{00000000-0005-0000-0000-00005C310000}"/>
    <cellStyle name="Normal 2 2 3 4 3 2 2 2 3" xfId="27239" xr:uid="{00000000-0005-0000-0000-00005D310000}"/>
    <cellStyle name="Normal 2 2 3 4 3 2 2 3" xfId="11735" xr:uid="{00000000-0005-0000-0000-00005E310000}"/>
    <cellStyle name="Normal 2 2 3 4 3 2 2 3 2" xfId="31787" xr:uid="{00000000-0005-0000-0000-00005F310000}"/>
    <cellStyle name="Normal 2 2 3 4 3 2 2 4" xfId="22757" xr:uid="{00000000-0005-0000-0000-000060310000}"/>
    <cellStyle name="Normal 2 2 3 4 3 2 3" xfId="4199" xr:uid="{00000000-0005-0000-0000-000061310000}"/>
    <cellStyle name="Normal 2 2 3 4 3 2 3 2" xfId="8681" xr:uid="{00000000-0005-0000-0000-000062310000}"/>
    <cellStyle name="Normal 2 2 3 4 3 2 3 2 2" xfId="17711" xr:uid="{00000000-0005-0000-0000-000063310000}"/>
    <cellStyle name="Normal 2 2 3 4 3 2 3 2 2 2" xfId="37763" xr:uid="{00000000-0005-0000-0000-000064310000}"/>
    <cellStyle name="Normal 2 2 3 4 3 2 3 2 3" xfId="28733" xr:uid="{00000000-0005-0000-0000-000065310000}"/>
    <cellStyle name="Normal 2 2 3 4 3 2 3 3" xfId="13229" xr:uid="{00000000-0005-0000-0000-000066310000}"/>
    <cellStyle name="Normal 2 2 3 4 3 2 3 3 2" xfId="33281" xr:uid="{00000000-0005-0000-0000-000067310000}"/>
    <cellStyle name="Normal 2 2 3 4 3 2 3 4" xfId="24251" xr:uid="{00000000-0005-0000-0000-000068310000}"/>
    <cellStyle name="Normal 2 2 3 4 3 2 4" xfId="5693" xr:uid="{00000000-0005-0000-0000-000069310000}"/>
    <cellStyle name="Normal 2 2 3 4 3 2 4 2" xfId="14723" xr:uid="{00000000-0005-0000-0000-00006A310000}"/>
    <cellStyle name="Normal 2 2 3 4 3 2 4 2 2" xfId="34775" xr:uid="{00000000-0005-0000-0000-00006B310000}"/>
    <cellStyle name="Normal 2 2 3 4 3 2 4 3" xfId="25745" xr:uid="{00000000-0005-0000-0000-00006C310000}"/>
    <cellStyle name="Normal 2 2 3 4 3 2 5" xfId="10241" xr:uid="{00000000-0005-0000-0000-00006D310000}"/>
    <cellStyle name="Normal 2 2 3 4 3 2 5 2" xfId="30293" xr:uid="{00000000-0005-0000-0000-00006E310000}"/>
    <cellStyle name="Normal 2 2 3 4 3 2 6" xfId="21263" xr:uid="{00000000-0005-0000-0000-00006F310000}"/>
    <cellStyle name="Normal 2 2 3 4 3 3" xfId="1958" xr:uid="{00000000-0005-0000-0000-000070310000}"/>
    <cellStyle name="Normal 2 2 3 4 3 3 2" xfId="6440" xr:uid="{00000000-0005-0000-0000-000071310000}"/>
    <cellStyle name="Normal 2 2 3 4 3 3 2 2" xfId="15470" xr:uid="{00000000-0005-0000-0000-000072310000}"/>
    <cellStyle name="Normal 2 2 3 4 3 3 2 2 2" xfId="35522" xr:uid="{00000000-0005-0000-0000-000073310000}"/>
    <cellStyle name="Normal 2 2 3 4 3 3 2 3" xfId="26492" xr:uid="{00000000-0005-0000-0000-000074310000}"/>
    <cellStyle name="Normal 2 2 3 4 3 3 3" xfId="10988" xr:uid="{00000000-0005-0000-0000-000075310000}"/>
    <cellStyle name="Normal 2 2 3 4 3 3 3 2" xfId="31040" xr:uid="{00000000-0005-0000-0000-000076310000}"/>
    <cellStyle name="Normal 2 2 3 4 3 3 4" xfId="22010" xr:uid="{00000000-0005-0000-0000-000077310000}"/>
    <cellStyle name="Normal 2 2 3 4 3 4" xfId="3452" xr:uid="{00000000-0005-0000-0000-000078310000}"/>
    <cellStyle name="Normal 2 2 3 4 3 4 2" xfId="7934" xr:uid="{00000000-0005-0000-0000-000079310000}"/>
    <cellStyle name="Normal 2 2 3 4 3 4 2 2" xfId="16964" xr:uid="{00000000-0005-0000-0000-00007A310000}"/>
    <cellStyle name="Normal 2 2 3 4 3 4 2 2 2" xfId="37016" xr:uid="{00000000-0005-0000-0000-00007B310000}"/>
    <cellStyle name="Normal 2 2 3 4 3 4 2 3" xfId="27986" xr:uid="{00000000-0005-0000-0000-00007C310000}"/>
    <cellStyle name="Normal 2 2 3 4 3 4 3" xfId="12482" xr:uid="{00000000-0005-0000-0000-00007D310000}"/>
    <cellStyle name="Normal 2 2 3 4 3 4 3 2" xfId="32534" xr:uid="{00000000-0005-0000-0000-00007E310000}"/>
    <cellStyle name="Normal 2 2 3 4 3 4 4" xfId="23504" xr:uid="{00000000-0005-0000-0000-00007F310000}"/>
    <cellStyle name="Normal 2 2 3 4 3 5" xfId="4946" xr:uid="{00000000-0005-0000-0000-000080310000}"/>
    <cellStyle name="Normal 2 2 3 4 3 5 2" xfId="13976" xr:uid="{00000000-0005-0000-0000-000081310000}"/>
    <cellStyle name="Normal 2 2 3 4 3 5 2 2" xfId="34028" xr:uid="{00000000-0005-0000-0000-000082310000}"/>
    <cellStyle name="Normal 2 2 3 4 3 5 3" xfId="24998" xr:uid="{00000000-0005-0000-0000-000083310000}"/>
    <cellStyle name="Normal 2 2 3 4 3 6" xfId="9494" xr:uid="{00000000-0005-0000-0000-000084310000}"/>
    <cellStyle name="Normal 2 2 3 4 3 6 2" xfId="29546" xr:uid="{00000000-0005-0000-0000-000085310000}"/>
    <cellStyle name="Normal 2 2 3 4 3 7" xfId="20516" xr:uid="{00000000-0005-0000-0000-000086310000}"/>
    <cellStyle name="Normal 2 2 3 4 4" xfId="650" xr:uid="{00000000-0005-0000-0000-000087310000}"/>
    <cellStyle name="Normal 2 2 3 4 4 2" xfId="1397" xr:uid="{00000000-0005-0000-0000-000088310000}"/>
    <cellStyle name="Normal 2 2 3 4 4 2 2" xfId="2891" xr:uid="{00000000-0005-0000-0000-000089310000}"/>
    <cellStyle name="Normal 2 2 3 4 4 2 2 2" xfId="7373" xr:uid="{00000000-0005-0000-0000-00008A310000}"/>
    <cellStyle name="Normal 2 2 3 4 4 2 2 2 2" xfId="16403" xr:uid="{00000000-0005-0000-0000-00008B310000}"/>
    <cellStyle name="Normal 2 2 3 4 4 2 2 2 2 2" xfId="36455" xr:uid="{00000000-0005-0000-0000-00008C310000}"/>
    <cellStyle name="Normal 2 2 3 4 4 2 2 2 3" xfId="27425" xr:uid="{00000000-0005-0000-0000-00008D310000}"/>
    <cellStyle name="Normal 2 2 3 4 4 2 2 3" xfId="11921" xr:uid="{00000000-0005-0000-0000-00008E310000}"/>
    <cellStyle name="Normal 2 2 3 4 4 2 2 3 2" xfId="31973" xr:uid="{00000000-0005-0000-0000-00008F310000}"/>
    <cellStyle name="Normal 2 2 3 4 4 2 2 4" xfId="22943" xr:uid="{00000000-0005-0000-0000-000090310000}"/>
    <cellStyle name="Normal 2 2 3 4 4 2 3" xfId="4385" xr:uid="{00000000-0005-0000-0000-000091310000}"/>
    <cellStyle name="Normal 2 2 3 4 4 2 3 2" xfId="8867" xr:uid="{00000000-0005-0000-0000-000092310000}"/>
    <cellStyle name="Normal 2 2 3 4 4 2 3 2 2" xfId="17897" xr:uid="{00000000-0005-0000-0000-000093310000}"/>
    <cellStyle name="Normal 2 2 3 4 4 2 3 2 2 2" xfId="37949" xr:uid="{00000000-0005-0000-0000-000094310000}"/>
    <cellStyle name="Normal 2 2 3 4 4 2 3 2 3" xfId="28919" xr:uid="{00000000-0005-0000-0000-000095310000}"/>
    <cellStyle name="Normal 2 2 3 4 4 2 3 3" xfId="13415" xr:uid="{00000000-0005-0000-0000-000096310000}"/>
    <cellStyle name="Normal 2 2 3 4 4 2 3 3 2" xfId="33467" xr:uid="{00000000-0005-0000-0000-000097310000}"/>
    <cellStyle name="Normal 2 2 3 4 4 2 3 4" xfId="24437" xr:uid="{00000000-0005-0000-0000-000098310000}"/>
    <cellStyle name="Normal 2 2 3 4 4 2 4" xfId="5879" xr:uid="{00000000-0005-0000-0000-000099310000}"/>
    <cellStyle name="Normal 2 2 3 4 4 2 4 2" xfId="14909" xr:uid="{00000000-0005-0000-0000-00009A310000}"/>
    <cellStyle name="Normal 2 2 3 4 4 2 4 2 2" xfId="34961" xr:uid="{00000000-0005-0000-0000-00009B310000}"/>
    <cellStyle name="Normal 2 2 3 4 4 2 4 3" xfId="25931" xr:uid="{00000000-0005-0000-0000-00009C310000}"/>
    <cellStyle name="Normal 2 2 3 4 4 2 5" xfId="10427" xr:uid="{00000000-0005-0000-0000-00009D310000}"/>
    <cellStyle name="Normal 2 2 3 4 4 2 5 2" xfId="30479" xr:uid="{00000000-0005-0000-0000-00009E310000}"/>
    <cellStyle name="Normal 2 2 3 4 4 2 6" xfId="21449" xr:uid="{00000000-0005-0000-0000-00009F310000}"/>
    <cellStyle name="Normal 2 2 3 4 4 3" xfId="2144" xr:uid="{00000000-0005-0000-0000-0000A0310000}"/>
    <cellStyle name="Normal 2 2 3 4 4 3 2" xfId="6626" xr:uid="{00000000-0005-0000-0000-0000A1310000}"/>
    <cellStyle name="Normal 2 2 3 4 4 3 2 2" xfId="15656" xr:uid="{00000000-0005-0000-0000-0000A2310000}"/>
    <cellStyle name="Normal 2 2 3 4 4 3 2 2 2" xfId="35708" xr:uid="{00000000-0005-0000-0000-0000A3310000}"/>
    <cellStyle name="Normal 2 2 3 4 4 3 2 3" xfId="26678" xr:uid="{00000000-0005-0000-0000-0000A4310000}"/>
    <cellStyle name="Normal 2 2 3 4 4 3 3" xfId="11174" xr:uid="{00000000-0005-0000-0000-0000A5310000}"/>
    <cellStyle name="Normal 2 2 3 4 4 3 3 2" xfId="31226" xr:uid="{00000000-0005-0000-0000-0000A6310000}"/>
    <cellStyle name="Normal 2 2 3 4 4 3 4" xfId="22196" xr:uid="{00000000-0005-0000-0000-0000A7310000}"/>
    <cellStyle name="Normal 2 2 3 4 4 4" xfId="3638" xr:uid="{00000000-0005-0000-0000-0000A8310000}"/>
    <cellStyle name="Normal 2 2 3 4 4 4 2" xfId="8120" xr:uid="{00000000-0005-0000-0000-0000A9310000}"/>
    <cellStyle name="Normal 2 2 3 4 4 4 2 2" xfId="17150" xr:uid="{00000000-0005-0000-0000-0000AA310000}"/>
    <cellStyle name="Normal 2 2 3 4 4 4 2 2 2" xfId="37202" xr:uid="{00000000-0005-0000-0000-0000AB310000}"/>
    <cellStyle name="Normal 2 2 3 4 4 4 2 3" xfId="28172" xr:uid="{00000000-0005-0000-0000-0000AC310000}"/>
    <cellStyle name="Normal 2 2 3 4 4 4 3" xfId="12668" xr:uid="{00000000-0005-0000-0000-0000AD310000}"/>
    <cellStyle name="Normal 2 2 3 4 4 4 3 2" xfId="32720" xr:uid="{00000000-0005-0000-0000-0000AE310000}"/>
    <cellStyle name="Normal 2 2 3 4 4 4 4" xfId="23690" xr:uid="{00000000-0005-0000-0000-0000AF310000}"/>
    <cellStyle name="Normal 2 2 3 4 4 5" xfId="5132" xr:uid="{00000000-0005-0000-0000-0000B0310000}"/>
    <cellStyle name="Normal 2 2 3 4 4 5 2" xfId="14162" xr:uid="{00000000-0005-0000-0000-0000B1310000}"/>
    <cellStyle name="Normal 2 2 3 4 4 5 2 2" xfId="34214" xr:uid="{00000000-0005-0000-0000-0000B2310000}"/>
    <cellStyle name="Normal 2 2 3 4 4 5 3" xfId="25184" xr:uid="{00000000-0005-0000-0000-0000B3310000}"/>
    <cellStyle name="Normal 2 2 3 4 4 6" xfId="9680" xr:uid="{00000000-0005-0000-0000-0000B4310000}"/>
    <cellStyle name="Normal 2 2 3 4 4 6 2" xfId="29732" xr:uid="{00000000-0005-0000-0000-0000B5310000}"/>
    <cellStyle name="Normal 2 2 3 4 4 7" xfId="20702" xr:uid="{00000000-0005-0000-0000-0000B6310000}"/>
    <cellStyle name="Normal 2 2 3 4 5" xfId="837" xr:uid="{00000000-0005-0000-0000-0000B7310000}"/>
    <cellStyle name="Normal 2 2 3 4 5 2" xfId="2331" xr:uid="{00000000-0005-0000-0000-0000B8310000}"/>
    <cellStyle name="Normal 2 2 3 4 5 2 2" xfId="6813" xr:uid="{00000000-0005-0000-0000-0000B9310000}"/>
    <cellStyle name="Normal 2 2 3 4 5 2 2 2" xfId="15843" xr:uid="{00000000-0005-0000-0000-0000BA310000}"/>
    <cellStyle name="Normal 2 2 3 4 5 2 2 2 2" xfId="35895" xr:uid="{00000000-0005-0000-0000-0000BB310000}"/>
    <cellStyle name="Normal 2 2 3 4 5 2 2 3" xfId="26865" xr:uid="{00000000-0005-0000-0000-0000BC310000}"/>
    <cellStyle name="Normal 2 2 3 4 5 2 3" xfId="11361" xr:uid="{00000000-0005-0000-0000-0000BD310000}"/>
    <cellStyle name="Normal 2 2 3 4 5 2 3 2" xfId="31413" xr:uid="{00000000-0005-0000-0000-0000BE310000}"/>
    <cellStyle name="Normal 2 2 3 4 5 2 4" xfId="22383" xr:uid="{00000000-0005-0000-0000-0000BF310000}"/>
    <cellStyle name="Normal 2 2 3 4 5 3" xfId="3825" xr:uid="{00000000-0005-0000-0000-0000C0310000}"/>
    <cellStyle name="Normal 2 2 3 4 5 3 2" xfId="8307" xr:uid="{00000000-0005-0000-0000-0000C1310000}"/>
    <cellStyle name="Normal 2 2 3 4 5 3 2 2" xfId="17337" xr:uid="{00000000-0005-0000-0000-0000C2310000}"/>
    <cellStyle name="Normal 2 2 3 4 5 3 2 2 2" xfId="37389" xr:uid="{00000000-0005-0000-0000-0000C3310000}"/>
    <cellStyle name="Normal 2 2 3 4 5 3 2 3" xfId="28359" xr:uid="{00000000-0005-0000-0000-0000C4310000}"/>
    <cellStyle name="Normal 2 2 3 4 5 3 3" xfId="12855" xr:uid="{00000000-0005-0000-0000-0000C5310000}"/>
    <cellStyle name="Normal 2 2 3 4 5 3 3 2" xfId="32907" xr:uid="{00000000-0005-0000-0000-0000C6310000}"/>
    <cellStyle name="Normal 2 2 3 4 5 3 4" xfId="23877" xr:uid="{00000000-0005-0000-0000-0000C7310000}"/>
    <cellStyle name="Normal 2 2 3 4 5 4" xfId="5319" xr:uid="{00000000-0005-0000-0000-0000C8310000}"/>
    <cellStyle name="Normal 2 2 3 4 5 4 2" xfId="14349" xr:uid="{00000000-0005-0000-0000-0000C9310000}"/>
    <cellStyle name="Normal 2 2 3 4 5 4 2 2" xfId="34401" xr:uid="{00000000-0005-0000-0000-0000CA310000}"/>
    <cellStyle name="Normal 2 2 3 4 5 4 3" xfId="25371" xr:uid="{00000000-0005-0000-0000-0000CB310000}"/>
    <cellStyle name="Normal 2 2 3 4 5 5" xfId="9867" xr:uid="{00000000-0005-0000-0000-0000CC310000}"/>
    <cellStyle name="Normal 2 2 3 4 5 5 2" xfId="29919" xr:uid="{00000000-0005-0000-0000-0000CD310000}"/>
    <cellStyle name="Normal 2 2 3 4 5 6" xfId="20889" xr:uid="{00000000-0005-0000-0000-0000CE310000}"/>
    <cellStyle name="Normal 2 2 3 4 6" xfId="1586" xr:uid="{00000000-0005-0000-0000-0000CF310000}"/>
    <cellStyle name="Normal 2 2 3 4 6 2" xfId="6068" xr:uid="{00000000-0005-0000-0000-0000D0310000}"/>
    <cellStyle name="Normal 2 2 3 4 6 2 2" xfId="15098" xr:uid="{00000000-0005-0000-0000-0000D1310000}"/>
    <cellStyle name="Normal 2 2 3 4 6 2 2 2" xfId="35150" xr:uid="{00000000-0005-0000-0000-0000D2310000}"/>
    <cellStyle name="Normal 2 2 3 4 6 2 3" xfId="26120" xr:uid="{00000000-0005-0000-0000-0000D3310000}"/>
    <cellStyle name="Normal 2 2 3 4 6 3" xfId="10616" xr:uid="{00000000-0005-0000-0000-0000D4310000}"/>
    <cellStyle name="Normal 2 2 3 4 6 3 2" xfId="30668" xr:uid="{00000000-0005-0000-0000-0000D5310000}"/>
    <cellStyle name="Normal 2 2 3 4 6 4" xfId="21638" xr:uid="{00000000-0005-0000-0000-0000D6310000}"/>
    <cellStyle name="Normal 2 2 3 4 7" xfId="3080" xr:uid="{00000000-0005-0000-0000-0000D7310000}"/>
    <cellStyle name="Normal 2 2 3 4 7 2" xfId="7562" xr:uid="{00000000-0005-0000-0000-0000D8310000}"/>
    <cellStyle name="Normal 2 2 3 4 7 2 2" xfId="16592" xr:uid="{00000000-0005-0000-0000-0000D9310000}"/>
    <cellStyle name="Normal 2 2 3 4 7 2 2 2" xfId="36644" xr:uid="{00000000-0005-0000-0000-0000DA310000}"/>
    <cellStyle name="Normal 2 2 3 4 7 2 3" xfId="27614" xr:uid="{00000000-0005-0000-0000-0000DB310000}"/>
    <cellStyle name="Normal 2 2 3 4 7 3" xfId="12110" xr:uid="{00000000-0005-0000-0000-0000DC310000}"/>
    <cellStyle name="Normal 2 2 3 4 7 3 2" xfId="32162" xr:uid="{00000000-0005-0000-0000-0000DD310000}"/>
    <cellStyle name="Normal 2 2 3 4 7 4" xfId="23132" xr:uid="{00000000-0005-0000-0000-0000DE310000}"/>
    <cellStyle name="Normal 2 2 3 4 8" xfId="4574" xr:uid="{00000000-0005-0000-0000-0000DF310000}"/>
    <cellStyle name="Normal 2 2 3 4 8 2" xfId="13604" xr:uid="{00000000-0005-0000-0000-0000E0310000}"/>
    <cellStyle name="Normal 2 2 3 4 8 2 2" xfId="33656" xr:uid="{00000000-0005-0000-0000-0000E1310000}"/>
    <cellStyle name="Normal 2 2 3 4 8 3" xfId="24626" xr:uid="{00000000-0005-0000-0000-0000E2310000}"/>
    <cellStyle name="Normal 2 2 3 4 9" xfId="9122" xr:uid="{00000000-0005-0000-0000-0000E3310000}"/>
    <cellStyle name="Normal 2 2 3 4 9 2" xfId="29174" xr:uid="{00000000-0005-0000-0000-0000E4310000}"/>
    <cellStyle name="Normal 2 2 3 5" xfId="108" xr:uid="{00000000-0005-0000-0000-0000E5310000}"/>
    <cellStyle name="Normal 2 2 3 5 10" xfId="20160" xr:uid="{00000000-0005-0000-0000-0000E6310000}"/>
    <cellStyle name="Normal 2 2 3 5 2" xfId="294" xr:uid="{00000000-0005-0000-0000-0000E7310000}"/>
    <cellStyle name="Normal 2 2 3 5 2 2" xfId="1037" xr:uid="{00000000-0005-0000-0000-0000E8310000}"/>
    <cellStyle name="Normal 2 2 3 5 2 2 2" xfId="2531" xr:uid="{00000000-0005-0000-0000-0000E9310000}"/>
    <cellStyle name="Normal 2 2 3 5 2 2 2 2" xfId="7013" xr:uid="{00000000-0005-0000-0000-0000EA310000}"/>
    <cellStyle name="Normal 2 2 3 5 2 2 2 2 2" xfId="16043" xr:uid="{00000000-0005-0000-0000-0000EB310000}"/>
    <cellStyle name="Normal 2 2 3 5 2 2 2 2 2 2" xfId="36095" xr:uid="{00000000-0005-0000-0000-0000EC310000}"/>
    <cellStyle name="Normal 2 2 3 5 2 2 2 2 3" xfId="27065" xr:uid="{00000000-0005-0000-0000-0000ED310000}"/>
    <cellStyle name="Normal 2 2 3 5 2 2 2 3" xfId="11561" xr:uid="{00000000-0005-0000-0000-0000EE310000}"/>
    <cellStyle name="Normal 2 2 3 5 2 2 2 3 2" xfId="31613" xr:uid="{00000000-0005-0000-0000-0000EF310000}"/>
    <cellStyle name="Normal 2 2 3 5 2 2 2 4" xfId="22583" xr:uid="{00000000-0005-0000-0000-0000F0310000}"/>
    <cellStyle name="Normal 2 2 3 5 2 2 3" xfId="4025" xr:uid="{00000000-0005-0000-0000-0000F1310000}"/>
    <cellStyle name="Normal 2 2 3 5 2 2 3 2" xfId="8507" xr:uid="{00000000-0005-0000-0000-0000F2310000}"/>
    <cellStyle name="Normal 2 2 3 5 2 2 3 2 2" xfId="17537" xr:uid="{00000000-0005-0000-0000-0000F3310000}"/>
    <cellStyle name="Normal 2 2 3 5 2 2 3 2 2 2" xfId="37589" xr:uid="{00000000-0005-0000-0000-0000F4310000}"/>
    <cellStyle name="Normal 2 2 3 5 2 2 3 2 3" xfId="28559" xr:uid="{00000000-0005-0000-0000-0000F5310000}"/>
    <cellStyle name="Normal 2 2 3 5 2 2 3 3" xfId="13055" xr:uid="{00000000-0005-0000-0000-0000F6310000}"/>
    <cellStyle name="Normal 2 2 3 5 2 2 3 3 2" xfId="33107" xr:uid="{00000000-0005-0000-0000-0000F7310000}"/>
    <cellStyle name="Normal 2 2 3 5 2 2 3 4" xfId="24077" xr:uid="{00000000-0005-0000-0000-0000F8310000}"/>
    <cellStyle name="Normal 2 2 3 5 2 2 4" xfId="5519" xr:uid="{00000000-0005-0000-0000-0000F9310000}"/>
    <cellStyle name="Normal 2 2 3 5 2 2 4 2" xfId="14549" xr:uid="{00000000-0005-0000-0000-0000FA310000}"/>
    <cellStyle name="Normal 2 2 3 5 2 2 4 2 2" xfId="34601" xr:uid="{00000000-0005-0000-0000-0000FB310000}"/>
    <cellStyle name="Normal 2 2 3 5 2 2 4 3" xfId="25571" xr:uid="{00000000-0005-0000-0000-0000FC310000}"/>
    <cellStyle name="Normal 2 2 3 5 2 2 5" xfId="10067" xr:uid="{00000000-0005-0000-0000-0000FD310000}"/>
    <cellStyle name="Normal 2 2 3 5 2 2 5 2" xfId="30119" xr:uid="{00000000-0005-0000-0000-0000FE310000}"/>
    <cellStyle name="Normal 2 2 3 5 2 2 6" xfId="21089" xr:uid="{00000000-0005-0000-0000-0000FF310000}"/>
    <cellStyle name="Normal 2 2 3 5 2 3" xfId="1788" xr:uid="{00000000-0005-0000-0000-000000320000}"/>
    <cellStyle name="Normal 2 2 3 5 2 3 2" xfId="6270" xr:uid="{00000000-0005-0000-0000-000001320000}"/>
    <cellStyle name="Normal 2 2 3 5 2 3 2 2" xfId="15300" xr:uid="{00000000-0005-0000-0000-000002320000}"/>
    <cellStyle name="Normal 2 2 3 5 2 3 2 2 2" xfId="35352" xr:uid="{00000000-0005-0000-0000-000003320000}"/>
    <cellStyle name="Normal 2 2 3 5 2 3 2 3" xfId="26322" xr:uid="{00000000-0005-0000-0000-000004320000}"/>
    <cellStyle name="Normal 2 2 3 5 2 3 3" xfId="10818" xr:uid="{00000000-0005-0000-0000-000005320000}"/>
    <cellStyle name="Normal 2 2 3 5 2 3 3 2" xfId="30870" xr:uid="{00000000-0005-0000-0000-000006320000}"/>
    <cellStyle name="Normal 2 2 3 5 2 3 4" xfId="21840" xr:uid="{00000000-0005-0000-0000-000007320000}"/>
    <cellStyle name="Normal 2 2 3 5 2 4" xfId="3282" xr:uid="{00000000-0005-0000-0000-000008320000}"/>
    <cellStyle name="Normal 2 2 3 5 2 4 2" xfId="7764" xr:uid="{00000000-0005-0000-0000-000009320000}"/>
    <cellStyle name="Normal 2 2 3 5 2 4 2 2" xfId="16794" xr:uid="{00000000-0005-0000-0000-00000A320000}"/>
    <cellStyle name="Normal 2 2 3 5 2 4 2 2 2" xfId="36846" xr:uid="{00000000-0005-0000-0000-00000B320000}"/>
    <cellStyle name="Normal 2 2 3 5 2 4 2 3" xfId="27816" xr:uid="{00000000-0005-0000-0000-00000C320000}"/>
    <cellStyle name="Normal 2 2 3 5 2 4 3" xfId="12312" xr:uid="{00000000-0005-0000-0000-00000D320000}"/>
    <cellStyle name="Normal 2 2 3 5 2 4 3 2" xfId="32364" xr:uid="{00000000-0005-0000-0000-00000E320000}"/>
    <cellStyle name="Normal 2 2 3 5 2 4 4" xfId="23334" xr:uid="{00000000-0005-0000-0000-00000F320000}"/>
    <cellStyle name="Normal 2 2 3 5 2 5" xfId="4776" xr:uid="{00000000-0005-0000-0000-000010320000}"/>
    <cellStyle name="Normal 2 2 3 5 2 5 2" xfId="13806" xr:uid="{00000000-0005-0000-0000-000011320000}"/>
    <cellStyle name="Normal 2 2 3 5 2 5 2 2" xfId="33858" xr:uid="{00000000-0005-0000-0000-000012320000}"/>
    <cellStyle name="Normal 2 2 3 5 2 5 3" xfId="24828" xr:uid="{00000000-0005-0000-0000-000013320000}"/>
    <cellStyle name="Normal 2 2 3 5 2 6" xfId="9324" xr:uid="{00000000-0005-0000-0000-000014320000}"/>
    <cellStyle name="Normal 2 2 3 5 2 6 2" xfId="29376" xr:uid="{00000000-0005-0000-0000-000015320000}"/>
    <cellStyle name="Normal 2 2 3 5 2 7" xfId="20346" xr:uid="{00000000-0005-0000-0000-000016320000}"/>
    <cellStyle name="Normal 2 2 3 5 3" xfId="480" xr:uid="{00000000-0005-0000-0000-000017320000}"/>
    <cellStyle name="Normal 2 2 3 5 3 2" xfId="1227" xr:uid="{00000000-0005-0000-0000-000018320000}"/>
    <cellStyle name="Normal 2 2 3 5 3 2 2" xfId="2721" xr:uid="{00000000-0005-0000-0000-000019320000}"/>
    <cellStyle name="Normal 2 2 3 5 3 2 2 2" xfId="7203" xr:uid="{00000000-0005-0000-0000-00001A320000}"/>
    <cellStyle name="Normal 2 2 3 5 3 2 2 2 2" xfId="16233" xr:uid="{00000000-0005-0000-0000-00001B320000}"/>
    <cellStyle name="Normal 2 2 3 5 3 2 2 2 2 2" xfId="36285" xr:uid="{00000000-0005-0000-0000-00001C320000}"/>
    <cellStyle name="Normal 2 2 3 5 3 2 2 2 3" xfId="27255" xr:uid="{00000000-0005-0000-0000-00001D320000}"/>
    <cellStyle name="Normal 2 2 3 5 3 2 2 3" xfId="11751" xr:uid="{00000000-0005-0000-0000-00001E320000}"/>
    <cellStyle name="Normal 2 2 3 5 3 2 2 3 2" xfId="31803" xr:uid="{00000000-0005-0000-0000-00001F320000}"/>
    <cellStyle name="Normal 2 2 3 5 3 2 2 4" xfId="22773" xr:uid="{00000000-0005-0000-0000-000020320000}"/>
    <cellStyle name="Normal 2 2 3 5 3 2 3" xfId="4215" xr:uid="{00000000-0005-0000-0000-000021320000}"/>
    <cellStyle name="Normal 2 2 3 5 3 2 3 2" xfId="8697" xr:uid="{00000000-0005-0000-0000-000022320000}"/>
    <cellStyle name="Normal 2 2 3 5 3 2 3 2 2" xfId="17727" xr:uid="{00000000-0005-0000-0000-000023320000}"/>
    <cellStyle name="Normal 2 2 3 5 3 2 3 2 2 2" xfId="37779" xr:uid="{00000000-0005-0000-0000-000024320000}"/>
    <cellStyle name="Normal 2 2 3 5 3 2 3 2 3" xfId="28749" xr:uid="{00000000-0005-0000-0000-000025320000}"/>
    <cellStyle name="Normal 2 2 3 5 3 2 3 3" xfId="13245" xr:uid="{00000000-0005-0000-0000-000026320000}"/>
    <cellStyle name="Normal 2 2 3 5 3 2 3 3 2" xfId="33297" xr:uid="{00000000-0005-0000-0000-000027320000}"/>
    <cellStyle name="Normal 2 2 3 5 3 2 3 4" xfId="24267" xr:uid="{00000000-0005-0000-0000-000028320000}"/>
    <cellStyle name="Normal 2 2 3 5 3 2 4" xfId="5709" xr:uid="{00000000-0005-0000-0000-000029320000}"/>
    <cellStyle name="Normal 2 2 3 5 3 2 4 2" xfId="14739" xr:uid="{00000000-0005-0000-0000-00002A320000}"/>
    <cellStyle name="Normal 2 2 3 5 3 2 4 2 2" xfId="34791" xr:uid="{00000000-0005-0000-0000-00002B320000}"/>
    <cellStyle name="Normal 2 2 3 5 3 2 4 3" xfId="25761" xr:uid="{00000000-0005-0000-0000-00002C320000}"/>
    <cellStyle name="Normal 2 2 3 5 3 2 5" xfId="10257" xr:uid="{00000000-0005-0000-0000-00002D320000}"/>
    <cellStyle name="Normal 2 2 3 5 3 2 5 2" xfId="30309" xr:uid="{00000000-0005-0000-0000-00002E320000}"/>
    <cellStyle name="Normal 2 2 3 5 3 2 6" xfId="21279" xr:uid="{00000000-0005-0000-0000-00002F320000}"/>
    <cellStyle name="Normal 2 2 3 5 3 3" xfId="1974" xr:uid="{00000000-0005-0000-0000-000030320000}"/>
    <cellStyle name="Normal 2 2 3 5 3 3 2" xfId="6456" xr:uid="{00000000-0005-0000-0000-000031320000}"/>
    <cellStyle name="Normal 2 2 3 5 3 3 2 2" xfId="15486" xr:uid="{00000000-0005-0000-0000-000032320000}"/>
    <cellStyle name="Normal 2 2 3 5 3 3 2 2 2" xfId="35538" xr:uid="{00000000-0005-0000-0000-000033320000}"/>
    <cellStyle name="Normal 2 2 3 5 3 3 2 3" xfId="26508" xr:uid="{00000000-0005-0000-0000-000034320000}"/>
    <cellStyle name="Normal 2 2 3 5 3 3 3" xfId="11004" xr:uid="{00000000-0005-0000-0000-000035320000}"/>
    <cellStyle name="Normal 2 2 3 5 3 3 3 2" xfId="31056" xr:uid="{00000000-0005-0000-0000-000036320000}"/>
    <cellStyle name="Normal 2 2 3 5 3 3 4" xfId="22026" xr:uid="{00000000-0005-0000-0000-000037320000}"/>
    <cellStyle name="Normal 2 2 3 5 3 4" xfId="3468" xr:uid="{00000000-0005-0000-0000-000038320000}"/>
    <cellStyle name="Normal 2 2 3 5 3 4 2" xfId="7950" xr:uid="{00000000-0005-0000-0000-000039320000}"/>
    <cellStyle name="Normal 2 2 3 5 3 4 2 2" xfId="16980" xr:uid="{00000000-0005-0000-0000-00003A320000}"/>
    <cellStyle name="Normal 2 2 3 5 3 4 2 2 2" xfId="37032" xr:uid="{00000000-0005-0000-0000-00003B320000}"/>
    <cellStyle name="Normal 2 2 3 5 3 4 2 3" xfId="28002" xr:uid="{00000000-0005-0000-0000-00003C320000}"/>
    <cellStyle name="Normal 2 2 3 5 3 4 3" xfId="12498" xr:uid="{00000000-0005-0000-0000-00003D320000}"/>
    <cellStyle name="Normal 2 2 3 5 3 4 3 2" xfId="32550" xr:uid="{00000000-0005-0000-0000-00003E320000}"/>
    <cellStyle name="Normal 2 2 3 5 3 4 4" xfId="23520" xr:uid="{00000000-0005-0000-0000-00003F320000}"/>
    <cellStyle name="Normal 2 2 3 5 3 5" xfId="4962" xr:uid="{00000000-0005-0000-0000-000040320000}"/>
    <cellStyle name="Normal 2 2 3 5 3 5 2" xfId="13992" xr:uid="{00000000-0005-0000-0000-000041320000}"/>
    <cellStyle name="Normal 2 2 3 5 3 5 2 2" xfId="34044" xr:uid="{00000000-0005-0000-0000-000042320000}"/>
    <cellStyle name="Normal 2 2 3 5 3 5 3" xfId="25014" xr:uid="{00000000-0005-0000-0000-000043320000}"/>
    <cellStyle name="Normal 2 2 3 5 3 6" xfId="9510" xr:uid="{00000000-0005-0000-0000-000044320000}"/>
    <cellStyle name="Normal 2 2 3 5 3 6 2" xfId="29562" xr:uid="{00000000-0005-0000-0000-000045320000}"/>
    <cellStyle name="Normal 2 2 3 5 3 7" xfId="20532" xr:uid="{00000000-0005-0000-0000-000046320000}"/>
    <cellStyle name="Normal 2 2 3 5 4" xfId="666" xr:uid="{00000000-0005-0000-0000-000047320000}"/>
    <cellStyle name="Normal 2 2 3 5 4 2" xfId="1413" xr:uid="{00000000-0005-0000-0000-000048320000}"/>
    <cellStyle name="Normal 2 2 3 5 4 2 2" xfId="2907" xr:uid="{00000000-0005-0000-0000-000049320000}"/>
    <cellStyle name="Normal 2 2 3 5 4 2 2 2" xfId="7389" xr:uid="{00000000-0005-0000-0000-00004A320000}"/>
    <cellStyle name="Normal 2 2 3 5 4 2 2 2 2" xfId="16419" xr:uid="{00000000-0005-0000-0000-00004B320000}"/>
    <cellStyle name="Normal 2 2 3 5 4 2 2 2 2 2" xfId="36471" xr:uid="{00000000-0005-0000-0000-00004C320000}"/>
    <cellStyle name="Normal 2 2 3 5 4 2 2 2 3" xfId="27441" xr:uid="{00000000-0005-0000-0000-00004D320000}"/>
    <cellStyle name="Normal 2 2 3 5 4 2 2 3" xfId="11937" xr:uid="{00000000-0005-0000-0000-00004E320000}"/>
    <cellStyle name="Normal 2 2 3 5 4 2 2 3 2" xfId="31989" xr:uid="{00000000-0005-0000-0000-00004F320000}"/>
    <cellStyle name="Normal 2 2 3 5 4 2 2 4" xfId="22959" xr:uid="{00000000-0005-0000-0000-000050320000}"/>
    <cellStyle name="Normal 2 2 3 5 4 2 3" xfId="4401" xr:uid="{00000000-0005-0000-0000-000051320000}"/>
    <cellStyle name="Normal 2 2 3 5 4 2 3 2" xfId="8883" xr:uid="{00000000-0005-0000-0000-000052320000}"/>
    <cellStyle name="Normal 2 2 3 5 4 2 3 2 2" xfId="17913" xr:uid="{00000000-0005-0000-0000-000053320000}"/>
    <cellStyle name="Normal 2 2 3 5 4 2 3 2 2 2" xfId="37965" xr:uid="{00000000-0005-0000-0000-000054320000}"/>
    <cellStyle name="Normal 2 2 3 5 4 2 3 2 3" xfId="28935" xr:uid="{00000000-0005-0000-0000-000055320000}"/>
    <cellStyle name="Normal 2 2 3 5 4 2 3 3" xfId="13431" xr:uid="{00000000-0005-0000-0000-000056320000}"/>
    <cellStyle name="Normal 2 2 3 5 4 2 3 3 2" xfId="33483" xr:uid="{00000000-0005-0000-0000-000057320000}"/>
    <cellStyle name="Normal 2 2 3 5 4 2 3 4" xfId="24453" xr:uid="{00000000-0005-0000-0000-000058320000}"/>
    <cellStyle name="Normal 2 2 3 5 4 2 4" xfId="5895" xr:uid="{00000000-0005-0000-0000-000059320000}"/>
    <cellStyle name="Normal 2 2 3 5 4 2 4 2" xfId="14925" xr:uid="{00000000-0005-0000-0000-00005A320000}"/>
    <cellStyle name="Normal 2 2 3 5 4 2 4 2 2" xfId="34977" xr:uid="{00000000-0005-0000-0000-00005B320000}"/>
    <cellStyle name="Normal 2 2 3 5 4 2 4 3" xfId="25947" xr:uid="{00000000-0005-0000-0000-00005C320000}"/>
    <cellStyle name="Normal 2 2 3 5 4 2 5" xfId="10443" xr:uid="{00000000-0005-0000-0000-00005D320000}"/>
    <cellStyle name="Normal 2 2 3 5 4 2 5 2" xfId="30495" xr:uid="{00000000-0005-0000-0000-00005E320000}"/>
    <cellStyle name="Normal 2 2 3 5 4 2 6" xfId="21465" xr:uid="{00000000-0005-0000-0000-00005F320000}"/>
    <cellStyle name="Normal 2 2 3 5 4 3" xfId="2160" xr:uid="{00000000-0005-0000-0000-000060320000}"/>
    <cellStyle name="Normal 2 2 3 5 4 3 2" xfId="6642" xr:uid="{00000000-0005-0000-0000-000061320000}"/>
    <cellStyle name="Normal 2 2 3 5 4 3 2 2" xfId="15672" xr:uid="{00000000-0005-0000-0000-000062320000}"/>
    <cellStyle name="Normal 2 2 3 5 4 3 2 2 2" xfId="35724" xr:uid="{00000000-0005-0000-0000-000063320000}"/>
    <cellStyle name="Normal 2 2 3 5 4 3 2 3" xfId="26694" xr:uid="{00000000-0005-0000-0000-000064320000}"/>
    <cellStyle name="Normal 2 2 3 5 4 3 3" xfId="11190" xr:uid="{00000000-0005-0000-0000-000065320000}"/>
    <cellStyle name="Normal 2 2 3 5 4 3 3 2" xfId="31242" xr:uid="{00000000-0005-0000-0000-000066320000}"/>
    <cellStyle name="Normal 2 2 3 5 4 3 4" xfId="22212" xr:uid="{00000000-0005-0000-0000-000067320000}"/>
    <cellStyle name="Normal 2 2 3 5 4 4" xfId="3654" xr:uid="{00000000-0005-0000-0000-000068320000}"/>
    <cellStyle name="Normal 2 2 3 5 4 4 2" xfId="8136" xr:uid="{00000000-0005-0000-0000-000069320000}"/>
    <cellStyle name="Normal 2 2 3 5 4 4 2 2" xfId="17166" xr:uid="{00000000-0005-0000-0000-00006A320000}"/>
    <cellStyle name="Normal 2 2 3 5 4 4 2 2 2" xfId="37218" xr:uid="{00000000-0005-0000-0000-00006B320000}"/>
    <cellStyle name="Normal 2 2 3 5 4 4 2 3" xfId="28188" xr:uid="{00000000-0005-0000-0000-00006C320000}"/>
    <cellStyle name="Normal 2 2 3 5 4 4 3" xfId="12684" xr:uid="{00000000-0005-0000-0000-00006D320000}"/>
    <cellStyle name="Normal 2 2 3 5 4 4 3 2" xfId="32736" xr:uid="{00000000-0005-0000-0000-00006E320000}"/>
    <cellStyle name="Normal 2 2 3 5 4 4 4" xfId="23706" xr:uid="{00000000-0005-0000-0000-00006F320000}"/>
    <cellStyle name="Normal 2 2 3 5 4 5" xfId="5148" xr:uid="{00000000-0005-0000-0000-000070320000}"/>
    <cellStyle name="Normal 2 2 3 5 4 5 2" xfId="14178" xr:uid="{00000000-0005-0000-0000-000071320000}"/>
    <cellStyle name="Normal 2 2 3 5 4 5 2 2" xfId="34230" xr:uid="{00000000-0005-0000-0000-000072320000}"/>
    <cellStyle name="Normal 2 2 3 5 4 5 3" xfId="25200" xr:uid="{00000000-0005-0000-0000-000073320000}"/>
    <cellStyle name="Normal 2 2 3 5 4 6" xfId="9696" xr:uid="{00000000-0005-0000-0000-000074320000}"/>
    <cellStyle name="Normal 2 2 3 5 4 6 2" xfId="29748" xr:uid="{00000000-0005-0000-0000-000075320000}"/>
    <cellStyle name="Normal 2 2 3 5 4 7" xfId="20718" xr:uid="{00000000-0005-0000-0000-000076320000}"/>
    <cellStyle name="Normal 2 2 3 5 5" xfId="853" xr:uid="{00000000-0005-0000-0000-000077320000}"/>
    <cellStyle name="Normal 2 2 3 5 5 2" xfId="2347" xr:uid="{00000000-0005-0000-0000-000078320000}"/>
    <cellStyle name="Normal 2 2 3 5 5 2 2" xfId="6829" xr:uid="{00000000-0005-0000-0000-000079320000}"/>
    <cellStyle name="Normal 2 2 3 5 5 2 2 2" xfId="15859" xr:uid="{00000000-0005-0000-0000-00007A320000}"/>
    <cellStyle name="Normal 2 2 3 5 5 2 2 2 2" xfId="35911" xr:uid="{00000000-0005-0000-0000-00007B320000}"/>
    <cellStyle name="Normal 2 2 3 5 5 2 2 3" xfId="26881" xr:uid="{00000000-0005-0000-0000-00007C320000}"/>
    <cellStyle name="Normal 2 2 3 5 5 2 3" xfId="11377" xr:uid="{00000000-0005-0000-0000-00007D320000}"/>
    <cellStyle name="Normal 2 2 3 5 5 2 3 2" xfId="31429" xr:uid="{00000000-0005-0000-0000-00007E320000}"/>
    <cellStyle name="Normal 2 2 3 5 5 2 4" xfId="22399" xr:uid="{00000000-0005-0000-0000-00007F320000}"/>
    <cellStyle name="Normal 2 2 3 5 5 3" xfId="3841" xr:uid="{00000000-0005-0000-0000-000080320000}"/>
    <cellStyle name="Normal 2 2 3 5 5 3 2" xfId="8323" xr:uid="{00000000-0005-0000-0000-000081320000}"/>
    <cellStyle name="Normal 2 2 3 5 5 3 2 2" xfId="17353" xr:uid="{00000000-0005-0000-0000-000082320000}"/>
    <cellStyle name="Normal 2 2 3 5 5 3 2 2 2" xfId="37405" xr:uid="{00000000-0005-0000-0000-000083320000}"/>
    <cellStyle name="Normal 2 2 3 5 5 3 2 3" xfId="28375" xr:uid="{00000000-0005-0000-0000-000084320000}"/>
    <cellStyle name="Normal 2 2 3 5 5 3 3" xfId="12871" xr:uid="{00000000-0005-0000-0000-000085320000}"/>
    <cellStyle name="Normal 2 2 3 5 5 3 3 2" xfId="32923" xr:uid="{00000000-0005-0000-0000-000086320000}"/>
    <cellStyle name="Normal 2 2 3 5 5 3 4" xfId="23893" xr:uid="{00000000-0005-0000-0000-000087320000}"/>
    <cellStyle name="Normal 2 2 3 5 5 4" xfId="5335" xr:uid="{00000000-0005-0000-0000-000088320000}"/>
    <cellStyle name="Normal 2 2 3 5 5 4 2" xfId="14365" xr:uid="{00000000-0005-0000-0000-000089320000}"/>
    <cellStyle name="Normal 2 2 3 5 5 4 2 2" xfId="34417" xr:uid="{00000000-0005-0000-0000-00008A320000}"/>
    <cellStyle name="Normal 2 2 3 5 5 4 3" xfId="25387" xr:uid="{00000000-0005-0000-0000-00008B320000}"/>
    <cellStyle name="Normal 2 2 3 5 5 5" xfId="9883" xr:uid="{00000000-0005-0000-0000-00008C320000}"/>
    <cellStyle name="Normal 2 2 3 5 5 5 2" xfId="29935" xr:uid="{00000000-0005-0000-0000-00008D320000}"/>
    <cellStyle name="Normal 2 2 3 5 5 6" xfId="20905" xr:uid="{00000000-0005-0000-0000-00008E320000}"/>
    <cellStyle name="Normal 2 2 3 5 6" xfId="1602" xr:uid="{00000000-0005-0000-0000-00008F320000}"/>
    <cellStyle name="Normal 2 2 3 5 6 2" xfId="6084" xr:uid="{00000000-0005-0000-0000-000090320000}"/>
    <cellStyle name="Normal 2 2 3 5 6 2 2" xfId="15114" xr:uid="{00000000-0005-0000-0000-000091320000}"/>
    <cellStyle name="Normal 2 2 3 5 6 2 2 2" xfId="35166" xr:uid="{00000000-0005-0000-0000-000092320000}"/>
    <cellStyle name="Normal 2 2 3 5 6 2 3" xfId="26136" xr:uid="{00000000-0005-0000-0000-000093320000}"/>
    <cellStyle name="Normal 2 2 3 5 6 3" xfId="10632" xr:uid="{00000000-0005-0000-0000-000094320000}"/>
    <cellStyle name="Normal 2 2 3 5 6 3 2" xfId="30684" xr:uid="{00000000-0005-0000-0000-000095320000}"/>
    <cellStyle name="Normal 2 2 3 5 6 4" xfId="21654" xr:uid="{00000000-0005-0000-0000-000096320000}"/>
    <cellStyle name="Normal 2 2 3 5 7" xfId="3096" xr:uid="{00000000-0005-0000-0000-000097320000}"/>
    <cellStyle name="Normal 2 2 3 5 7 2" xfId="7578" xr:uid="{00000000-0005-0000-0000-000098320000}"/>
    <cellStyle name="Normal 2 2 3 5 7 2 2" xfId="16608" xr:uid="{00000000-0005-0000-0000-000099320000}"/>
    <cellStyle name="Normal 2 2 3 5 7 2 2 2" xfId="36660" xr:uid="{00000000-0005-0000-0000-00009A320000}"/>
    <cellStyle name="Normal 2 2 3 5 7 2 3" xfId="27630" xr:uid="{00000000-0005-0000-0000-00009B320000}"/>
    <cellStyle name="Normal 2 2 3 5 7 3" xfId="12126" xr:uid="{00000000-0005-0000-0000-00009C320000}"/>
    <cellStyle name="Normal 2 2 3 5 7 3 2" xfId="32178" xr:uid="{00000000-0005-0000-0000-00009D320000}"/>
    <cellStyle name="Normal 2 2 3 5 7 4" xfId="23148" xr:uid="{00000000-0005-0000-0000-00009E320000}"/>
    <cellStyle name="Normal 2 2 3 5 8" xfId="4590" xr:uid="{00000000-0005-0000-0000-00009F320000}"/>
    <cellStyle name="Normal 2 2 3 5 8 2" xfId="13620" xr:uid="{00000000-0005-0000-0000-0000A0320000}"/>
    <cellStyle name="Normal 2 2 3 5 8 2 2" xfId="33672" xr:uid="{00000000-0005-0000-0000-0000A1320000}"/>
    <cellStyle name="Normal 2 2 3 5 8 3" xfId="24642" xr:uid="{00000000-0005-0000-0000-0000A2320000}"/>
    <cellStyle name="Normal 2 2 3 5 9" xfId="9138" xr:uid="{00000000-0005-0000-0000-0000A3320000}"/>
    <cellStyle name="Normal 2 2 3 5 9 2" xfId="29190" xr:uid="{00000000-0005-0000-0000-0000A4320000}"/>
    <cellStyle name="Normal 2 2 3 6" xfId="139" xr:uid="{00000000-0005-0000-0000-0000A5320000}"/>
    <cellStyle name="Normal 2 2 3 6 10" xfId="20191" xr:uid="{00000000-0005-0000-0000-0000A6320000}"/>
    <cellStyle name="Normal 2 2 3 6 2" xfId="325" xr:uid="{00000000-0005-0000-0000-0000A7320000}"/>
    <cellStyle name="Normal 2 2 3 6 2 2" xfId="1068" xr:uid="{00000000-0005-0000-0000-0000A8320000}"/>
    <cellStyle name="Normal 2 2 3 6 2 2 2" xfId="2562" xr:uid="{00000000-0005-0000-0000-0000A9320000}"/>
    <cellStyle name="Normal 2 2 3 6 2 2 2 2" xfId="7044" xr:uid="{00000000-0005-0000-0000-0000AA320000}"/>
    <cellStyle name="Normal 2 2 3 6 2 2 2 2 2" xfId="16074" xr:uid="{00000000-0005-0000-0000-0000AB320000}"/>
    <cellStyle name="Normal 2 2 3 6 2 2 2 2 2 2" xfId="36126" xr:uid="{00000000-0005-0000-0000-0000AC320000}"/>
    <cellStyle name="Normal 2 2 3 6 2 2 2 2 3" xfId="27096" xr:uid="{00000000-0005-0000-0000-0000AD320000}"/>
    <cellStyle name="Normal 2 2 3 6 2 2 2 3" xfId="11592" xr:uid="{00000000-0005-0000-0000-0000AE320000}"/>
    <cellStyle name="Normal 2 2 3 6 2 2 2 3 2" xfId="31644" xr:uid="{00000000-0005-0000-0000-0000AF320000}"/>
    <cellStyle name="Normal 2 2 3 6 2 2 2 4" xfId="22614" xr:uid="{00000000-0005-0000-0000-0000B0320000}"/>
    <cellStyle name="Normal 2 2 3 6 2 2 3" xfId="4056" xr:uid="{00000000-0005-0000-0000-0000B1320000}"/>
    <cellStyle name="Normal 2 2 3 6 2 2 3 2" xfId="8538" xr:uid="{00000000-0005-0000-0000-0000B2320000}"/>
    <cellStyle name="Normal 2 2 3 6 2 2 3 2 2" xfId="17568" xr:uid="{00000000-0005-0000-0000-0000B3320000}"/>
    <cellStyle name="Normal 2 2 3 6 2 2 3 2 2 2" xfId="37620" xr:uid="{00000000-0005-0000-0000-0000B4320000}"/>
    <cellStyle name="Normal 2 2 3 6 2 2 3 2 3" xfId="28590" xr:uid="{00000000-0005-0000-0000-0000B5320000}"/>
    <cellStyle name="Normal 2 2 3 6 2 2 3 3" xfId="13086" xr:uid="{00000000-0005-0000-0000-0000B6320000}"/>
    <cellStyle name="Normal 2 2 3 6 2 2 3 3 2" xfId="33138" xr:uid="{00000000-0005-0000-0000-0000B7320000}"/>
    <cellStyle name="Normal 2 2 3 6 2 2 3 4" xfId="24108" xr:uid="{00000000-0005-0000-0000-0000B8320000}"/>
    <cellStyle name="Normal 2 2 3 6 2 2 4" xfId="5550" xr:uid="{00000000-0005-0000-0000-0000B9320000}"/>
    <cellStyle name="Normal 2 2 3 6 2 2 4 2" xfId="14580" xr:uid="{00000000-0005-0000-0000-0000BA320000}"/>
    <cellStyle name="Normal 2 2 3 6 2 2 4 2 2" xfId="34632" xr:uid="{00000000-0005-0000-0000-0000BB320000}"/>
    <cellStyle name="Normal 2 2 3 6 2 2 4 3" xfId="25602" xr:uid="{00000000-0005-0000-0000-0000BC320000}"/>
    <cellStyle name="Normal 2 2 3 6 2 2 5" xfId="10098" xr:uid="{00000000-0005-0000-0000-0000BD320000}"/>
    <cellStyle name="Normal 2 2 3 6 2 2 5 2" xfId="30150" xr:uid="{00000000-0005-0000-0000-0000BE320000}"/>
    <cellStyle name="Normal 2 2 3 6 2 2 6" xfId="21120" xr:uid="{00000000-0005-0000-0000-0000BF320000}"/>
    <cellStyle name="Normal 2 2 3 6 2 3" xfId="1819" xr:uid="{00000000-0005-0000-0000-0000C0320000}"/>
    <cellStyle name="Normal 2 2 3 6 2 3 2" xfId="6301" xr:uid="{00000000-0005-0000-0000-0000C1320000}"/>
    <cellStyle name="Normal 2 2 3 6 2 3 2 2" xfId="15331" xr:uid="{00000000-0005-0000-0000-0000C2320000}"/>
    <cellStyle name="Normal 2 2 3 6 2 3 2 2 2" xfId="35383" xr:uid="{00000000-0005-0000-0000-0000C3320000}"/>
    <cellStyle name="Normal 2 2 3 6 2 3 2 3" xfId="26353" xr:uid="{00000000-0005-0000-0000-0000C4320000}"/>
    <cellStyle name="Normal 2 2 3 6 2 3 3" xfId="10849" xr:uid="{00000000-0005-0000-0000-0000C5320000}"/>
    <cellStyle name="Normal 2 2 3 6 2 3 3 2" xfId="30901" xr:uid="{00000000-0005-0000-0000-0000C6320000}"/>
    <cellStyle name="Normal 2 2 3 6 2 3 4" xfId="21871" xr:uid="{00000000-0005-0000-0000-0000C7320000}"/>
    <cellStyle name="Normal 2 2 3 6 2 4" xfId="3313" xr:uid="{00000000-0005-0000-0000-0000C8320000}"/>
    <cellStyle name="Normal 2 2 3 6 2 4 2" xfId="7795" xr:uid="{00000000-0005-0000-0000-0000C9320000}"/>
    <cellStyle name="Normal 2 2 3 6 2 4 2 2" xfId="16825" xr:uid="{00000000-0005-0000-0000-0000CA320000}"/>
    <cellStyle name="Normal 2 2 3 6 2 4 2 2 2" xfId="36877" xr:uid="{00000000-0005-0000-0000-0000CB320000}"/>
    <cellStyle name="Normal 2 2 3 6 2 4 2 3" xfId="27847" xr:uid="{00000000-0005-0000-0000-0000CC320000}"/>
    <cellStyle name="Normal 2 2 3 6 2 4 3" xfId="12343" xr:uid="{00000000-0005-0000-0000-0000CD320000}"/>
    <cellStyle name="Normal 2 2 3 6 2 4 3 2" xfId="32395" xr:uid="{00000000-0005-0000-0000-0000CE320000}"/>
    <cellStyle name="Normal 2 2 3 6 2 4 4" xfId="23365" xr:uid="{00000000-0005-0000-0000-0000CF320000}"/>
    <cellStyle name="Normal 2 2 3 6 2 5" xfId="4807" xr:uid="{00000000-0005-0000-0000-0000D0320000}"/>
    <cellStyle name="Normal 2 2 3 6 2 5 2" xfId="13837" xr:uid="{00000000-0005-0000-0000-0000D1320000}"/>
    <cellStyle name="Normal 2 2 3 6 2 5 2 2" xfId="33889" xr:uid="{00000000-0005-0000-0000-0000D2320000}"/>
    <cellStyle name="Normal 2 2 3 6 2 5 3" xfId="24859" xr:uid="{00000000-0005-0000-0000-0000D3320000}"/>
    <cellStyle name="Normal 2 2 3 6 2 6" xfId="9355" xr:uid="{00000000-0005-0000-0000-0000D4320000}"/>
    <cellStyle name="Normal 2 2 3 6 2 6 2" xfId="29407" xr:uid="{00000000-0005-0000-0000-0000D5320000}"/>
    <cellStyle name="Normal 2 2 3 6 2 7" xfId="20377" xr:uid="{00000000-0005-0000-0000-0000D6320000}"/>
    <cellStyle name="Normal 2 2 3 6 3" xfId="511" xr:uid="{00000000-0005-0000-0000-0000D7320000}"/>
    <cellStyle name="Normal 2 2 3 6 3 2" xfId="1258" xr:uid="{00000000-0005-0000-0000-0000D8320000}"/>
    <cellStyle name="Normal 2 2 3 6 3 2 2" xfId="2752" xr:uid="{00000000-0005-0000-0000-0000D9320000}"/>
    <cellStyle name="Normal 2 2 3 6 3 2 2 2" xfId="7234" xr:uid="{00000000-0005-0000-0000-0000DA320000}"/>
    <cellStyle name="Normal 2 2 3 6 3 2 2 2 2" xfId="16264" xr:uid="{00000000-0005-0000-0000-0000DB320000}"/>
    <cellStyle name="Normal 2 2 3 6 3 2 2 2 2 2" xfId="36316" xr:uid="{00000000-0005-0000-0000-0000DC320000}"/>
    <cellStyle name="Normal 2 2 3 6 3 2 2 2 3" xfId="27286" xr:uid="{00000000-0005-0000-0000-0000DD320000}"/>
    <cellStyle name="Normal 2 2 3 6 3 2 2 3" xfId="11782" xr:uid="{00000000-0005-0000-0000-0000DE320000}"/>
    <cellStyle name="Normal 2 2 3 6 3 2 2 3 2" xfId="31834" xr:uid="{00000000-0005-0000-0000-0000DF320000}"/>
    <cellStyle name="Normal 2 2 3 6 3 2 2 4" xfId="22804" xr:uid="{00000000-0005-0000-0000-0000E0320000}"/>
    <cellStyle name="Normal 2 2 3 6 3 2 3" xfId="4246" xr:uid="{00000000-0005-0000-0000-0000E1320000}"/>
    <cellStyle name="Normal 2 2 3 6 3 2 3 2" xfId="8728" xr:uid="{00000000-0005-0000-0000-0000E2320000}"/>
    <cellStyle name="Normal 2 2 3 6 3 2 3 2 2" xfId="17758" xr:uid="{00000000-0005-0000-0000-0000E3320000}"/>
    <cellStyle name="Normal 2 2 3 6 3 2 3 2 2 2" xfId="37810" xr:uid="{00000000-0005-0000-0000-0000E4320000}"/>
    <cellStyle name="Normal 2 2 3 6 3 2 3 2 3" xfId="28780" xr:uid="{00000000-0005-0000-0000-0000E5320000}"/>
    <cellStyle name="Normal 2 2 3 6 3 2 3 3" xfId="13276" xr:uid="{00000000-0005-0000-0000-0000E6320000}"/>
    <cellStyle name="Normal 2 2 3 6 3 2 3 3 2" xfId="33328" xr:uid="{00000000-0005-0000-0000-0000E7320000}"/>
    <cellStyle name="Normal 2 2 3 6 3 2 3 4" xfId="24298" xr:uid="{00000000-0005-0000-0000-0000E8320000}"/>
    <cellStyle name="Normal 2 2 3 6 3 2 4" xfId="5740" xr:uid="{00000000-0005-0000-0000-0000E9320000}"/>
    <cellStyle name="Normal 2 2 3 6 3 2 4 2" xfId="14770" xr:uid="{00000000-0005-0000-0000-0000EA320000}"/>
    <cellStyle name="Normal 2 2 3 6 3 2 4 2 2" xfId="34822" xr:uid="{00000000-0005-0000-0000-0000EB320000}"/>
    <cellStyle name="Normal 2 2 3 6 3 2 4 3" xfId="25792" xr:uid="{00000000-0005-0000-0000-0000EC320000}"/>
    <cellStyle name="Normal 2 2 3 6 3 2 5" xfId="10288" xr:uid="{00000000-0005-0000-0000-0000ED320000}"/>
    <cellStyle name="Normal 2 2 3 6 3 2 5 2" xfId="30340" xr:uid="{00000000-0005-0000-0000-0000EE320000}"/>
    <cellStyle name="Normal 2 2 3 6 3 2 6" xfId="21310" xr:uid="{00000000-0005-0000-0000-0000EF320000}"/>
    <cellStyle name="Normal 2 2 3 6 3 3" xfId="2005" xr:uid="{00000000-0005-0000-0000-0000F0320000}"/>
    <cellStyle name="Normal 2 2 3 6 3 3 2" xfId="6487" xr:uid="{00000000-0005-0000-0000-0000F1320000}"/>
    <cellStyle name="Normal 2 2 3 6 3 3 2 2" xfId="15517" xr:uid="{00000000-0005-0000-0000-0000F2320000}"/>
    <cellStyle name="Normal 2 2 3 6 3 3 2 2 2" xfId="35569" xr:uid="{00000000-0005-0000-0000-0000F3320000}"/>
    <cellStyle name="Normal 2 2 3 6 3 3 2 3" xfId="26539" xr:uid="{00000000-0005-0000-0000-0000F4320000}"/>
    <cellStyle name="Normal 2 2 3 6 3 3 3" xfId="11035" xr:uid="{00000000-0005-0000-0000-0000F5320000}"/>
    <cellStyle name="Normal 2 2 3 6 3 3 3 2" xfId="31087" xr:uid="{00000000-0005-0000-0000-0000F6320000}"/>
    <cellStyle name="Normal 2 2 3 6 3 3 4" xfId="22057" xr:uid="{00000000-0005-0000-0000-0000F7320000}"/>
    <cellStyle name="Normal 2 2 3 6 3 4" xfId="3499" xr:uid="{00000000-0005-0000-0000-0000F8320000}"/>
    <cellStyle name="Normal 2 2 3 6 3 4 2" xfId="7981" xr:uid="{00000000-0005-0000-0000-0000F9320000}"/>
    <cellStyle name="Normal 2 2 3 6 3 4 2 2" xfId="17011" xr:uid="{00000000-0005-0000-0000-0000FA320000}"/>
    <cellStyle name="Normal 2 2 3 6 3 4 2 2 2" xfId="37063" xr:uid="{00000000-0005-0000-0000-0000FB320000}"/>
    <cellStyle name="Normal 2 2 3 6 3 4 2 3" xfId="28033" xr:uid="{00000000-0005-0000-0000-0000FC320000}"/>
    <cellStyle name="Normal 2 2 3 6 3 4 3" xfId="12529" xr:uid="{00000000-0005-0000-0000-0000FD320000}"/>
    <cellStyle name="Normal 2 2 3 6 3 4 3 2" xfId="32581" xr:uid="{00000000-0005-0000-0000-0000FE320000}"/>
    <cellStyle name="Normal 2 2 3 6 3 4 4" xfId="23551" xr:uid="{00000000-0005-0000-0000-0000FF320000}"/>
    <cellStyle name="Normal 2 2 3 6 3 5" xfId="4993" xr:uid="{00000000-0005-0000-0000-000000330000}"/>
    <cellStyle name="Normal 2 2 3 6 3 5 2" xfId="14023" xr:uid="{00000000-0005-0000-0000-000001330000}"/>
    <cellStyle name="Normal 2 2 3 6 3 5 2 2" xfId="34075" xr:uid="{00000000-0005-0000-0000-000002330000}"/>
    <cellStyle name="Normal 2 2 3 6 3 5 3" xfId="25045" xr:uid="{00000000-0005-0000-0000-000003330000}"/>
    <cellStyle name="Normal 2 2 3 6 3 6" xfId="9541" xr:uid="{00000000-0005-0000-0000-000004330000}"/>
    <cellStyle name="Normal 2 2 3 6 3 6 2" xfId="29593" xr:uid="{00000000-0005-0000-0000-000005330000}"/>
    <cellStyle name="Normal 2 2 3 6 3 7" xfId="20563" xr:uid="{00000000-0005-0000-0000-000006330000}"/>
    <cellStyle name="Normal 2 2 3 6 4" xfId="697" xr:uid="{00000000-0005-0000-0000-000007330000}"/>
    <cellStyle name="Normal 2 2 3 6 4 2" xfId="1444" xr:uid="{00000000-0005-0000-0000-000008330000}"/>
    <cellStyle name="Normal 2 2 3 6 4 2 2" xfId="2938" xr:uid="{00000000-0005-0000-0000-000009330000}"/>
    <cellStyle name="Normal 2 2 3 6 4 2 2 2" xfId="7420" xr:uid="{00000000-0005-0000-0000-00000A330000}"/>
    <cellStyle name="Normal 2 2 3 6 4 2 2 2 2" xfId="16450" xr:uid="{00000000-0005-0000-0000-00000B330000}"/>
    <cellStyle name="Normal 2 2 3 6 4 2 2 2 2 2" xfId="36502" xr:uid="{00000000-0005-0000-0000-00000C330000}"/>
    <cellStyle name="Normal 2 2 3 6 4 2 2 2 3" xfId="27472" xr:uid="{00000000-0005-0000-0000-00000D330000}"/>
    <cellStyle name="Normal 2 2 3 6 4 2 2 3" xfId="11968" xr:uid="{00000000-0005-0000-0000-00000E330000}"/>
    <cellStyle name="Normal 2 2 3 6 4 2 2 3 2" xfId="32020" xr:uid="{00000000-0005-0000-0000-00000F330000}"/>
    <cellStyle name="Normal 2 2 3 6 4 2 2 4" xfId="22990" xr:uid="{00000000-0005-0000-0000-000010330000}"/>
    <cellStyle name="Normal 2 2 3 6 4 2 3" xfId="4432" xr:uid="{00000000-0005-0000-0000-000011330000}"/>
    <cellStyle name="Normal 2 2 3 6 4 2 3 2" xfId="8914" xr:uid="{00000000-0005-0000-0000-000012330000}"/>
    <cellStyle name="Normal 2 2 3 6 4 2 3 2 2" xfId="17944" xr:uid="{00000000-0005-0000-0000-000013330000}"/>
    <cellStyle name="Normal 2 2 3 6 4 2 3 2 2 2" xfId="37996" xr:uid="{00000000-0005-0000-0000-000014330000}"/>
    <cellStyle name="Normal 2 2 3 6 4 2 3 2 3" xfId="28966" xr:uid="{00000000-0005-0000-0000-000015330000}"/>
    <cellStyle name="Normal 2 2 3 6 4 2 3 3" xfId="13462" xr:uid="{00000000-0005-0000-0000-000016330000}"/>
    <cellStyle name="Normal 2 2 3 6 4 2 3 3 2" xfId="33514" xr:uid="{00000000-0005-0000-0000-000017330000}"/>
    <cellStyle name="Normal 2 2 3 6 4 2 3 4" xfId="24484" xr:uid="{00000000-0005-0000-0000-000018330000}"/>
    <cellStyle name="Normal 2 2 3 6 4 2 4" xfId="5926" xr:uid="{00000000-0005-0000-0000-000019330000}"/>
    <cellStyle name="Normal 2 2 3 6 4 2 4 2" xfId="14956" xr:uid="{00000000-0005-0000-0000-00001A330000}"/>
    <cellStyle name="Normal 2 2 3 6 4 2 4 2 2" xfId="35008" xr:uid="{00000000-0005-0000-0000-00001B330000}"/>
    <cellStyle name="Normal 2 2 3 6 4 2 4 3" xfId="25978" xr:uid="{00000000-0005-0000-0000-00001C330000}"/>
    <cellStyle name="Normal 2 2 3 6 4 2 5" xfId="10474" xr:uid="{00000000-0005-0000-0000-00001D330000}"/>
    <cellStyle name="Normal 2 2 3 6 4 2 5 2" xfId="30526" xr:uid="{00000000-0005-0000-0000-00001E330000}"/>
    <cellStyle name="Normal 2 2 3 6 4 2 6" xfId="21496" xr:uid="{00000000-0005-0000-0000-00001F330000}"/>
    <cellStyle name="Normal 2 2 3 6 4 3" xfId="2191" xr:uid="{00000000-0005-0000-0000-000020330000}"/>
    <cellStyle name="Normal 2 2 3 6 4 3 2" xfId="6673" xr:uid="{00000000-0005-0000-0000-000021330000}"/>
    <cellStyle name="Normal 2 2 3 6 4 3 2 2" xfId="15703" xr:uid="{00000000-0005-0000-0000-000022330000}"/>
    <cellStyle name="Normal 2 2 3 6 4 3 2 2 2" xfId="35755" xr:uid="{00000000-0005-0000-0000-000023330000}"/>
    <cellStyle name="Normal 2 2 3 6 4 3 2 3" xfId="26725" xr:uid="{00000000-0005-0000-0000-000024330000}"/>
    <cellStyle name="Normal 2 2 3 6 4 3 3" xfId="11221" xr:uid="{00000000-0005-0000-0000-000025330000}"/>
    <cellStyle name="Normal 2 2 3 6 4 3 3 2" xfId="31273" xr:uid="{00000000-0005-0000-0000-000026330000}"/>
    <cellStyle name="Normal 2 2 3 6 4 3 4" xfId="22243" xr:uid="{00000000-0005-0000-0000-000027330000}"/>
    <cellStyle name="Normal 2 2 3 6 4 4" xfId="3685" xr:uid="{00000000-0005-0000-0000-000028330000}"/>
    <cellStyle name="Normal 2 2 3 6 4 4 2" xfId="8167" xr:uid="{00000000-0005-0000-0000-000029330000}"/>
    <cellStyle name="Normal 2 2 3 6 4 4 2 2" xfId="17197" xr:uid="{00000000-0005-0000-0000-00002A330000}"/>
    <cellStyle name="Normal 2 2 3 6 4 4 2 2 2" xfId="37249" xr:uid="{00000000-0005-0000-0000-00002B330000}"/>
    <cellStyle name="Normal 2 2 3 6 4 4 2 3" xfId="28219" xr:uid="{00000000-0005-0000-0000-00002C330000}"/>
    <cellStyle name="Normal 2 2 3 6 4 4 3" xfId="12715" xr:uid="{00000000-0005-0000-0000-00002D330000}"/>
    <cellStyle name="Normal 2 2 3 6 4 4 3 2" xfId="32767" xr:uid="{00000000-0005-0000-0000-00002E330000}"/>
    <cellStyle name="Normal 2 2 3 6 4 4 4" xfId="23737" xr:uid="{00000000-0005-0000-0000-00002F330000}"/>
    <cellStyle name="Normal 2 2 3 6 4 5" xfId="5179" xr:uid="{00000000-0005-0000-0000-000030330000}"/>
    <cellStyle name="Normal 2 2 3 6 4 5 2" xfId="14209" xr:uid="{00000000-0005-0000-0000-000031330000}"/>
    <cellStyle name="Normal 2 2 3 6 4 5 2 2" xfId="34261" xr:uid="{00000000-0005-0000-0000-000032330000}"/>
    <cellStyle name="Normal 2 2 3 6 4 5 3" xfId="25231" xr:uid="{00000000-0005-0000-0000-000033330000}"/>
    <cellStyle name="Normal 2 2 3 6 4 6" xfId="9727" xr:uid="{00000000-0005-0000-0000-000034330000}"/>
    <cellStyle name="Normal 2 2 3 6 4 6 2" xfId="29779" xr:uid="{00000000-0005-0000-0000-000035330000}"/>
    <cellStyle name="Normal 2 2 3 6 4 7" xfId="20749" xr:uid="{00000000-0005-0000-0000-000036330000}"/>
    <cellStyle name="Normal 2 2 3 6 5" xfId="884" xr:uid="{00000000-0005-0000-0000-000037330000}"/>
    <cellStyle name="Normal 2 2 3 6 5 2" xfId="2378" xr:uid="{00000000-0005-0000-0000-000038330000}"/>
    <cellStyle name="Normal 2 2 3 6 5 2 2" xfId="6860" xr:uid="{00000000-0005-0000-0000-000039330000}"/>
    <cellStyle name="Normal 2 2 3 6 5 2 2 2" xfId="15890" xr:uid="{00000000-0005-0000-0000-00003A330000}"/>
    <cellStyle name="Normal 2 2 3 6 5 2 2 2 2" xfId="35942" xr:uid="{00000000-0005-0000-0000-00003B330000}"/>
    <cellStyle name="Normal 2 2 3 6 5 2 2 3" xfId="26912" xr:uid="{00000000-0005-0000-0000-00003C330000}"/>
    <cellStyle name="Normal 2 2 3 6 5 2 3" xfId="11408" xr:uid="{00000000-0005-0000-0000-00003D330000}"/>
    <cellStyle name="Normal 2 2 3 6 5 2 3 2" xfId="31460" xr:uid="{00000000-0005-0000-0000-00003E330000}"/>
    <cellStyle name="Normal 2 2 3 6 5 2 4" xfId="22430" xr:uid="{00000000-0005-0000-0000-00003F330000}"/>
    <cellStyle name="Normal 2 2 3 6 5 3" xfId="3872" xr:uid="{00000000-0005-0000-0000-000040330000}"/>
    <cellStyle name="Normal 2 2 3 6 5 3 2" xfId="8354" xr:uid="{00000000-0005-0000-0000-000041330000}"/>
    <cellStyle name="Normal 2 2 3 6 5 3 2 2" xfId="17384" xr:uid="{00000000-0005-0000-0000-000042330000}"/>
    <cellStyle name="Normal 2 2 3 6 5 3 2 2 2" xfId="37436" xr:uid="{00000000-0005-0000-0000-000043330000}"/>
    <cellStyle name="Normal 2 2 3 6 5 3 2 3" xfId="28406" xr:uid="{00000000-0005-0000-0000-000044330000}"/>
    <cellStyle name="Normal 2 2 3 6 5 3 3" xfId="12902" xr:uid="{00000000-0005-0000-0000-000045330000}"/>
    <cellStyle name="Normal 2 2 3 6 5 3 3 2" xfId="32954" xr:uid="{00000000-0005-0000-0000-000046330000}"/>
    <cellStyle name="Normal 2 2 3 6 5 3 4" xfId="23924" xr:uid="{00000000-0005-0000-0000-000047330000}"/>
    <cellStyle name="Normal 2 2 3 6 5 4" xfId="5366" xr:uid="{00000000-0005-0000-0000-000048330000}"/>
    <cellStyle name="Normal 2 2 3 6 5 4 2" xfId="14396" xr:uid="{00000000-0005-0000-0000-000049330000}"/>
    <cellStyle name="Normal 2 2 3 6 5 4 2 2" xfId="34448" xr:uid="{00000000-0005-0000-0000-00004A330000}"/>
    <cellStyle name="Normal 2 2 3 6 5 4 3" xfId="25418" xr:uid="{00000000-0005-0000-0000-00004B330000}"/>
    <cellStyle name="Normal 2 2 3 6 5 5" xfId="9914" xr:uid="{00000000-0005-0000-0000-00004C330000}"/>
    <cellStyle name="Normal 2 2 3 6 5 5 2" xfId="29966" xr:uid="{00000000-0005-0000-0000-00004D330000}"/>
    <cellStyle name="Normal 2 2 3 6 5 6" xfId="20936" xr:uid="{00000000-0005-0000-0000-00004E330000}"/>
    <cellStyle name="Normal 2 2 3 6 6" xfId="1633" xr:uid="{00000000-0005-0000-0000-00004F330000}"/>
    <cellStyle name="Normal 2 2 3 6 6 2" xfId="6115" xr:uid="{00000000-0005-0000-0000-000050330000}"/>
    <cellStyle name="Normal 2 2 3 6 6 2 2" xfId="15145" xr:uid="{00000000-0005-0000-0000-000051330000}"/>
    <cellStyle name="Normal 2 2 3 6 6 2 2 2" xfId="35197" xr:uid="{00000000-0005-0000-0000-000052330000}"/>
    <cellStyle name="Normal 2 2 3 6 6 2 3" xfId="26167" xr:uid="{00000000-0005-0000-0000-000053330000}"/>
    <cellStyle name="Normal 2 2 3 6 6 3" xfId="10663" xr:uid="{00000000-0005-0000-0000-000054330000}"/>
    <cellStyle name="Normal 2 2 3 6 6 3 2" xfId="30715" xr:uid="{00000000-0005-0000-0000-000055330000}"/>
    <cellStyle name="Normal 2 2 3 6 6 4" xfId="21685" xr:uid="{00000000-0005-0000-0000-000056330000}"/>
    <cellStyle name="Normal 2 2 3 6 7" xfId="3127" xr:uid="{00000000-0005-0000-0000-000057330000}"/>
    <cellStyle name="Normal 2 2 3 6 7 2" xfId="7609" xr:uid="{00000000-0005-0000-0000-000058330000}"/>
    <cellStyle name="Normal 2 2 3 6 7 2 2" xfId="16639" xr:uid="{00000000-0005-0000-0000-000059330000}"/>
    <cellStyle name="Normal 2 2 3 6 7 2 2 2" xfId="36691" xr:uid="{00000000-0005-0000-0000-00005A330000}"/>
    <cellStyle name="Normal 2 2 3 6 7 2 3" xfId="27661" xr:uid="{00000000-0005-0000-0000-00005B330000}"/>
    <cellStyle name="Normal 2 2 3 6 7 3" xfId="12157" xr:uid="{00000000-0005-0000-0000-00005C330000}"/>
    <cellStyle name="Normal 2 2 3 6 7 3 2" xfId="32209" xr:uid="{00000000-0005-0000-0000-00005D330000}"/>
    <cellStyle name="Normal 2 2 3 6 7 4" xfId="23179" xr:uid="{00000000-0005-0000-0000-00005E330000}"/>
    <cellStyle name="Normal 2 2 3 6 8" xfId="4621" xr:uid="{00000000-0005-0000-0000-00005F330000}"/>
    <cellStyle name="Normal 2 2 3 6 8 2" xfId="13651" xr:uid="{00000000-0005-0000-0000-000060330000}"/>
    <cellStyle name="Normal 2 2 3 6 8 2 2" xfId="33703" xr:uid="{00000000-0005-0000-0000-000061330000}"/>
    <cellStyle name="Normal 2 2 3 6 8 3" xfId="24673" xr:uid="{00000000-0005-0000-0000-000062330000}"/>
    <cellStyle name="Normal 2 2 3 6 9" xfId="9169" xr:uid="{00000000-0005-0000-0000-000063330000}"/>
    <cellStyle name="Normal 2 2 3 6 9 2" xfId="29221" xr:uid="{00000000-0005-0000-0000-000064330000}"/>
    <cellStyle name="Normal 2 2 3 7" xfId="162" xr:uid="{00000000-0005-0000-0000-000065330000}"/>
    <cellStyle name="Normal 2 2 3 7 10" xfId="20214" xr:uid="{00000000-0005-0000-0000-000066330000}"/>
    <cellStyle name="Normal 2 2 3 7 2" xfId="348" xr:uid="{00000000-0005-0000-0000-000067330000}"/>
    <cellStyle name="Normal 2 2 3 7 2 2" xfId="1091" xr:uid="{00000000-0005-0000-0000-000068330000}"/>
    <cellStyle name="Normal 2 2 3 7 2 2 2" xfId="2585" xr:uid="{00000000-0005-0000-0000-000069330000}"/>
    <cellStyle name="Normal 2 2 3 7 2 2 2 2" xfId="7067" xr:uid="{00000000-0005-0000-0000-00006A330000}"/>
    <cellStyle name="Normal 2 2 3 7 2 2 2 2 2" xfId="16097" xr:uid="{00000000-0005-0000-0000-00006B330000}"/>
    <cellStyle name="Normal 2 2 3 7 2 2 2 2 2 2" xfId="36149" xr:uid="{00000000-0005-0000-0000-00006C330000}"/>
    <cellStyle name="Normal 2 2 3 7 2 2 2 2 3" xfId="27119" xr:uid="{00000000-0005-0000-0000-00006D330000}"/>
    <cellStyle name="Normal 2 2 3 7 2 2 2 3" xfId="11615" xr:uid="{00000000-0005-0000-0000-00006E330000}"/>
    <cellStyle name="Normal 2 2 3 7 2 2 2 3 2" xfId="31667" xr:uid="{00000000-0005-0000-0000-00006F330000}"/>
    <cellStyle name="Normal 2 2 3 7 2 2 2 4" xfId="22637" xr:uid="{00000000-0005-0000-0000-000070330000}"/>
    <cellStyle name="Normal 2 2 3 7 2 2 3" xfId="4079" xr:uid="{00000000-0005-0000-0000-000071330000}"/>
    <cellStyle name="Normal 2 2 3 7 2 2 3 2" xfId="8561" xr:uid="{00000000-0005-0000-0000-000072330000}"/>
    <cellStyle name="Normal 2 2 3 7 2 2 3 2 2" xfId="17591" xr:uid="{00000000-0005-0000-0000-000073330000}"/>
    <cellStyle name="Normal 2 2 3 7 2 2 3 2 2 2" xfId="37643" xr:uid="{00000000-0005-0000-0000-000074330000}"/>
    <cellStyle name="Normal 2 2 3 7 2 2 3 2 3" xfId="28613" xr:uid="{00000000-0005-0000-0000-000075330000}"/>
    <cellStyle name="Normal 2 2 3 7 2 2 3 3" xfId="13109" xr:uid="{00000000-0005-0000-0000-000076330000}"/>
    <cellStyle name="Normal 2 2 3 7 2 2 3 3 2" xfId="33161" xr:uid="{00000000-0005-0000-0000-000077330000}"/>
    <cellStyle name="Normal 2 2 3 7 2 2 3 4" xfId="24131" xr:uid="{00000000-0005-0000-0000-000078330000}"/>
    <cellStyle name="Normal 2 2 3 7 2 2 4" xfId="5573" xr:uid="{00000000-0005-0000-0000-000079330000}"/>
    <cellStyle name="Normal 2 2 3 7 2 2 4 2" xfId="14603" xr:uid="{00000000-0005-0000-0000-00007A330000}"/>
    <cellStyle name="Normal 2 2 3 7 2 2 4 2 2" xfId="34655" xr:uid="{00000000-0005-0000-0000-00007B330000}"/>
    <cellStyle name="Normal 2 2 3 7 2 2 4 3" xfId="25625" xr:uid="{00000000-0005-0000-0000-00007C330000}"/>
    <cellStyle name="Normal 2 2 3 7 2 2 5" xfId="10121" xr:uid="{00000000-0005-0000-0000-00007D330000}"/>
    <cellStyle name="Normal 2 2 3 7 2 2 5 2" xfId="30173" xr:uid="{00000000-0005-0000-0000-00007E330000}"/>
    <cellStyle name="Normal 2 2 3 7 2 2 6" xfId="21143" xr:uid="{00000000-0005-0000-0000-00007F330000}"/>
    <cellStyle name="Normal 2 2 3 7 2 3" xfId="1842" xr:uid="{00000000-0005-0000-0000-000080330000}"/>
    <cellStyle name="Normal 2 2 3 7 2 3 2" xfId="6324" xr:uid="{00000000-0005-0000-0000-000081330000}"/>
    <cellStyle name="Normal 2 2 3 7 2 3 2 2" xfId="15354" xr:uid="{00000000-0005-0000-0000-000082330000}"/>
    <cellStyle name="Normal 2 2 3 7 2 3 2 2 2" xfId="35406" xr:uid="{00000000-0005-0000-0000-000083330000}"/>
    <cellStyle name="Normal 2 2 3 7 2 3 2 3" xfId="26376" xr:uid="{00000000-0005-0000-0000-000084330000}"/>
    <cellStyle name="Normal 2 2 3 7 2 3 3" xfId="10872" xr:uid="{00000000-0005-0000-0000-000085330000}"/>
    <cellStyle name="Normal 2 2 3 7 2 3 3 2" xfId="30924" xr:uid="{00000000-0005-0000-0000-000086330000}"/>
    <cellStyle name="Normal 2 2 3 7 2 3 4" xfId="21894" xr:uid="{00000000-0005-0000-0000-000087330000}"/>
    <cellStyle name="Normal 2 2 3 7 2 4" xfId="3336" xr:uid="{00000000-0005-0000-0000-000088330000}"/>
    <cellStyle name="Normal 2 2 3 7 2 4 2" xfId="7818" xr:uid="{00000000-0005-0000-0000-000089330000}"/>
    <cellStyle name="Normal 2 2 3 7 2 4 2 2" xfId="16848" xr:uid="{00000000-0005-0000-0000-00008A330000}"/>
    <cellStyle name="Normal 2 2 3 7 2 4 2 2 2" xfId="36900" xr:uid="{00000000-0005-0000-0000-00008B330000}"/>
    <cellStyle name="Normal 2 2 3 7 2 4 2 3" xfId="27870" xr:uid="{00000000-0005-0000-0000-00008C330000}"/>
    <cellStyle name="Normal 2 2 3 7 2 4 3" xfId="12366" xr:uid="{00000000-0005-0000-0000-00008D330000}"/>
    <cellStyle name="Normal 2 2 3 7 2 4 3 2" xfId="32418" xr:uid="{00000000-0005-0000-0000-00008E330000}"/>
    <cellStyle name="Normal 2 2 3 7 2 4 4" xfId="23388" xr:uid="{00000000-0005-0000-0000-00008F330000}"/>
    <cellStyle name="Normal 2 2 3 7 2 5" xfId="4830" xr:uid="{00000000-0005-0000-0000-000090330000}"/>
    <cellStyle name="Normal 2 2 3 7 2 5 2" xfId="13860" xr:uid="{00000000-0005-0000-0000-000091330000}"/>
    <cellStyle name="Normal 2 2 3 7 2 5 2 2" xfId="33912" xr:uid="{00000000-0005-0000-0000-000092330000}"/>
    <cellStyle name="Normal 2 2 3 7 2 5 3" xfId="24882" xr:uid="{00000000-0005-0000-0000-000093330000}"/>
    <cellStyle name="Normal 2 2 3 7 2 6" xfId="9378" xr:uid="{00000000-0005-0000-0000-000094330000}"/>
    <cellStyle name="Normal 2 2 3 7 2 6 2" xfId="29430" xr:uid="{00000000-0005-0000-0000-000095330000}"/>
    <cellStyle name="Normal 2 2 3 7 2 7" xfId="20400" xr:uid="{00000000-0005-0000-0000-000096330000}"/>
    <cellStyle name="Normal 2 2 3 7 3" xfId="534" xr:uid="{00000000-0005-0000-0000-000097330000}"/>
    <cellStyle name="Normal 2 2 3 7 3 2" xfId="1281" xr:uid="{00000000-0005-0000-0000-000098330000}"/>
    <cellStyle name="Normal 2 2 3 7 3 2 2" xfId="2775" xr:uid="{00000000-0005-0000-0000-000099330000}"/>
    <cellStyle name="Normal 2 2 3 7 3 2 2 2" xfId="7257" xr:uid="{00000000-0005-0000-0000-00009A330000}"/>
    <cellStyle name="Normal 2 2 3 7 3 2 2 2 2" xfId="16287" xr:uid="{00000000-0005-0000-0000-00009B330000}"/>
    <cellStyle name="Normal 2 2 3 7 3 2 2 2 2 2" xfId="36339" xr:uid="{00000000-0005-0000-0000-00009C330000}"/>
    <cellStyle name="Normal 2 2 3 7 3 2 2 2 3" xfId="27309" xr:uid="{00000000-0005-0000-0000-00009D330000}"/>
    <cellStyle name="Normal 2 2 3 7 3 2 2 3" xfId="11805" xr:uid="{00000000-0005-0000-0000-00009E330000}"/>
    <cellStyle name="Normal 2 2 3 7 3 2 2 3 2" xfId="31857" xr:uid="{00000000-0005-0000-0000-00009F330000}"/>
    <cellStyle name="Normal 2 2 3 7 3 2 2 4" xfId="22827" xr:uid="{00000000-0005-0000-0000-0000A0330000}"/>
    <cellStyle name="Normal 2 2 3 7 3 2 3" xfId="4269" xr:uid="{00000000-0005-0000-0000-0000A1330000}"/>
    <cellStyle name="Normal 2 2 3 7 3 2 3 2" xfId="8751" xr:uid="{00000000-0005-0000-0000-0000A2330000}"/>
    <cellStyle name="Normal 2 2 3 7 3 2 3 2 2" xfId="17781" xr:uid="{00000000-0005-0000-0000-0000A3330000}"/>
    <cellStyle name="Normal 2 2 3 7 3 2 3 2 2 2" xfId="37833" xr:uid="{00000000-0005-0000-0000-0000A4330000}"/>
    <cellStyle name="Normal 2 2 3 7 3 2 3 2 3" xfId="28803" xr:uid="{00000000-0005-0000-0000-0000A5330000}"/>
    <cellStyle name="Normal 2 2 3 7 3 2 3 3" xfId="13299" xr:uid="{00000000-0005-0000-0000-0000A6330000}"/>
    <cellStyle name="Normal 2 2 3 7 3 2 3 3 2" xfId="33351" xr:uid="{00000000-0005-0000-0000-0000A7330000}"/>
    <cellStyle name="Normal 2 2 3 7 3 2 3 4" xfId="24321" xr:uid="{00000000-0005-0000-0000-0000A8330000}"/>
    <cellStyle name="Normal 2 2 3 7 3 2 4" xfId="5763" xr:uid="{00000000-0005-0000-0000-0000A9330000}"/>
    <cellStyle name="Normal 2 2 3 7 3 2 4 2" xfId="14793" xr:uid="{00000000-0005-0000-0000-0000AA330000}"/>
    <cellStyle name="Normal 2 2 3 7 3 2 4 2 2" xfId="34845" xr:uid="{00000000-0005-0000-0000-0000AB330000}"/>
    <cellStyle name="Normal 2 2 3 7 3 2 4 3" xfId="25815" xr:uid="{00000000-0005-0000-0000-0000AC330000}"/>
    <cellStyle name="Normal 2 2 3 7 3 2 5" xfId="10311" xr:uid="{00000000-0005-0000-0000-0000AD330000}"/>
    <cellStyle name="Normal 2 2 3 7 3 2 5 2" xfId="30363" xr:uid="{00000000-0005-0000-0000-0000AE330000}"/>
    <cellStyle name="Normal 2 2 3 7 3 2 6" xfId="21333" xr:uid="{00000000-0005-0000-0000-0000AF330000}"/>
    <cellStyle name="Normal 2 2 3 7 3 3" xfId="2028" xr:uid="{00000000-0005-0000-0000-0000B0330000}"/>
    <cellStyle name="Normal 2 2 3 7 3 3 2" xfId="6510" xr:uid="{00000000-0005-0000-0000-0000B1330000}"/>
    <cellStyle name="Normal 2 2 3 7 3 3 2 2" xfId="15540" xr:uid="{00000000-0005-0000-0000-0000B2330000}"/>
    <cellStyle name="Normal 2 2 3 7 3 3 2 2 2" xfId="35592" xr:uid="{00000000-0005-0000-0000-0000B3330000}"/>
    <cellStyle name="Normal 2 2 3 7 3 3 2 3" xfId="26562" xr:uid="{00000000-0005-0000-0000-0000B4330000}"/>
    <cellStyle name="Normal 2 2 3 7 3 3 3" xfId="11058" xr:uid="{00000000-0005-0000-0000-0000B5330000}"/>
    <cellStyle name="Normal 2 2 3 7 3 3 3 2" xfId="31110" xr:uid="{00000000-0005-0000-0000-0000B6330000}"/>
    <cellStyle name="Normal 2 2 3 7 3 3 4" xfId="22080" xr:uid="{00000000-0005-0000-0000-0000B7330000}"/>
    <cellStyle name="Normal 2 2 3 7 3 4" xfId="3522" xr:uid="{00000000-0005-0000-0000-0000B8330000}"/>
    <cellStyle name="Normal 2 2 3 7 3 4 2" xfId="8004" xr:uid="{00000000-0005-0000-0000-0000B9330000}"/>
    <cellStyle name="Normal 2 2 3 7 3 4 2 2" xfId="17034" xr:uid="{00000000-0005-0000-0000-0000BA330000}"/>
    <cellStyle name="Normal 2 2 3 7 3 4 2 2 2" xfId="37086" xr:uid="{00000000-0005-0000-0000-0000BB330000}"/>
    <cellStyle name="Normal 2 2 3 7 3 4 2 3" xfId="28056" xr:uid="{00000000-0005-0000-0000-0000BC330000}"/>
    <cellStyle name="Normal 2 2 3 7 3 4 3" xfId="12552" xr:uid="{00000000-0005-0000-0000-0000BD330000}"/>
    <cellStyle name="Normal 2 2 3 7 3 4 3 2" xfId="32604" xr:uid="{00000000-0005-0000-0000-0000BE330000}"/>
    <cellStyle name="Normal 2 2 3 7 3 4 4" xfId="23574" xr:uid="{00000000-0005-0000-0000-0000BF330000}"/>
    <cellStyle name="Normal 2 2 3 7 3 5" xfId="5016" xr:uid="{00000000-0005-0000-0000-0000C0330000}"/>
    <cellStyle name="Normal 2 2 3 7 3 5 2" xfId="14046" xr:uid="{00000000-0005-0000-0000-0000C1330000}"/>
    <cellStyle name="Normal 2 2 3 7 3 5 2 2" xfId="34098" xr:uid="{00000000-0005-0000-0000-0000C2330000}"/>
    <cellStyle name="Normal 2 2 3 7 3 5 3" xfId="25068" xr:uid="{00000000-0005-0000-0000-0000C3330000}"/>
    <cellStyle name="Normal 2 2 3 7 3 6" xfId="9564" xr:uid="{00000000-0005-0000-0000-0000C4330000}"/>
    <cellStyle name="Normal 2 2 3 7 3 6 2" xfId="29616" xr:uid="{00000000-0005-0000-0000-0000C5330000}"/>
    <cellStyle name="Normal 2 2 3 7 3 7" xfId="20586" xr:uid="{00000000-0005-0000-0000-0000C6330000}"/>
    <cellStyle name="Normal 2 2 3 7 4" xfId="720" xr:uid="{00000000-0005-0000-0000-0000C7330000}"/>
    <cellStyle name="Normal 2 2 3 7 4 2" xfId="1467" xr:uid="{00000000-0005-0000-0000-0000C8330000}"/>
    <cellStyle name="Normal 2 2 3 7 4 2 2" xfId="2961" xr:uid="{00000000-0005-0000-0000-0000C9330000}"/>
    <cellStyle name="Normal 2 2 3 7 4 2 2 2" xfId="7443" xr:uid="{00000000-0005-0000-0000-0000CA330000}"/>
    <cellStyle name="Normal 2 2 3 7 4 2 2 2 2" xfId="16473" xr:uid="{00000000-0005-0000-0000-0000CB330000}"/>
    <cellStyle name="Normal 2 2 3 7 4 2 2 2 2 2" xfId="36525" xr:uid="{00000000-0005-0000-0000-0000CC330000}"/>
    <cellStyle name="Normal 2 2 3 7 4 2 2 2 3" xfId="27495" xr:uid="{00000000-0005-0000-0000-0000CD330000}"/>
    <cellStyle name="Normal 2 2 3 7 4 2 2 3" xfId="11991" xr:uid="{00000000-0005-0000-0000-0000CE330000}"/>
    <cellStyle name="Normal 2 2 3 7 4 2 2 3 2" xfId="32043" xr:uid="{00000000-0005-0000-0000-0000CF330000}"/>
    <cellStyle name="Normal 2 2 3 7 4 2 2 4" xfId="23013" xr:uid="{00000000-0005-0000-0000-0000D0330000}"/>
    <cellStyle name="Normal 2 2 3 7 4 2 3" xfId="4455" xr:uid="{00000000-0005-0000-0000-0000D1330000}"/>
    <cellStyle name="Normal 2 2 3 7 4 2 3 2" xfId="8937" xr:uid="{00000000-0005-0000-0000-0000D2330000}"/>
    <cellStyle name="Normal 2 2 3 7 4 2 3 2 2" xfId="17967" xr:uid="{00000000-0005-0000-0000-0000D3330000}"/>
    <cellStyle name="Normal 2 2 3 7 4 2 3 2 2 2" xfId="38019" xr:uid="{00000000-0005-0000-0000-0000D4330000}"/>
    <cellStyle name="Normal 2 2 3 7 4 2 3 2 3" xfId="28989" xr:uid="{00000000-0005-0000-0000-0000D5330000}"/>
    <cellStyle name="Normal 2 2 3 7 4 2 3 3" xfId="13485" xr:uid="{00000000-0005-0000-0000-0000D6330000}"/>
    <cellStyle name="Normal 2 2 3 7 4 2 3 3 2" xfId="33537" xr:uid="{00000000-0005-0000-0000-0000D7330000}"/>
    <cellStyle name="Normal 2 2 3 7 4 2 3 4" xfId="24507" xr:uid="{00000000-0005-0000-0000-0000D8330000}"/>
    <cellStyle name="Normal 2 2 3 7 4 2 4" xfId="5949" xr:uid="{00000000-0005-0000-0000-0000D9330000}"/>
    <cellStyle name="Normal 2 2 3 7 4 2 4 2" xfId="14979" xr:uid="{00000000-0005-0000-0000-0000DA330000}"/>
    <cellStyle name="Normal 2 2 3 7 4 2 4 2 2" xfId="35031" xr:uid="{00000000-0005-0000-0000-0000DB330000}"/>
    <cellStyle name="Normal 2 2 3 7 4 2 4 3" xfId="26001" xr:uid="{00000000-0005-0000-0000-0000DC330000}"/>
    <cellStyle name="Normal 2 2 3 7 4 2 5" xfId="10497" xr:uid="{00000000-0005-0000-0000-0000DD330000}"/>
    <cellStyle name="Normal 2 2 3 7 4 2 5 2" xfId="30549" xr:uid="{00000000-0005-0000-0000-0000DE330000}"/>
    <cellStyle name="Normal 2 2 3 7 4 2 6" xfId="21519" xr:uid="{00000000-0005-0000-0000-0000DF330000}"/>
    <cellStyle name="Normal 2 2 3 7 4 3" xfId="2214" xr:uid="{00000000-0005-0000-0000-0000E0330000}"/>
    <cellStyle name="Normal 2 2 3 7 4 3 2" xfId="6696" xr:uid="{00000000-0005-0000-0000-0000E1330000}"/>
    <cellStyle name="Normal 2 2 3 7 4 3 2 2" xfId="15726" xr:uid="{00000000-0005-0000-0000-0000E2330000}"/>
    <cellStyle name="Normal 2 2 3 7 4 3 2 2 2" xfId="35778" xr:uid="{00000000-0005-0000-0000-0000E3330000}"/>
    <cellStyle name="Normal 2 2 3 7 4 3 2 3" xfId="26748" xr:uid="{00000000-0005-0000-0000-0000E4330000}"/>
    <cellStyle name="Normal 2 2 3 7 4 3 3" xfId="11244" xr:uid="{00000000-0005-0000-0000-0000E5330000}"/>
    <cellStyle name="Normal 2 2 3 7 4 3 3 2" xfId="31296" xr:uid="{00000000-0005-0000-0000-0000E6330000}"/>
    <cellStyle name="Normal 2 2 3 7 4 3 4" xfId="22266" xr:uid="{00000000-0005-0000-0000-0000E7330000}"/>
    <cellStyle name="Normal 2 2 3 7 4 4" xfId="3708" xr:uid="{00000000-0005-0000-0000-0000E8330000}"/>
    <cellStyle name="Normal 2 2 3 7 4 4 2" xfId="8190" xr:uid="{00000000-0005-0000-0000-0000E9330000}"/>
    <cellStyle name="Normal 2 2 3 7 4 4 2 2" xfId="17220" xr:uid="{00000000-0005-0000-0000-0000EA330000}"/>
    <cellStyle name="Normal 2 2 3 7 4 4 2 2 2" xfId="37272" xr:uid="{00000000-0005-0000-0000-0000EB330000}"/>
    <cellStyle name="Normal 2 2 3 7 4 4 2 3" xfId="28242" xr:uid="{00000000-0005-0000-0000-0000EC330000}"/>
    <cellStyle name="Normal 2 2 3 7 4 4 3" xfId="12738" xr:uid="{00000000-0005-0000-0000-0000ED330000}"/>
    <cellStyle name="Normal 2 2 3 7 4 4 3 2" xfId="32790" xr:uid="{00000000-0005-0000-0000-0000EE330000}"/>
    <cellStyle name="Normal 2 2 3 7 4 4 4" xfId="23760" xr:uid="{00000000-0005-0000-0000-0000EF330000}"/>
    <cellStyle name="Normal 2 2 3 7 4 5" xfId="5202" xr:uid="{00000000-0005-0000-0000-0000F0330000}"/>
    <cellStyle name="Normal 2 2 3 7 4 5 2" xfId="14232" xr:uid="{00000000-0005-0000-0000-0000F1330000}"/>
    <cellStyle name="Normal 2 2 3 7 4 5 2 2" xfId="34284" xr:uid="{00000000-0005-0000-0000-0000F2330000}"/>
    <cellStyle name="Normal 2 2 3 7 4 5 3" xfId="25254" xr:uid="{00000000-0005-0000-0000-0000F3330000}"/>
    <cellStyle name="Normal 2 2 3 7 4 6" xfId="9750" xr:uid="{00000000-0005-0000-0000-0000F4330000}"/>
    <cellStyle name="Normal 2 2 3 7 4 6 2" xfId="29802" xr:uid="{00000000-0005-0000-0000-0000F5330000}"/>
    <cellStyle name="Normal 2 2 3 7 4 7" xfId="20772" xr:uid="{00000000-0005-0000-0000-0000F6330000}"/>
    <cellStyle name="Normal 2 2 3 7 5" xfId="907" xr:uid="{00000000-0005-0000-0000-0000F7330000}"/>
    <cellStyle name="Normal 2 2 3 7 5 2" xfId="2401" xr:uid="{00000000-0005-0000-0000-0000F8330000}"/>
    <cellStyle name="Normal 2 2 3 7 5 2 2" xfId="6883" xr:uid="{00000000-0005-0000-0000-0000F9330000}"/>
    <cellStyle name="Normal 2 2 3 7 5 2 2 2" xfId="15913" xr:uid="{00000000-0005-0000-0000-0000FA330000}"/>
    <cellStyle name="Normal 2 2 3 7 5 2 2 2 2" xfId="35965" xr:uid="{00000000-0005-0000-0000-0000FB330000}"/>
    <cellStyle name="Normal 2 2 3 7 5 2 2 3" xfId="26935" xr:uid="{00000000-0005-0000-0000-0000FC330000}"/>
    <cellStyle name="Normal 2 2 3 7 5 2 3" xfId="11431" xr:uid="{00000000-0005-0000-0000-0000FD330000}"/>
    <cellStyle name="Normal 2 2 3 7 5 2 3 2" xfId="31483" xr:uid="{00000000-0005-0000-0000-0000FE330000}"/>
    <cellStyle name="Normal 2 2 3 7 5 2 4" xfId="22453" xr:uid="{00000000-0005-0000-0000-0000FF330000}"/>
    <cellStyle name="Normal 2 2 3 7 5 3" xfId="3895" xr:uid="{00000000-0005-0000-0000-000000340000}"/>
    <cellStyle name="Normal 2 2 3 7 5 3 2" xfId="8377" xr:uid="{00000000-0005-0000-0000-000001340000}"/>
    <cellStyle name="Normal 2 2 3 7 5 3 2 2" xfId="17407" xr:uid="{00000000-0005-0000-0000-000002340000}"/>
    <cellStyle name="Normal 2 2 3 7 5 3 2 2 2" xfId="37459" xr:uid="{00000000-0005-0000-0000-000003340000}"/>
    <cellStyle name="Normal 2 2 3 7 5 3 2 3" xfId="28429" xr:uid="{00000000-0005-0000-0000-000004340000}"/>
    <cellStyle name="Normal 2 2 3 7 5 3 3" xfId="12925" xr:uid="{00000000-0005-0000-0000-000005340000}"/>
    <cellStyle name="Normal 2 2 3 7 5 3 3 2" xfId="32977" xr:uid="{00000000-0005-0000-0000-000006340000}"/>
    <cellStyle name="Normal 2 2 3 7 5 3 4" xfId="23947" xr:uid="{00000000-0005-0000-0000-000007340000}"/>
    <cellStyle name="Normal 2 2 3 7 5 4" xfId="5389" xr:uid="{00000000-0005-0000-0000-000008340000}"/>
    <cellStyle name="Normal 2 2 3 7 5 4 2" xfId="14419" xr:uid="{00000000-0005-0000-0000-000009340000}"/>
    <cellStyle name="Normal 2 2 3 7 5 4 2 2" xfId="34471" xr:uid="{00000000-0005-0000-0000-00000A340000}"/>
    <cellStyle name="Normal 2 2 3 7 5 4 3" xfId="25441" xr:uid="{00000000-0005-0000-0000-00000B340000}"/>
    <cellStyle name="Normal 2 2 3 7 5 5" xfId="9937" xr:uid="{00000000-0005-0000-0000-00000C340000}"/>
    <cellStyle name="Normal 2 2 3 7 5 5 2" xfId="29989" xr:uid="{00000000-0005-0000-0000-00000D340000}"/>
    <cellStyle name="Normal 2 2 3 7 5 6" xfId="20959" xr:uid="{00000000-0005-0000-0000-00000E340000}"/>
    <cellStyle name="Normal 2 2 3 7 6" xfId="1656" xr:uid="{00000000-0005-0000-0000-00000F340000}"/>
    <cellStyle name="Normal 2 2 3 7 6 2" xfId="6138" xr:uid="{00000000-0005-0000-0000-000010340000}"/>
    <cellStyle name="Normal 2 2 3 7 6 2 2" xfId="15168" xr:uid="{00000000-0005-0000-0000-000011340000}"/>
    <cellStyle name="Normal 2 2 3 7 6 2 2 2" xfId="35220" xr:uid="{00000000-0005-0000-0000-000012340000}"/>
    <cellStyle name="Normal 2 2 3 7 6 2 3" xfId="26190" xr:uid="{00000000-0005-0000-0000-000013340000}"/>
    <cellStyle name="Normal 2 2 3 7 6 3" xfId="10686" xr:uid="{00000000-0005-0000-0000-000014340000}"/>
    <cellStyle name="Normal 2 2 3 7 6 3 2" xfId="30738" xr:uid="{00000000-0005-0000-0000-000015340000}"/>
    <cellStyle name="Normal 2 2 3 7 6 4" xfId="21708" xr:uid="{00000000-0005-0000-0000-000016340000}"/>
    <cellStyle name="Normal 2 2 3 7 7" xfId="3150" xr:uid="{00000000-0005-0000-0000-000017340000}"/>
    <cellStyle name="Normal 2 2 3 7 7 2" xfId="7632" xr:uid="{00000000-0005-0000-0000-000018340000}"/>
    <cellStyle name="Normal 2 2 3 7 7 2 2" xfId="16662" xr:uid="{00000000-0005-0000-0000-000019340000}"/>
    <cellStyle name="Normal 2 2 3 7 7 2 2 2" xfId="36714" xr:uid="{00000000-0005-0000-0000-00001A340000}"/>
    <cellStyle name="Normal 2 2 3 7 7 2 3" xfId="27684" xr:uid="{00000000-0005-0000-0000-00001B340000}"/>
    <cellStyle name="Normal 2 2 3 7 7 3" xfId="12180" xr:uid="{00000000-0005-0000-0000-00001C340000}"/>
    <cellStyle name="Normal 2 2 3 7 7 3 2" xfId="32232" xr:uid="{00000000-0005-0000-0000-00001D340000}"/>
    <cellStyle name="Normal 2 2 3 7 7 4" xfId="23202" xr:uid="{00000000-0005-0000-0000-00001E340000}"/>
    <cellStyle name="Normal 2 2 3 7 8" xfId="4644" xr:uid="{00000000-0005-0000-0000-00001F340000}"/>
    <cellStyle name="Normal 2 2 3 7 8 2" xfId="13674" xr:uid="{00000000-0005-0000-0000-000020340000}"/>
    <cellStyle name="Normal 2 2 3 7 8 2 2" xfId="33726" xr:uid="{00000000-0005-0000-0000-000021340000}"/>
    <cellStyle name="Normal 2 2 3 7 8 3" xfId="24696" xr:uid="{00000000-0005-0000-0000-000022340000}"/>
    <cellStyle name="Normal 2 2 3 7 9" xfId="9192" xr:uid="{00000000-0005-0000-0000-000023340000}"/>
    <cellStyle name="Normal 2 2 3 7 9 2" xfId="29244" xr:uid="{00000000-0005-0000-0000-000024340000}"/>
    <cellStyle name="Normal 2 2 3 8" xfId="185" xr:uid="{00000000-0005-0000-0000-000025340000}"/>
    <cellStyle name="Normal 2 2 3 8 10" xfId="20237" xr:uid="{00000000-0005-0000-0000-000026340000}"/>
    <cellStyle name="Normal 2 2 3 8 2" xfId="371" xr:uid="{00000000-0005-0000-0000-000027340000}"/>
    <cellStyle name="Normal 2 2 3 8 2 2" xfId="1114" xr:uid="{00000000-0005-0000-0000-000028340000}"/>
    <cellStyle name="Normal 2 2 3 8 2 2 2" xfId="2608" xr:uid="{00000000-0005-0000-0000-000029340000}"/>
    <cellStyle name="Normal 2 2 3 8 2 2 2 2" xfId="7090" xr:uid="{00000000-0005-0000-0000-00002A340000}"/>
    <cellStyle name="Normal 2 2 3 8 2 2 2 2 2" xfId="16120" xr:uid="{00000000-0005-0000-0000-00002B340000}"/>
    <cellStyle name="Normal 2 2 3 8 2 2 2 2 2 2" xfId="36172" xr:uid="{00000000-0005-0000-0000-00002C340000}"/>
    <cellStyle name="Normal 2 2 3 8 2 2 2 2 3" xfId="27142" xr:uid="{00000000-0005-0000-0000-00002D340000}"/>
    <cellStyle name="Normal 2 2 3 8 2 2 2 3" xfId="11638" xr:uid="{00000000-0005-0000-0000-00002E340000}"/>
    <cellStyle name="Normal 2 2 3 8 2 2 2 3 2" xfId="31690" xr:uid="{00000000-0005-0000-0000-00002F340000}"/>
    <cellStyle name="Normal 2 2 3 8 2 2 2 4" xfId="22660" xr:uid="{00000000-0005-0000-0000-000030340000}"/>
    <cellStyle name="Normal 2 2 3 8 2 2 3" xfId="4102" xr:uid="{00000000-0005-0000-0000-000031340000}"/>
    <cellStyle name="Normal 2 2 3 8 2 2 3 2" xfId="8584" xr:uid="{00000000-0005-0000-0000-000032340000}"/>
    <cellStyle name="Normal 2 2 3 8 2 2 3 2 2" xfId="17614" xr:uid="{00000000-0005-0000-0000-000033340000}"/>
    <cellStyle name="Normal 2 2 3 8 2 2 3 2 2 2" xfId="37666" xr:uid="{00000000-0005-0000-0000-000034340000}"/>
    <cellStyle name="Normal 2 2 3 8 2 2 3 2 3" xfId="28636" xr:uid="{00000000-0005-0000-0000-000035340000}"/>
    <cellStyle name="Normal 2 2 3 8 2 2 3 3" xfId="13132" xr:uid="{00000000-0005-0000-0000-000036340000}"/>
    <cellStyle name="Normal 2 2 3 8 2 2 3 3 2" xfId="33184" xr:uid="{00000000-0005-0000-0000-000037340000}"/>
    <cellStyle name="Normal 2 2 3 8 2 2 3 4" xfId="24154" xr:uid="{00000000-0005-0000-0000-000038340000}"/>
    <cellStyle name="Normal 2 2 3 8 2 2 4" xfId="5596" xr:uid="{00000000-0005-0000-0000-000039340000}"/>
    <cellStyle name="Normal 2 2 3 8 2 2 4 2" xfId="14626" xr:uid="{00000000-0005-0000-0000-00003A340000}"/>
    <cellStyle name="Normal 2 2 3 8 2 2 4 2 2" xfId="34678" xr:uid="{00000000-0005-0000-0000-00003B340000}"/>
    <cellStyle name="Normal 2 2 3 8 2 2 4 3" xfId="25648" xr:uid="{00000000-0005-0000-0000-00003C340000}"/>
    <cellStyle name="Normal 2 2 3 8 2 2 5" xfId="10144" xr:uid="{00000000-0005-0000-0000-00003D340000}"/>
    <cellStyle name="Normal 2 2 3 8 2 2 5 2" xfId="30196" xr:uid="{00000000-0005-0000-0000-00003E340000}"/>
    <cellStyle name="Normal 2 2 3 8 2 2 6" xfId="21166" xr:uid="{00000000-0005-0000-0000-00003F340000}"/>
    <cellStyle name="Normal 2 2 3 8 2 3" xfId="1865" xr:uid="{00000000-0005-0000-0000-000040340000}"/>
    <cellStyle name="Normal 2 2 3 8 2 3 2" xfId="6347" xr:uid="{00000000-0005-0000-0000-000041340000}"/>
    <cellStyle name="Normal 2 2 3 8 2 3 2 2" xfId="15377" xr:uid="{00000000-0005-0000-0000-000042340000}"/>
    <cellStyle name="Normal 2 2 3 8 2 3 2 2 2" xfId="35429" xr:uid="{00000000-0005-0000-0000-000043340000}"/>
    <cellStyle name="Normal 2 2 3 8 2 3 2 3" xfId="26399" xr:uid="{00000000-0005-0000-0000-000044340000}"/>
    <cellStyle name="Normal 2 2 3 8 2 3 3" xfId="10895" xr:uid="{00000000-0005-0000-0000-000045340000}"/>
    <cellStyle name="Normal 2 2 3 8 2 3 3 2" xfId="30947" xr:uid="{00000000-0005-0000-0000-000046340000}"/>
    <cellStyle name="Normal 2 2 3 8 2 3 4" xfId="21917" xr:uid="{00000000-0005-0000-0000-000047340000}"/>
    <cellStyle name="Normal 2 2 3 8 2 4" xfId="3359" xr:uid="{00000000-0005-0000-0000-000048340000}"/>
    <cellStyle name="Normal 2 2 3 8 2 4 2" xfId="7841" xr:uid="{00000000-0005-0000-0000-000049340000}"/>
    <cellStyle name="Normal 2 2 3 8 2 4 2 2" xfId="16871" xr:uid="{00000000-0005-0000-0000-00004A340000}"/>
    <cellStyle name="Normal 2 2 3 8 2 4 2 2 2" xfId="36923" xr:uid="{00000000-0005-0000-0000-00004B340000}"/>
    <cellStyle name="Normal 2 2 3 8 2 4 2 3" xfId="27893" xr:uid="{00000000-0005-0000-0000-00004C340000}"/>
    <cellStyle name="Normal 2 2 3 8 2 4 3" xfId="12389" xr:uid="{00000000-0005-0000-0000-00004D340000}"/>
    <cellStyle name="Normal 2 2 3 8 2 4 3 2" xfId="32441" xr:uid="{00000000-0005-0000-0000-00004E340000}"/>
    <cellStyle name="Normal 2 2 3 8 2 4 4" xfId="23411" xr:uid="{00000000-0005-0000-0000-00004F340000}"/>
    <cellStyle name="Normal 2 2 3 8 2 5" xfId="4853" xr:uid="{00000000-0005-0000-0000-000050340000}"/>
    <cellStyle name="Normal 2 2 3 8 2 5 2" xfId="13883" xr:uid="{00000000-0005-0000-0000-000051340000}"/>
    <cellStyle name="Normal 2 2 3 8 2 5 2 2" xfId="33935" xr:uid="{00000000-0005-0000-0000-000052340000}"/>
    <cellStyle name="Normal 2 2 3 8 2 5 3" xfId="24905" xr:uid="{00000000-0005-0000-0000-000053340000}"/>
    <cellStyle name="Normal 2 2 3 8 2 6" xfId="9401" xr:uid="{00000000-0005-0000-0000-000054340000}"/>
    <cellStyle name="Normal 2 2 3 8 2 6 2" xfId="29453" xr:uid="{00000000-0005-0000-0000-000055340000}"/>
    <cellStyle name="Normal 2 2 3 8 2 7" xfId="20423" xr:uid="{00000000-0005-0000-0000-000056340000}"/>
    <cellStyle name="Normal 2 2 3 8 3" xfId="557" xr:uid="{00000000-0005-0000-0000-000057340000}"/>
    <cellStyle name="Normal 2 2 3 8 3 2" xfId="1304" xr:uid="{00000000-0005-0000-0000-000058340000}"/>
    <cellStyle name="Normal 2 2 3 8 3 2 2" xfId="2798" xr:uid="{00000000-0005-0000-0000-000059340000}"/>
    <cellStyle name="Normal 2 2 3 8 3 2 2 2" xfId="7280" xr:uid="{00000000-0005-0000-0000-00005A340000}"/>
    <cellStyle name="Normal 2 2 3 8 3 2 2 2 2" xfId="16310" xr:uid="{00000000-0005-0000-0000-00005B340000}"/>
    <cellStyle name="Normal 2 2 3 8 3 2 2 2 2 2" xfId="36362" xr:uid="{00000000-0005-0000-0000-00005C340000}"/>
    <cellStyle name="Normal 2 2 3 8 3 2 2 2 3" xfId="27332" xr:uid="{00000000-0005-0000-0000-00005D340000}"/>
    <cellStyle name="Normal 2 2 3 8 3 2 2 3" xfId="11828" xr:uid="{00000000-0005-0000-0000-00005E340000}"/>
    <cellStyle name="Normal 2 2 3 8 3 2 2 3 2" xfId="31880" xr:uid="{00000000-0005-0000-0000-00005F340000}"/>
    <cellStyle name="Normal 2 2 3 8 3 2 2 4" xfId="22850" xr:uid="{00000000-0005-0000-0000-000060340000}"/>
    <cellStyle name="Normal 2 2 3 8 3 2 3" xfId="4292" xr:uid="{00000000-0005-0000-0000-000061340000}"/>
    <cellStyle name="Normal 2 2 3 8 3 2 3 2" xfId="8774" xr:uid="{00000000-0005-0000-0000-000062340000}"/>
    <cellStyle name="Normal 2 2 3 8 3 2 3 2 2" xfId="17804" xr:uid="{00000000-0005-0000-0000-000063340000}"/>
    <cellStyle name="Normal 2 2 3 8 3 2 3 2 2 2" xfId="37856" xr:uid="{00000000-0005-0000-0000-000064340000}"/>
    <cellStyle name="Normal 2 2 3 8 3 2 3 2 3" xfId="28826" xr:uid="{00000000-0005-0000-0000-000065340000}"/>
    <cellStyle name="Normal 2 2 3 8 3 2 3 3" xfId="13322" xr:uid="{00000000-0005-0000-0000-000066340000}"/>
    <cellStyle name="Normal 2 2 3 8 3 2 3 3 2" xfId="33374" xr:uid="{00000000-0005-0000-0000-000067340000}"/>
    <cellStyle name="Normal 2 2 3 8 3 2 3 4" xfId="24344" xr:uid="{00000000-0005-0000-0000-000068340000}"/>
    <cellStyle name="Normal 2 2 3 8 3 2 4" xfId="5786" xr:uid="{00000000-0005-0000-0000-000069340000}"/>
    <cellStyle name="Normal 2 2 3 8 3 2 4 2" xfId="14816" xr:uid="{00000000-0005-0000-0000-00006A340000}"/>
    <cellStyle name="Normal 2 2 3 8 3 2 4 2 2" xfId="34868" xr:uid="{00000000-0005-0000-0000-00006B340000}"/>
    <cellStyle name="Normal 2 2 3 8 3 2 4 3" xfId="25838" xr:uid="{00000000-0005-0000-0000-00006C340000}"/>
    <cellStyle name="Normal 2 2 3 8 3 2 5" xfId="10334" xr:uid="{00000000-0005-0000-0000-00006D340000}"/>
    <cellStyle name="Normal 2 2 3 8 3 2 5 2" xfId="30386" xr:uid="{00000000-0005-0000-0000-00006E340000}"/>
    <cellStyle name="Normal 2 2 3 8 3 2 6" xfId="21356" xr:uid="{00000000-0005-0000-0000-00006F340000}"/>
    <cellStyle name="Normal 2 2 3 8 3 3" xfId="2051" xr:uid="{00000000-0005-0000-0000-000070340000}"/>
    <cellStyle name="Normal 2 2 3 8 3 3 2" xfId="6533" xr:uid="{00000000-0005-0000-0000-000071340000}"/>
    <cellStyle name="Normal 2 2 3 8 3 3 2 2" xfId="15563" xr:uid="{00000000-0005-0000-0000-000072340000}"/>
    <cellStyle name="Normal 2 2 3 8 3 3 2 2 2" xfId="35615" xr:uid="{00000000-0005-0000-0000-000073340000}"/>
    <cellStyle name="Normal 2 2 3 8 3 3 2 3" xfId="26585" xr:uid="{00000000-0005-0000-0000-000074340000}"/>
    <cellStyle name="Normal 2 2 3 8 3 3 3" xfId="11081" xr:uid="{00000000-0005-0000-0000-000075340000}"/>
    <cellStyle name="Normal 2 2 3 8 3 3 3 2" xfId="31133" xr:uid="{00000000-0005-0000-0000-000076340000}"/>
    <cellStyle name="Normal 2 2 3 8 3 3 4" xfId="22103" xr:uid="{00000000-0005-0000-0000-000077340000}"/>
    <cellStyle name="Normal 2 2 3 8 3 4" xfId="3545" xr:uid="{00000000-0005-0000-0000-000078340000}"/>
    <cellStyle name="Normal 2 2 3 8 3 4 2" xfId="8027" xr:uid="{00000000-0005-0000-0000-000079340000}"/>
    <cellStyle name="Normal 2 2 3 8 3 4 2 2" xfId="17057" xr:uid="{00000000-0005-0000-0000-00007A340000}"/>
    <cellStyle name="Normal 2 2 3 8 3 4 2 2 2" xfId="37109" xr:uid="{00000000-0005-0000-0000-00007B340000}"/>
    <cellStyle name="Normal 2 2 3 8 3 4 2 3" xfId="28079" xr:uid="{00000000-0005-0000-0000-00007C340000}"/>
    <cellStyle name="Normal 2 2 3 8 3 4 3" xfId="12575" xr:uid="{00000000-0005-0000-0000-00007D340000}"/>
    <cellStyle name="Normal 2 2 3 8 3 4 3 2" xfId="32627" xr:uid="{00000000-0005-0000-0000-00007E340000}"/>
    <cellStyle name="Normal 2 2 3 8 3 4 4" xfId="23597" xr:uid="{00000000-0005-0000-0000-00007F340000}"/>
    <cellStyle name="Normal 2 2 3 8 3 5" xfId="5039" xr:uid="{00000000-0005-0000-0000-000080340000}"/>
    <cellStyle name="Normal 2 2 3 8 3 5 2" xfId="14069" xr:uid="{00000000-0005-0000-0000-000081340000}"/>
    <cellStyle name="Normal 2 2 3 8 3 5 2 2" xfId="34121" xr:uid="{00000000-0005-0000-0000-000082340000}"/>
    <cellStyle name="Normal 2 2 3 8 3 5 3" xfId="25091" xr:uid="{00000000-0005-0000-0000-000083340000}"/>
    <cellStyle name="Normal 2 2 3 8 3 6" xfId="9587" xr:uid="{00000000-0005-0000-0000-000084340000}"/>
    <cellStyle name="Normal 2 2 3 8 3 6 2" xfId="29639" xr:uid="{00000000-0005-0000-0000-000085340000}"/>
    <cellStyle name="Normal 2 2 3 8 3 7" xfId="20609" xr:uid="{00000000-0005-0000-0000-000086340000}"/>
    <cellStyle name="Normal 2 2 3 8 4" xfId="743" xr:uid="{00000000-0005-0000-0000-000087340000}"/>
    <cellStyle name="Normal 2 2 3 8 4 2" xfId="1490" xr:uid="{00000000-0005-0000-0000-000088340000}"/>
    <cellStyle name="Normal 2 2 3 8 4 2 2" xfId="2984" xr:uid="{00000000-0005-0000-0000-000089340000}"/>
    <cellStyle name="Normal 2 2 3 8 4 2 2 2" xfId="7466" xr:uid="{00000000-0005-0000-0000-00008A340000}"/>
    <cellStyle name="Normal 2 2 3 8 4 2 2 2 2" xfId="16496" xr:uid="{00000000-0005-0000-0000-00008B340000}"/>
    <cellStyle name="Normal 2 2 3 8 4 2 2 2 2 2" xfId="36548" xr:uid="{00000000-0005-0000-0000-00008C340000}"/>
    <cellStyle name="Normal 2 2 3 8 4 2 2 2 3" xfId="27518" xr:uid="{00000000-0005-0000-0000-00008D340000}"/>
    <cellStyle name="Normal 2 2 3 8 4 2 2 3" xfId="12014" xr:uid="{00000000-0005-0000-0000-00008E340000}"/>
    <cellStyle name="Normal 2 2 3 8 4 2 2 3 2" xfId="32066" xr:uid="{00000000-0005-0000-0000-00008F340000}"/>
    <cellStyle name="Normal 2 2 3 8 4 2 2 4" xfId="23036" xr:uid="{00000000-0005-0000-0000-000090340000}"/>
    <cellStyle name="Normal 2 2 3 8 4 2 3" xfId="4478" xr:uid="{00000000-0005-0000-0000-000091340000}"/>
    <cellStyle name="Normal 2 2 3 8 4 2 3 2" xfId="8960" xr:uid="{00000000-0005-0000-0000-000092340000}"/>
    <cellStyle name="Normal 2 2 3 8 4 2 3 2 2" xfId="17990" xr:uid="{00000000-0005-0000-0000-000093340000}"/>
    <cellStyle name="Normal 2 2 3 8 4 2 3 2 2 2" xfId="38042" xr:uid="{00000000-0005-0000-0000-000094340000}"/>
    <cellStyle name="Normal 2 2 3 8 4 2 3 2 3" xfId="29012" xr:uid="{00000000-0005-0000-0000-000095340000}"/>
    <cellStyle name="Normal 2 2 3 8 4 2 3 3" xfId="13508" xr:uid="{00000000-0005-0000-0000-000096340000}"/>
    <cellStyle name="Normal 2 2 3 8 4 2 3 3 2" xfId="33560" xr:uid="{00000000-0005-0000-0000-000097340000}"/>
    <cellStyle name="Normal 2 2 3 8 4 2 3 4" xfId="24530" xr:uid="{00000000-0005-0000-0000-000098340000}"/>
    <cellStyle name="Normal 2 2 3 8 4 2 4" xfId="5972" xr:uid="{00000000-0005-0000-0000-000099340000}"/>
    <cellStyle name="Normal 2 2 3 8 4 2 4 2" xfId="15002" xr:uid="{00000000-0005-0000-0000-00009A340000}"/>
    <cellStyle name="Normal 2 2 3 8 4 2 4 2 2" xfId="35054" xr:uid="{00000000-0005-0000-0000-00009B340000}"/>
    <cellStyle name="Normal 2 2 3 8 4 2 4 3" xfId="26024" xr:uid="{00000000-0005-0000-0000-00009C340000}"/>
    <cellStyle name="Normal 2 2 3 8 4 2 5" xfId="10520" xr:uid="{00000000-0005-0000-0000-00009D340000}"/>
    <cellStyle name="Normal 2 2 3 8 4 2 5 2" xfId="30572" xr:uid="{00000000-0005-0000-0000-00009E340000}"/>
    <cellStyle name="Normal 2 2 3 8 4 2 6" xfId="21542" xr:uid="{00000000-0005-0000-0000-00009F340000}"/>
    <cellStyle name="Normal 2 2 3 8 4 3" xfId="2237" xr:uid="{00000000-0005-0000-0000-0000A0340000}"/>
    <cellStyle name="Normal 2 2 3 8 4 3 2" xfId="6719" xr:uid="{00000000-0005-0000-0000-0000A1340000}"/>
    <cellStyle name="Normal 2 2 3 8 4 3 2 2" xfId="15749" xr:uid="{00000000-0005-0000-0000-0000A2340000}"/>
    <cellStyle name="Normal 2 2 3 8 4 3 2 2 2" xfId="35801" xr:uid="{00000000-0005-0000-0000-0000A3340000}"/>
    <cellStyle name="Normal 2 2 3 8 4 3 2 3" xfId="26771" xr:uid="{00000000-0005-0000-0000-0000A4340000}"/>
    <cellStyle name="Normal 2 2 3 8 4 3 3" xfId="11267" xr:uid="{00000000-0005-0000-0000-0000A5340000}"/>
    <cellStyle name="Normal 2 2 3 8 4 3 3 2" xfId="31319" xr:uid="{00000000-0005-0000-0000-0000A6340000}"/>
    <cellStyle name="Normal 2 2 3 8 4 3 4" xfId="22289" xr:uid="{00000000-0005-0000-0000-0000A7340000}"/>
    <cellStyle name="Normal 2 2 3 8 4 4" xfId="3731" xr:uid="{00000000-0005-0000-0000-0000A8340000}"/>
    <cellStyle name="Normal 2 2 3 8 4 4 2" xfId="8213" xr:uid="{00000000-0005-0000-0000-0000A9340000}"/>
    <cellStyle name="Normal 2 2 3 8 4 4 2 2" xfId="17243" xr:uid="{00000000-0005-0000-0000-0000AA340000}"/>
    <cellStyle name="Normal 2 2 3 8 4 4 2 2 2" xfId="37295" xr:uid="{00000000-0005-0000-0000-0000AB340000}"/>
    <cellStyle name="Normal 2 2 3 8 4 4 2 3" xfId="28265" xr:uid="{00000000-0005-0000-0000-0000AC340000}"/>
    <cellStyle name="Normal 2 2 3 8 4 4 3" xfId="12761" xr:uid="{00000000-0005-0000-0000-0000AD340000}"/>
    <cellStyle name="Normal 2 2 3 8 4 4 3 2" xfId="32813" xr:uid="{00000000-0005-0000-0000-0000AE340000}"/>
    <cellStyle name="Normal 2 2 3 8 4 4 4" xfId="23783" xr:uid="{00000000-0005-0000-0000-0000AF340000}"/>
    <cellStyle name="Normal 2 2 3 8 4 5" xfId="5225" xr:uid="{00000000-0005-0000-0000-0000B0340000}"/>
    <cellStyle name="Normal 2 2 3 8 4 5 2" xfId="14255" xr:uid="{00000000-0005-0000-0000-0000B1340000}"/>
    <cellStyle name="Normal 2 2 3 8 4 5 2 2" xfId="34307" xr:uid="{00000000-0005-0000-0000-0000B2340000}"/>
    <cellStyle name="Normal 2 2 3 8 4 5 3" xfId="25277" xr:uid="{00000000-0005-0000-0000-0000B3340000}"/>
    <cellStyle name="Normal 2 2 3 8 4 6" xfId="9773" xr:uid="{00000000-0005-0000-0000-0000B4340000}"/>
    <cellStyle name="Normal 2 2 3 8 4 6 2" xfId="29825" xr:uid="{00000000-0005-0000-0000-0000B5340000}"/>
    <cellStyle name="Normal 2 2 3 8 4 7" xfId="20795" xr:uid="{00000000-0005-0000-0000-0000B6340000}"/>
    <cellStyle name="Normal 2 2 3 8 5" xfId="930" xr:uid="{00000000-0005-0000-0000-0000B7340000}"/>
    <cellStyle name="Normal 2 2 3 8 5 2" xfId="2424" xr:uid="{00000000-0005-0000-0000-0000B8340000}"/>
    <cellStyle name="Normal 2 2 3 8 5 2 2" xfId="6906" xr:uid="{00000000-0005-0000-0000-0000B9340000}"/>
    <cellStyle name="Normal 2 2 3 8 5 2 2 2" xfId="15936" xr:uid="{00000000-0005-0000-0000-0000BA340000}"/>
    <cellStyle name="Normal 2 2 3 8 5 2 2 2 2" xfId="35988" xr:uid="{00000000-0005-0000-0000-0000BB340000}"/>
    <cellStyle name="Normal 2 2 3 8 5 2 2 3" xfId="26958" xr:uid="{00000000-0005-0000-0000-0000BC340000}"/>
    <cellStyle name="Normal 2 2 3 8 5 2 3" xfId="11454" xr:uid="{00000000-0005-0000-0000-0000BD340000}"/>
    <cellStyle name="Normal 2 2 3 8 5 2 3 2" xfId="31506" xr:uid="{00000000-0005-0000-0000-0000BE340000}"/>
    <cellStyle name="Normal 2 2 3 8 5 2 4" xfId="22476" xr:uid="{00000000-0005-0000-0000-0000BF340000}"/>
    <cellStyle name="Normal 2 2 3 8 5 3" xfId="3918" xr:uid="{00000000-0005-0000-0000-0000C0340000}"/>
    <cellStyle name="Normal 2 2 3 8 5 3 2" xfId="8400" xr:uid="{00000000-0005-0000-0000-0000C1340000}"/>
    <cellStyle name="Normal 2 2 3 8 5 3 2 2" xfId="17430" xr:uid="{00000000-0005-0000-0000-0000C2340000}"/>
    <cellStyle name="Normal 2 2 3 8 5 3 2 2 2" xfId="37482" xr:uid="{00000000-0005-0000-0000-0000C3340000}"/>
    <cellStyle name="Normal 2 2 3 8 5 3 2 3" xfId="28452" xr:uid="{00000000-0005-0000-0000-0000C4340000}"/>
    <cellStyle name="Normal 2 2 3 8 5 3 3" xfId="12948" xr:uid="{00000000-0005-0000-0000-0000C5340000}"/>
    <cellStyle name="Normal 2 2 3 8 5 3 3 2" xfId="33000" xr:uid="{00000000-0005-0000-0000-0000C6340000}"/>
    <cellStyle name="Normal 2 2 3 8 5 3 4" xfId="23970" xr:uid="{00000000-0005-0000-0000-0000C7340000}"/>
    <cellStyle name="Normal 2 2 3 8 5 4" xfId="5412" xr:uid="{00000000-0005-0000-0000-0000C8340000}"/>
    <cellStyle name="Normal 2 2 3 8 5 4 2" xfId="14442" xr:uid="{00000000-0005-0000-0000-0000C9340000}"/>
    <cellStyle name="Normal 2 2 3 8 5 4 2 2" xfId="34494" xr:uid="{00000000-0005-0000-0000-0000CA340000}"/>
    <cellStyle name="Normal 2 2 3 8 5 4 3" xfId="25464" xr:uid="{00000000-0005-0000-0000-0000CB340000}"/>
    <cellStyle name="Normal 2 2 3 8 5 5" xfId="9960" xr:uid="{00000000-0005-0000-0000-0000CC340000}"/>
    <cellStyle name="Normal 2 2 3 8 5 5 2" xfId="30012" xr:uid="{00000000-0005-0000-0000-0000CD340000}"/>
    <cellStyle name="Normal 2 2 3 8 5 6" xfId="20982" xr:uid="{00000000-0005-0000-0000-0000CE340000}"/>
    <cellStyle name="Normal 2 2 3 8 6" xfId="1679" xr:uid="{00000000-0005-0000-0000-0000CF340000}"/>
    <cellStyle name="Normal 2 2 3 8 6 2" xfId="6161" xr:uid="{00000000-0005-0000-0000-0000D0340000}"/>
    <cellStyle name="Normal 2 2 3 8 6 2 2" xfId="15191" xr:uid="{00000000-0005-0000-0000-0000D1340000}"/>
    <cellStyle name="Normal 2 2 3 8 6 2 2 2" xfId="35243" xr:uid="{00000000-0005-0000-0000-0000D2340000}"/>
    <cellStyle name="Normal 2 2 3 8 6 2 3" xfId="26213" xr:uid="{00000000-0005-0000-0000-0000D3340000}"/>
    <cellStyle name="Normal 2 2 3 8 6 3" xfId="10709" xr:uid="{00000000-0005-0000-0000-0000D4340000}"/>
    <cellStyle name="Normal 2 2 3 8 6 3 2" xfId="30761" xr:uid="{00000000-0005-0000-0000-0000D5340000}"/>
    <cellStyle name="Normal 2 2 3 8 6 4" xfId="21731" xr:uid="{00000000-0005-0000-0000-0000D6340000}"/>
    <cellStyle name="Normal 2 2 3 8 7" xfId="3173" xr:uid="{00000000-0005-0000-0000-0000D7340000}"/>
    <cellStyle name="Normal 2 2 3 8 7 2" xfId="7655" xr:uid="{00000000-0005-0000-0000-0000D8340000}"/>
    <cellStyle name="Normal 2 2 3 8 7 2 2" xfId="16685" xr:uid="{00000000-0005-0000-0000-0000D9340000}"/>
    <cellStyle name="Normal 2 2 3 8 7 2 2 2" xfId="36737" xr:uid="{00000000-0005-0000-0000-0000DA340000}"/>
    <cellStyle name="Normal 2 2 3 8 7 2 3" xfId="27707" xr:uid="{00000000-0005-0000-0000-0000DB340000}"/>
    <cellStyle name="Normal 2 2 3 8 7 3" xfId="12203" xr:uid="{00000000-0005-0000-0000-0000DC340000}"/>
    <cellStyle name="Normal 2 2 3 8 7 3 2" xfId="32255" xr:uid="{00000000-0005-0000-0000-0000DD340000}"/>
    <cellStyle name="Normal 2 2 3 8 7 4" xfId="23225" xr:uid="{00000000-0005-0000-0000-0000DE340000}"/>
    <cellStyle name="Normal 2 2 3 8 8" xfId="4667" xr:uid="{00000000-0005-0000-0000-0000DF340000}"/>
    <cellStyle name="Normal 2 2 3 8 8 2" xfId="13697" xr:uid="{00000000-0005-0000-0000-0000E0340000}"/>
    <cellStyle name="Normal 2 2 3 8 8 2 2" xfId="33749" xr:uid="{00000000-0005-0000-0000-0000E1340000}"/>
    <cellStyle name="Normal 2 2 3 8 8 3" xfId="24719" xr:uid="{00000000-0005-0000-0000-0000E2340000}"/>
    <cellStyle name="Normal 2 2 3 8 9" xfId="9215" xr:uid="{00000000-0005-0000-0000-0000E3340000}"/>
    <cellStyle name="Normal 2 2 3 8 9 2" xfId="29267" xr:uid="{00000000-0005-0000-0000-0000E4340000}"/>
    <cellStyle name="Normal 2 2 3 9" xfId="208" xr:uid="{00000000-0005-0000-0000-0000E5340000}"/>
    <cellStyle name="Normal 2 2 3 9 2" xfId="953" xr:uid="{00000000-0005-0000-0000-0000E6340000}"/>
    <cellStyle name="Normal 2 2 3 9 2 2" xfId="2447" xr:uid="{00000000-0005-0000-0000-0000E7340000}"/>
    <cellStyle name="Normal 2 2 3 9 2 2 2" xfId="6929" xr:uid="{00000000-0005-0000-0000-0000E8340000}"/>
    <cellStyle name="Normal 2 2 3 9 2 2 2 2" xfId="15959" xr:uid="{00000000-0005-0000-0000-0000E9340000}"/>
    <cellStyle name="Normal 2 2 3 9 2 2 2 2 2" xfId="36011" xr:uid="{00000000-0005-0000-0000-0000EA340000}"/>
    <cellStyle name="Normal 2 2 3 9 2 2 2 3" xfId="26981" xr:uid="{00000000-0005-0000-0000-0000EB340000}"/>
    <cellStyle name="Normal 2 2 3 9 2 2 3" xfId="11477" xr:uid="{00000000-0005-0000-0000-0000EC340000}"/>
    <cellStyle name="Normal 2 2 3 9 2 2 3 2" xfId="31529" xr:uid="{00000000-0005-0000-0000-0000ED340000}"/>
    <cellStyle name="Normal 2 2 3 9 2 2 4" xfId="22499" xr:uid="{00000000-0005-0000-0000-0000EE340000}"/>
    <cellStyle name="Normal 2 2 3 9 2 3" xfId="3941" xr:uid="{00000000-0005-0000-0000-0000EF340000}"/>
    <cellStyle name="Normal 2 2 3 9 2 3 2" xfId="8423" xr:uid="{00000000-0005-0000-0000-0000F0340000}"/>
    <cellStyle name="Normal 2 2 3 9 2 3 2 2" xfId="17453" xr:uid="{00000000-0005-0000-0000-0000F1340000}"/>
    <cellStyle name="Normal 2 2 3 9 2 3 2 2 2" xfId="37505" xr:uid="{00000000-0005-0000-0000-0000F2340000}"/>
    <cellStyle name="Normal 2 2 3 9 2 3 2 3" xfId="28475" xr:uid="{00000000-0005-0000-0000-0000F3340000}"/>
    <cellStyle name="Normal 2 2 3 9 2 3 3" xfId="12971" xr:uid="{00000000-0005-0000-0000-0000F4340000}"/>
    <cellStyle name="Normal 2 2 3 9 2 3 3 2" xfId="33023" xr:uid="{00000000-0005-0000-0000-0000F5340000}"/>
    <cellStyle name="Normal 2 2 3 9 2 3 4" xfId="23993" xr:uid="{00000000-0005-0000-0000-0000F6340000}"/>
    <cellStyle name="Normal 2 2 3 9 2 4" xfId="5435" xr:uid="{00000000-0005-0000-0000-0000F7340000}"/>
    <cellStyle name="Normal 2 2 3 9 2 4 2" xfId="14465" xr:uid="{00000000-0005-0000-0000-0000F8340000}"/>
    <cellStyle name="Normal 2 2 3 9 2 4 2 2" xfId="34517" xr:uid="{00000000-0005-0000-0000-0000F9340000}"/>
    <cellStyle name="Normal 2 2 3 9 2 4 3" xfId="25487" xr:uid="{00000000-0005-0000-0000-0000FA340000}"/>
    <cellStyle name="Normal 2 2 3 9 2 5" xfId="9983" xr:uid="{00000000-0005-0000-0000-0000FB340000}"/>
    <cellStyle name="Normal 2 2 3 9 2 5 2" xfId="30035" xr:uid="{00000000-0005-0000-0000-0000FC340000}"/>
    <cellStyle name="Normal 2 2 3 9 2 6" xfId="21005" xr:uid="{00000000-0005-0000-0000-0000FD340000}"/>
    <cellStyle name="Normal 2 2 3 9 3" xfId="1702" xr:uid="{00000000-0005-0000-0000-0000FE340000}"/>
    <cellStyle name="Normal 2 2 3 9 3 2" xfId="6184" xr:uid="{00000000-0005-0000-0000-0000FF340000}"/>
    <cellStyle name="Normal 2 2 3 9 3 2 2" xfId="15214" xr:uid="{00000000-0005-0000-0000-000000350000}"/>
    <cellStyle name="Normal 2 2 3 9 3 2 2 2" xfId="35266" xr:uid="{00000000-0005-0000-0000-000001350000}"/>
    <cellStyle name="Normal 2 2 3 9 3 2 3" xfId="26236" xr:uid="{00000000-0005-0000-0000-000002350000}"/>
    <cellStyle name="Normal 2 2 3 9 3 3" xfId="10732" xr:uid="{00000000-0005-0000-0000-000003350000}"/>
    <cellStyle name="Normal 2 2 3 9 3 3 2" xfId="30784" xr:uid="{00000000-0005-0000-0000-000004350000}"/>
    <cellStyle name="Normal 2 2 3 9 3 4" xfId="21754" xr:uid="{00000000-0005-0000-0000-000005350000}"/>
    <cellStyle name="Normal 2 2 3 9 4" xfId="3196" xr:uid="{00000000-0005-0000-0000-000006350000}"/>
    <cellStyle name="Normal 2 2 3 9 4 2" xfId="7678" xr:uid="{00000000-0005-0000-0000-000007350000}"/>
    <cellStyle name="Normal 2 2 3 9 4 2 2" xfId="16708" xr:uid="{00000000-0005-0000-0000-000008350000}"/>
    <cellStyle name="Normal 2 2 3 9 4 2 2 2" xfId="36760" xr:uid="{00000000-0005-0000-0000-000009350000}"/>
    <cellStyle name="Normal 2 2 3 9 4 2 3" xfId="27730" xr:uid="{00000000-0005-0000-0000-00000A350000}"/>
    <cellStyle name="Normal 2 2 3 9 4 3" xfId="12226" xr:uid="{00000000-0005-0000-0000-00000B350000}"/>
    <cellStyle name="Normal 2 2 3 9 4 3 2" xfId="32278" xr:uid="{00000000-0005-0000-0000-00000C350000}"/>
    <cellStyle name="Normal 2 2 3 9 4 4" xfId="23248" xr:uid="{00000000-0005-0000-0000-00000D350000}"/>
    <cellStyle name="Normal 2 2 3 9 5" xfId="4690" xr:uid="{00000000-0005-0000-0000-00000E350000}"/>
    <cellStyle name="Normal 2 2 3 9 5 2" xfId="13720" xr:uid="{00000000-0005-0000-0000-00000F350000}"/>
    <cellStyle name="Normal 2 2 3 9 5 2 2" xfId="33772" xr:uid="{00000000-0005-0000-0000-000010350000}"/>
    <cellStyle name="Normal 2 2 3 9 5 3" xfId="24742" xr:uid="{00000000-0005-0000-0000-000011350000}"/>
    <cellStyle name="Normal 2 2 3 9 6" xfId="9238" xr:uid="{00000000-0005-0000-0000-000012350000}"/>
    <cellStyle name="Normal 2 2 3 9 6 2" xfId="29290" xr:uid="{00000000-0005-0000-0000-000013350000}"/>
    <cellStyle name="Normal 2 2 3 9 7" xfId="20260" xr:uid="{00000000-0005-0000-0000-000014350000}"/>
    <cellStyle name="Normal 2 2 4" xfId="35" xr:uid="{00000000-0005-0000-0000-000015350000}"/>
    <cellStyle name="Normal 2 2 4 10" xfId="20087" xr:uid="{00000000-0005-0000-0000-000016350000}"/>
    <cellStyle name="Normal 2 2 4 2" xfId="221" xr:uid="{00000000-0005-0000-0000-000017350000}"/>
    <cellStyle name="Normal 2 2 4 2 2" xfId="966" xr:uid="{00000000-0005-0000-0000-000018350000}"/>
    <cellStyle name="Normal 2 2 4 2 2 2" xfId="2460" xr:uid="{00000000-0005-0000-0000-000019350000}"/>
    <cellStyle name="Normal 2 2 4 2 2 2 2" xfId="6942" xr:uid="{00000000-0005-0000-0000-00001A350000}"/>
    <cellStyle name="Normal 2 2 4 2 2 2 2 2" xfId="15972" xr:uid="{00000000-0005-0000-0000-00001B350000}"/>
    <cellStyle name="Normal 2 2 4 2 2 2 2 2 2" xfId="36024" xr:uid="{00000000-0005-0000-0000-00001C350000}"/>
    <cellStyle name="Normal 2 2 4 2 2 2 2 3" xfId="26994" xr:uid="{00000000-0005-0000-0000-00001D350000}"/>
    <cellStyle name="Normal 2 2 4 2 2 2 3" xfId="11490" xr:uid="{00000000-0005-0000-0000-00001E350000}"/>
    <cellStyle name="Normal 2 2 4 2 2 2 3 2" xfId="31542" xr:uid="{00000000-0005-0000-0000-00001F350000}"/>
    <cellStyle name="Normal 2 2 4 2 2 2 4" xfId="22512" xr:uid="{00000000-0005-0000-0000-000020350000}"/>
    <cellStyle name="Normal 2 2 4 2 2 3" xfId="3954" xr:uid="{00000000-0005-0000-0000-000021350000}"/>
    <cellStyle name="Normal 2 2 4 2 2 3 2" xfId="8436" xr:uid="{00000000-0005-0000-0000-000022350000}"/>
    <cellStyle name="Normal 2 2 4 2 2 3 2 2" xfId="17466" xr:uid="{00000000-0005-0000-0000-000023350000}"/>
    <cellStyle name="Normal 2 2 4 2 2 3 2 2 2" xfId="37518" xr:uid="{00000000-0005-0000-0000-000024350000}"/>
    <cellStyle name="Normal 2 2 4 2 2 3 2 3" xfId="28488" xr:uid="{00000000-0005-0000-0000-000025350000}"/>
    <cellStyle name="Normal 2 2 4 2 2 3 3" xfId="12984" xr:uid="{00000000-0005-0000-0000-000026350000}"/>
    <cellStyle name="Normal 2 2 4 2 2 3 3 2" xfId="33036" xr:uid="{00000000-0005-0000-0000-000027350000}"/>
    <cellStyle name="Normal 2 2 4 2 2 3 4" xfId="24006" xr:uid="{00000000-0005-0000-0000-000028350000}"/>
    <cellStyle name="Normal 2 2 4 2 2 4" xfId="5448" xr:uid="{00000000-0005-0000-0000-000029350000}"/>
    <cellStyle name="Normal 2 2 4 2 2 4 2" xfId="14478" xr:uid="{00000000-0005-0000-0000-00002A350000}"/>
    <cellStyle name="Normal 2 2 4 2 2 4 2 2" xfId="34530" xr:uid="{00000000-0005-0000-0000-00002B350000}"/>
    <cellStyle name="Normal 2 2 4 2 2 4 3" xfId="25500" xr:uid="{00000000-0005-0000-0000-00002C350000}"/>
    <cellStyle name="Normal 2 2 4 2 2 5" xfId="9996" xr:uid="{00000000-0005-0000-0000-00002D350000}"/>
    <cellStyle name="Normal 2 2 4 2 2 5 2" xfId="30048" xr:uid="{00000000-0005-0000-0000-00002E350000}"/>
    <cellStyle name="Normal 2 2 4 2 2 6" xfId="21018" xr:uid="{00000000-0005-0000-0000-00002F350000}"/>
    <cellStyle name="Normal 2 2 4 2 3" xfId="1715" xr:uid="{00000000-0005-0000-0000-000030350000}"/>
    <cellStyle name="Normal 2 2 4 2 3 2" xfId="6197" xr:uid="{00000000-0005-0000-0000-000031350000}"/>
    <cellStyle name="Normal 2 2 4 2 3 2 2" xfId="15227" xr:uid="{00000000-0005-0000-0000-000032350000}"/>
    <cellStyle name="Normal 2 2 4 2 3 2 2 2" xfId="35279" xr:uid="{00000000-0005-0000-0000-000033350000}"/>
    <cellStyle name="Normal 2 2 4 2 3 2 3" xfId="26249" xr:uid="{00000000-0005-0000-0000-000034350000}"/>
    <cellStyle name="Normal 2 2 4 2 3 3" xfId="10745" xr:uid="{00000000-0005-0000-0000-000035350000}"/>
    <cellStyle name="Normal 2 2 4 2 3 3 2" xfId="30797" xr:uid="{00000000-0005-0000-0000-000036350000}"/>
    <cellStyle name="Normal 2 2 4 2 3 4" xfId="21767" xr:uid="{00000000-0005-0000-0000-000037350000}"/>
    <cellStyle name="Normal 2 2 4 2 4" xfId="3209" xr:uid="{00000000-0005-0000-0000-000038350000}"/>
    <cellStyle name="Normal 2 2 4 2 4 2" xfId="7691" xr:uid="{00000000-0005-0000-0000-000039350000}"/>
    <cellStyle name="Normal 2 2 4 2 4 2 2" xfId="16721" xr:uid="{00000000-0005-0000-0000-00003A350000}"/>
    <cellStyle name="Normal 2 2 4 2 4 2 2 2" xfId="36773" xr:uid="{00000000-0005-0000-0000-00003B350000}"/>
    <cellStyle name="Normal 2 2 4 2 4 2 3" xfId="27743" xr:uid="{00000000-0005-0000-0000-00003C350000}"/>
    <cellStyle name="Normal 2 2 4 2 4 3" xfId="12239" xr:uid="{00000000-0005-0000-0000-00003D350000}"/>
    <cellStyle name="Normal 2 2 4 2 4 3 2" xfId="32291" xr:uid="{00000000-0005-0000-0000-00003E350000}"/>
    <cellStyle name="Normal 2 2 4 2 4 4" xfId="23261" xr:uid="{00000000-0005-0000-0000-00003F350000}"/>
    <cellStyle name="Normal 2 2 4 2 5" xfId="4703" xr:uid="{00000000-0005-0000-0000-000040350000}"/>
    <cellStyle name="Normal 2 2 4 2 5 2" xfId="13733" xr:uid="{00000000-0005-0000-0000-000041350000}"/>
    <cellStyle name="Normal 2 2 4 2 5 2 2" xfId="33785" xr:uid="{00000000-0005-0000-0000-000042350000}"/>
    <cellStyle name="Normal 2 2 4 2 5 3" xfId="24755" xr:uid="{00000000-0005-0000-0000-000043350000}"/>
    <cellStyle name="Normal 2 2 4 2 6" xfId="9251" xr:uid="{00000000-0005-0000-0000-000044350000}"/>
    <cellStyle name="Normal 2 2 4 2 6 2" xfId="29303" xr:uid="{00000000-0005-0000-0000-000045350000}"/>
    <cellStyle name="Normal 2 2 4 2 7" xfId="20273" xr:uid="{00000000-0005-0000-0000-000046350000}"/>
    <cellStyle name="Normal 2 2 4 3" xfId="407" xr:uid="{00000000-0005-0000-0000-000047350000}"/>
    <cellStyle name="Normal 2 2 4 3 2" xfId="1154" xr:uid="{00000000-0005-0000-0000-000048350000}"/>
    <cellStyle name="Normal 2 2 4 3 2 2" xfId="2648" xr:uid="{00000000-0005-0000-0000-000049350000}"/>
    <cellStyle name="Normal 2 2 4 3 2 2 2" xfId="7130" xr:uid="{00000000-0005-0000-0000-00004A350000}"/>
    <cellStyle name="Normal 2 2 4 3 2 2 2 2" xfId="16160" xr:uid="{00000000-0005-0000-0000-00004B350000}"/>
    <cellStyle name="Normal 2 2 4 3 2 2 2 2 2" xfId="36212" xr:uid="{00000000-0005-0000-0000-00004C350000}"/>
    <cellStyle name="Normal 2 2 4 3 2 2 2 3" xfId="27182" xr:uid="{00000000-0005-0000-0000-00004D350000}"/>
    <cellStyle name="Normal 2 2 4 3 2 2 3" xfId="11678" xr:uid="{00000000-0005-0000-0000-00004E350000}"/>
    <cellStyle name="Normal 2 2 4 3 2 2 3 2" xfId="31730" xr:uid="{00000000-0005-0000-0000-00004F350000}"/>
    <cellStyle name="Normal 2 2 4 3 2 2 4" xfId="22700" xr:uid="{00000000-0005-0000-0000-000050350000}"/>
    <cellStyle name="Normal 2 2 4 3 2 3" xfId="4142" xr:uid="{00000000-0005-0000-0000-000051350000}"/>
    <cellStyle name="Normal 2 2 4 3 2 3 2" xfId="8624" xr:uid="{00000000-0005-0000-0000-000052350000}"/>
    <cellStyle name="Normal 2 2 4 3 2 3 2 2" xfId="17654" xr:uid="{00000000-0005-0000-0000-000053350000}"/>
    <cellStyle name="Normal 2 2 4 3 2 3 2 2 2" xfId="37706" xr:uid="{00000000-0005-0000-0000-000054350000}"/>
    <cellStyle name="Normal 2 2 4 3 2 3 2 3" xfId="28676" xr:uid="{00000000-0005-0000-0000-000055350000}"/>
    <cellStyle name="Normal 2 2 4 3 2 3 3" xfId="13172" xr:uid="{00000000-0005-0000-0000-000056350000}"/>
    <cellStyle name="Normal 2 2 4 3 2 3 3 2" xfId="33224" xr:uid="{00000000-0005-0000-0000-000057350000}"/>
    <cellStyle name="Normal 2 2 4 3 2 3 4" xfId="24194" xr:uid="{00000000-0005-0000-0000-000058350000}"/>
    <cellStyle name="Normal 2 2 4 3 2 4" xfId="5636" xr:uid="{00000000-0005-0000-0000-000059350000}"/>
    <cellStyle name="Normal 2 2 4 3 2 4 2" xfId="14666" xr:uid="{00000000-0005-0000-0000-00005A350000}"/>
    <cellStyle name="Normal 2 2 4 3 2 4 2 2" xfId="34718" xr:uid="{00000000-0005-0000-0000-00005B350000}"/>
    <cellStyle name="Normal 2 2 4 3 2 4 3" xfId="25688" xr:uid="{00000000-0005-0000-0000-00005C350000}"/>
    <cellStyle name="Normal 2 2 4 3 2 5" xfId="10184" xr:uid="{00000000-0005-0000-0000-00005D350000}"/>
    <cellStyle name="Normal 2 2 4 3 2 5 2" xfId="30236" xr:uid="{00000000-0005-0000-0000-00005E350000}"/>
    <cellStyle name="Normal 2 2 4 3 2 6" xfId="21206" xr:uid="{00000000-0005-0000-0000-00005F350000}"/>
    <cellStyle name="Normal 2 2 4 3 3" xfId="1901" xr:uid="{00000000-0005-0000-0000-000060350000}"/>
    <cellStyle name="Normal 2 2 4 3 3 2" xfId="6383" xr:uid="{00000000-0005-0000-0000-000061350000}"/>
    <cellStyle name="Normal 2 2 4 3 3 2 2" xfId="15413" xr:uid="{00000000-0005-0000-0000-000062350000}"/>
    <cellStyle name="Normal 2 2 4 3 3 2 2 2" xfId="35465" xr:uid="{00000000-0005-0000-0000-000063350000}"/>
    <cellStyle name="Normal 2 2 4 3 3 2 3" xfId="26435" xr:uid="{00000000-0005-0000-0000-000064350000}"/>
    <cellStyle name="Normal 2 2 4 3 3 3" xfId="10931" xr:uid="{00000000-0005-0000-0000-000065350000}"/>
    <cellStyle name="Normal 2 2 4 3 3 3 2" xfId="30983" xr:uid="{00000000-0005-0000-0000-000066350000}"/>
    <cellStyle name="Normal 2 2 4 3 3 4" xfId="21953" xr:uid="{00000000-0005-0000-0000-000067350000}"/>
    <cellStyle name="Normal 2 2 4 3 4" xfId="3395" xr:uid="{00000000-0005-0000-0000-000068350000}"/>
    <cellStyle name="Normal 2 2 4 3 4 2" xfId="7877" xr:uid="{00000000-0005-0000-0000-000069350000}"/>
    <cellStyle name="Normal 2 2 4 3 4 2 2" xfId="16907" xr:uid="{00000000-0005-0000-0000-00006A350000}"/>
    <cellStyle name="Normal 2 2 4 3 4 2 2 2" xfId="36959" xr:uid="{00000000-0005-0000-0000-00006B350000}"/>
    <cellStyle name="Normal 2 2 4 3 4 2 3" xfId="27929" xr:uid="{00000000-0005-0000-0000-00006C350000}"/>
    <cellStyle name="Normal 2 2 4 3 4 3" xfId="12425" xr:uid="{00000000-0005-0000-0000-00006D350000}"/>
    <cellStyle name="Normal 2 2 4 3 4 3 2" xfId="32477" xr:uid="{00000000-0005-0000-0000-00006E350000}"/>
    <cellStyle name="Normal 2 2 4 3 4 4" xfId="23447" xr:uid="{00000000-0005-0000-0000-00006F350000}"/>
    <cellStyle name="Normal 2 2 4 3 5" xfId="4889" xr:uid="{00000000-0005-0000-0000-000070350000}"/>
    <cellStyle name="Normal 2 2 4 3 5 2" xfId="13919" xr:uid="{00000000-0005-0000-0000-000071350000}"/>
    <cellStyle name="Normal 2 2 4 3 5 2 2" xfId="33971" xr:uid="{00000000-0005-0000-0000-000072350000}"/>
    <cellStyle name="Normal 2 2 4 3 5 3" xfId="24941" xr:uid="{00000000-0005-0000-0000-000073350000}"/>
    <cellStyle name="Normal 2 2 4 3 6" xfId="9437" xr:uid="{00000000-0005-0000-0000-000074350000}"/>
    <cellStyle name="Normal 2 2 4 3 6 2" xfId="29489" xr:uid="{00000000-0005-0000-0000-000075350000}"/>
    <cellStyle name="Normal 2 2 4 3 7" xfId="20459" xr:uid="{00000000-0005-0000-0000-000076350000}"/>
    <cellStyle name="Normal 2 2 4 4" xfId="593" xr:uid="{00000000-0005-0000-0000-000077350000}"/>
    <cellStyle name="Normal 2 2 4 4 2" xfId="1340" xr:uid="{00000000-0005-0000-0000-000078350000}"/>
    <cellStyle name="Normal 2 2 4 4 2 2" xfId="2834" xr:uid="{00000000-0005-0000-0000-000079350000}"/>
    <cellStyle name="Normal 2 2 4 4 2 2 2" xfId="7316" xr:uid="{00000000-0005-0000-0000-00007A350000}"/>
    <cellStyle name="Normal 2 2 4 4 2 2 2 2" xfId="16346" xr:uid="{00000000-0005-0000-0000-00007B350000}"/>
    <cellStyle name="Normal 2 2 4 4 2 2 2 2 2" xfId="36398" xr:uid="{00000000-0005-0000-0000-00007C350000}"/>
    <cellStyle name="Normal 2 2 4 4 2 2 2 3" xfId="27368" xr:uid="{00000000-0005-0000-0000-00007D350000}"/>
    <cellStyle name="Normal 2 2 4 4 2 2 3" xfId="11864" xr:uid="{00000000-0005-0000-0000-00007E350000}"/>
    <cellStyle name="Normal 2 2 4 4 2 2 3 2" xfId="31916" xr:uid="{00000000-0005-0000-0000-00007F350000}"/>
    <cellStyle name="Normal 2 2 4 4 2 2 4" xfId="22886" xr:uid="{00000000-0005-0000-0000-000080350000}"/>
    <cellStyle name="Normal 2 2 4 4 2 3" xfId="4328" xr:uid="{00000000-0005-0000-0000-000081350000}"/>
    <cellStyle name="Normal 2 2 4 4 2 3 2" xfId="8810" xr:uid="{00000000-0005-0000-0000-000082350000}"/>
    <cellStyle name="Normal 2 2 4 4 2 3 2 2" xfId="17840" xr:uid="{00000000-0005-0000-0000-000083350000}"/>
    <cellStyle name="Normal 2 2 4 4 2 3 2 2 2" xfId="37892" xr:uid="{00000000-0005-0000-0000-000084350000}"/>
    <cellStyle name="Normal 2 2 4 4 2 3 2 3" xfId="28862" xr:uid="{00000000-0005-0000-0000-000085350000}"/>
    <cellStyle name="Normal 2 2 4 4 2 3 3" xfId="13358" xr:uid="{00000000-0005-0000-0000-000086350000}"/>
    <cellStyle name="Normal 2 2 4 4 2 3 3 2" xfId="33410" xr:uid="{00000000-0005-0000-0000-000087350000}"/>
    <cellStyle name="Normal 2 2 4 4 2 3 4" xfId="24380" xr:uid="{00000000-0005-0000-0000-000088350000}"/>
    <cellStyle name="Normal 2 2 4 4 2 4" xfId="5822" xr:uid="{00000000-0005-0000-0000-000089350000}"/>
    <cellStyle name="Normal 2 2 4 4 2 4 2" xfId="14852" xr:uid="{00000000-0005-0000-0000-00008A350000}"/>
    <cellStyle name="Normal 2 2 4 4 2 4 2 2" xfId="34904" xr:uid="{00000000-0005-0000-0000-00008B350000}"/>
    <cellStyle name="Normal 2 2 4 4 2 4 3" xfId="25874" xr:uid="{00000000-0005-0000-0000-00008C350000}"/>
    <cellStyle name="Normal 2 2 4 4 2 5" xfId="10370" xr:uid="{00000000-0005-0000-0000-00008D350000}"/>
    <cellStyle name="Normal 2 2 4 4 2 5 2" xfId="30422" xr:uid="{00000000-0005-0000-0000-00008E350000}"/>
    <cellStyle name="Normal 2 2 4 4 2 6" xfId="21392" xr:uid="{00000000-0005-0000-0000-00008F350000}"/>
    <cellStyle name="Normal 2 2 4 4 3" xfId="2087" xr:uid="{00000000-0005-0000-0000-000090350000}"/>
    <cellStyle name="Normal 2 2 4 4 3 2" xfId="6569" xr:uid="{00000000-0005-0000-0000-000091350000}"/>
    <cellStyle name="Normal 2 2 4 4 3 2 2" xfId="15599" xr:uid="{00000000-0005-0000-0000-000092350000}"/>
    <cellStyle name="Normal 2 2 4 4 3 2 2 2" xfId="35651" xr:uid="{00000000-0005-0000-0000-000093350000}"/>
    <cellStyle name="Normal 2 2 4 4 3 2 3" xfId="26621" xr:uid="{00000000-0005-0000-0000-000094350000}"/>
    <cellStyle name="Normal 2 2 4 4 3 3" xfId="11117" xr:uid="{00000000-0005-0000-0000-000095350000}"/>
    <cellStyle name="Normal 2 2 4 4 3 3 2" xfId="31169" xr:uid="{00000000-0005-0000-0000-000096350000}"/>
    <cellStyle name="Normal 2 2 4 4 3 4" xfId="22139" xr:uid="{00000000-0005-0000-0000-000097350000}"/>
    <cellStyle name="Normal 2 2 4 4 4" xfId="3581" xr:uid="{00000000-0005-0000-0000-000098350000}"/>
    <cellStyle name="Normal 2 2 4 4 4 2" xfId="8063" xr:uid="{00000000-0005-0000-0000-000099350000}"/>
    <cellStyle name="Normal 2 2 4 4 4 2 2" xfId="17093" xr:uid="{00000000-0005-0000-0000-00009A350000}"/>
    <cellStyle name="Normal 2 2 4 4 4 2 2 2" xfId="37145" xr:uid="{00000000-0005-0000-0000-00009B350000}"/>
    <cellStyle name="Normal 2 2 4 4 4 2 3" xfId="28115" xr:uid="{00000000-0005-0000-0000-00009C350000}"/>
    <cellStyle name="Normal 2 2 4 4 4 3" xfId="12611" xr:uid="{00000000-0005-0000-0000-00009D350000}"/>
    <cellStyle name="Normal 2 2 4 4 4 3 2" xfId="32663" xr:uid="{00000000-0005-0000-0000-00009E350000}"/>
    <cellStyle name="Normal 2 2 4 4 4 4" xfId="23633" xr:uid="{00000000-0005-0000-0000-00009F350000}"/>
    <cellStyle name="Normal 2 2 4 4 5" xfId="5075" xr:uid="{00000000-0005-0000-0000-0000A0350000}"/>
    <cellStyle name="Normal 2 2 4 4 5 2" xfId="14105" xr:uid="{00000000-0005-0000-0000-0000A1350000}"/>
    <cellStyle name="Normal 2 2 4 4 5 2 2" xfId="34157" xr:uid="{00000000-0005-0000-0000-0000A2350000}"/>
    <cellStyle name="Normal 2 2 4 4 5 3" xfId="25127" xr:uid="{00000000-0005-0000-0000-0000A3350000}"/>
    <cellStyle name="Normal 2 2 4 4 6" xfId="9623" xr:uid="{00000000-0005-0000-0000-0000A4350000}"/>
    <cellStyle name="Normal 2 2 4 4 6 2" xfId="29675" xr:uid="{00000000-0005-0000-0000-0000A5350000}"/>
    <cellStyle name="Normal 2 2 4 4 7" xfId="20645" xr:uid="{00000000-0005-0000-0000-0000A6350000}"/>
    <cellStyle name="Normal 2 2 4 5" xfId="780" xr:uid="{00000000-0005-0000-0000-0000A7350000}"/>
    <cellStyle name="Normal 2 2 4 5 2" xfId="2274" xr:uid="{00000000-0005-0000-0000-0000A8350000}"/>
    <cellStyle name="Normal 2 2 4 5 2 2" xfId="6756" xr:uid="{00000000-0005-0000-0000-0000A9350000}"/>
    <cellStyle name="Normal 2 2 4 5 2 2 2" xfId="15786" xr:uid="{00000000-0005-0000-0000-0000AA350000}"/>
    <cellStyle name="Normal 2 2 4 5 2 2 2 2" xfId="35838" xr:uid="{00000000-0005-0000-0000-0000AB350000}"/>
    <cellStyle name="Normal 2 2 4 5 2 2 3" xfId="26808" xr:uid="{00000000-0005-0000-0000-0000AC350000}"/>
    <cellStyle name="Normal 2 2 4 5 2 3" xfId="11304" xr:uid="{00000000-0005-0000-0000-0000AD350000}"/>
    <cellStyle name="Normal 2 2 4 5 2 3 2" xfId="31356" xr:uid="{00000000-0005-0000-0000-0000AE350000}"/>
    <cellStyle name="Normal 2 2 4 5 2 4" xfId="22326" xr:uid="{00000000-0005-0000-0000-0000AF350000}"/>
    <cellStyle name="Normal 2 2 4 5 3" xfId="3768" xr:uid="{00000000-0005-0000-0000-0000B0350000}"/>
    <cellStyle name="Normal 2 2 4 5 3 2" xfId="8250" xr:uid="{00000000-0005-0000-0000-0000B1350000}"/>
    <cellStyle name="Normal 2 2 4 5 3 2 2" xfId="17280" xr:uid="{00000000-0005-0000-0000-0000B2350000}"/>
    <cellStyle name="Normal 2 2 4 5 3 2 2 2" xfId="37332" xr:uid="{00000000-0005-0000-0000-0000B3350000}"/>
    <cellStyle name="Normal 2 2 4 5 3 2 3" xfId="28302" xr:uid="{00000000-0005-0000-0000-0000B4350000}"/>
    <cellStyle name="Normal 2 2 4 5 3 3" xfId="12798" xr:uid="{00000000-0005-0000-0000-0000B5350000}"/>
    <cellStyle name="Normal 2 2 4 5 3 3 2" xfId="32850" xr:uid="{00000000-0005-0000-0000-0000B6350000}"/>
    <cellStyle name="Normal 2 2 4 5 3 4" xfId="23820" xr:uid="{00000000-0005-0000-0000-0000B7350000}"/>
    <cellStyle name="Normal 2 2 4 5 4" xfId="5262" xr:uid="{00000000-0005-0000-0000-0000B8350000}"/>
    <cellStyle name="Normal 2 2 4 5 4 2" xfId="14292" xr:uid="{00000000-0005-0000-0000-0000B9350000}"/>
    <cellStyle name="Normal 2 2 4 5 4 2 2" xfId="34344" xr:uid="{00000000-0005-0000-0000-0000BA350000}"/>
    <cellStyle name="Normal 2 2 4 5 4 3" xfId="25314" xr:uid="{00000000-0005-0000-0000-0000BB350000}"/>
    <cellStyle name="Normal 2 2 4 5 5" xfId="9810" xr:uid="{00000000-0005-0000-0000-0000BC350000}"/>
    <cellStyle name="Normal 2 2 4 5 5 2" xfId="29862" xr:uid="{00000000-0005-0000-0000-0000BD350000}"/>
    <cellStyle name="Normal 2 2 4 5 6" xfId="20832" xr:uid="{00000000-0005-0000-0000-0000BE350000}"/>
    <cellStyle name="Normal 2 2 4 6" xfId="1529" xr:uid="{00000000-0005-0000-0000-0000BF350000}"/>
    <cellStyle name="Normal 2 2 4 6 2" xfId="6011" xr:uid="{00000000-0005-0000-0000-0000C0350000}"/>
    <cellStyle name="Normal 2 2 4 6 2 2" xfId="15041" xr:uid="{00000000-0005-0000-0000-0000C1350000}"/>
    <cellStyle name="Normal 2 2 4 6 2 2 2" xfId="35093" xr:uid="{00000000-0005-0000-0000-0000C2350000}"/>
    <cellStyle name="Normal 2 2 4 6 2 3" xfId="26063" xr:uid="{00000000-0005-0000-0000-0000C3350000}"/>
    <cellStyle name="Normal 2 2 4 6 3" xfId="10559" xr:uid="{00000000-0005-0000-0000-0000C4350000}"/>
    <cellStyle name="Normal 2 2 4 6 3 2" xfId="30611" xr:uid="{00000000-0005-0000-0000-0000C5350000}"/>
    <cellStyle name="Normal 2 2 4 6 4" xfId="21581" xr:uid="{00000000-0005-0000-0000-0000C6350000}"/>
    <cellStyle name="Normal 2 2 4 7" xfId="3023" xr:uid="{00000000-0005-0000-0000-0000C7350000}"/>
    <cellStyle name="Normal 2 2 4 7 2" xfId="7505" xr:uid="{00000000-0005-0000-0000-0000C8350000}"/>
    <cellStyle name="Normal 2 2 4 7 2 2" xfId="16535" xr:uid="{00000000-0005-0000-0000-0000C9350000}"/>
    <cellStyle name="Normal 2 2 4 7 2 2 2" xfId="36587" xr:uid="{00000000-0005-0000-0000-0000CA350000}"/>
    <cellStyle name="Normal 2 2 4 7 2 3" xfId="27557" xr:uid="{00000000-0005-0000-0000-0000CB350000}"/>
    <cellStyle name="Normal 2 2 4 7 3" xfId="12053" xr:uid="{00000000-0005-0000-0000-0000CC350000}"/>
    <cellStyle name="Normal 2 2 4 7 3 2" xfId="32105" xr:uid="{00000000-0005-0000-0000-0000CD350000}"/>
    <cellStyle name="Normal 2 2 4 7 4" xfId="23075" xr:uid="{00000000-0005-0000-0000-0000CE350000}"/>
    <cellStyle name="Normal 2 2 4 8" xfId="4517" xr:uid="{00000000-0005-0000-0000-0000CF350000}"/>
    <cellStyle name="Normal 2 2 4 8 2" xfId="13547" xr:uid="{00000000-0005-0000-0000-0000D0350000}"/>
    <cellStyle name="Normal 2 2 4 8 2 2" xfId="33599" xr:uid="{00000000-0005-0000-0000-0000D1350000}"/>
    <cellStyle name="Normal 2 2 4 8 3" xfId="24569" xr:uid="{00000000-0005-0000-0000-0000D2350000}"/>
    <cellStyle name="Normal 2 2 4 9" xfId="9065" xr:uid="{00000000-0005-0000-0000-0000D3350000}"/>
    <cellStyle name="Normal 2 2 4 9 2" xfId="29117" xr:uid="{00000000-0005-0000-0000-0000D4350000}"/>
    <cellStyle name="Normal 2 2 5" xfId="58" xr:uid="{00000000-0005-0000-0000-0000D5350000}"/>
    <cellStyle name="Normal 2 2 5 10" xfId="20110" xr:uid="{00000000-0005-0000-0000-0000D6350000}"/>
    <cellStyle name="Normal 2 2 5 2" xfId="244" xr:uid="{00000000-0005-0000-0000-0000D7350000}"/>
    <cellStyle name="Normal 2 2 5 2 2" xfId="989" xr:uid="{00000000-0005-0000-0000-0000D8350000}"/>
    <cellStyle name="Normal 2 2 5 2 2 2" xfId="2483" xr:uid="{00000000-0005-0000-0000-0000D9350000}"/>
    <cellStyle name="Normal 2 2 5 2 2 2 2" xfId="6965" xr:uid="{00000000-0005-0000-0000-0000DA350000}"/>
    <cellStyle name="Normal 2 2 5 2 2 2 2 2" xfId="15995" xr:uid="{00000000-0005-0000-0000-0000DB350000}"/>
    <cellStyle name="Normal 2 2 5 2 2 2 2 2 2" xfId="36047" xr:uid="{00000000-0005-0000-0000-0000DC350000}"/>
    <cellStyle name="Normal 2 2 5 2 2 2 2 3" xfId="27017" xr:uid="{00000000-0005-0000-0000-0000DD350000}"/>
    <cellStyle name="Normal 2 2 5 2 2 2 3" xfId="11513" xr:uid="{00000000-0005-0000-0000-0000DE350000}"/>
    <cellStyle name="Normal 2 2 5 2 2 2 3 2" xfId="31565" xr:uid="{00000000-0005-0000-0000-0000DF350000}"/>
    <cellStyle name="Normal 2 2 5 2 2 2 4" xfId="22535" xr:uid="{00000000-0005-0000-0000-0000E0350000}"/>
    <cellStyle name="Normal 2 2 5 2 2 3" xfId="3977" xr:uid="{00000000-0005-0000-0000-0000E1350000}"/>
    <cellStyle name="Normal 2 2 5 2 2 3 2" xfId="8459" xr:uid="{00000000-0005-0000-0000-0000E2350000}"/>
    <cellStyle name="Normal 2 2 5 2 2 3 2 2" xfId="17489" xr:uid="{00000000-0005-0000-0000-0000E3350000}"/>
    <cellStyle name="Normal 2 2 5 2 2 3 2 2 2" xfId="37541" xr:uid="{00000000-0005-0000-0000-0000E4350000}"/>
    <cellStyle name="Normal 2 2 5 2 2 3 2 3" xfId="28511" xr:uid="{00000000-0005-0000-0000-0000E5350000}"/>
    <cellStyle name="Normal 2 2 5 2 2 3 3" xfId="13007" xr:uid="{00000000-0005-0000-0000-0000E6350000}"/>
    <cellStyle name="Normal 2 2 5 2 2 3 3 2" xfId="33059" xr:uid="{00000000-0005-0000-0000-0000E7350000}"/>
    <cellStyle name="Normal 2 2 5 2 2 3 4" xfId="24029" xr:uid="{00000000-0005-0000-0000-0000E8350000}"/>
    <cellStyle name="Normal 2 2 5 2 2 4" xfId="5471" xr:uid="{00000000-0005-0000-0000-0000E9350000}"/>
    <cellStyle name="Normal 2 2 5 2 2 4 2" xfId="14501" xr:uid="{00000000-0005-0000-0000-0000EA350000}"/>
    <cellStyle name="Normal 2 2 5 2 2 4 2 2" xfId="34553" xr:uid="{00000000-0005-0000-0000-0000EB350000}"/>
    <cellStyle name="Normal 2 2 5 2 2 4 3" xfId="25523" xr:uid="{00000000-0005-0000-0000-0000EC350000}"/>
    <cellStyle name="Normal 2 2 5 2 2 5" xfId="10019" xr:uid="{00000000-0005-0000-0000-0000ED350000}"/>
    <cellStyle name="Normal 2 2 5 2 2 5 2" xfId="30071" xr:uid="{00000000-0005-0000-0000-0000EE350000}"/>
    <cellStyle name="Normal 2 2 5 2 2 6" xfId="21041" xr:uid="{00000000-0005-0000-0000-0000EF350000}"/>
    <cellStyle name="Normal 2 2 5 2 3" xfId="1738" xr:uid="{00000000-0005-0000-0000-0000F0350000}"/>
    <cellStyle name="Normal 2 2 5 2 3 2" xfId="6220" xr:uid="{00000000-0005-0000-0000-0000F1350000}"/>
    <cellStyle name="Normal 2 2 5 2 3 2 2" xfId="15250" xr:uid="{00000000-0005-0000-0000-0000F2350000}"/>
    <cellStyle name="Normal 2 2 5 2 3 2 2 2" xfId="35302" xr:uid="{00000000-0005-0000-0000-0000F3350000}"/>
    <cellStyle name="Normal 2 2 5 2 3 2 3" xfId="26272" xr:uid="{00000000-0005-0000-0000-0000F4350000}"/>
    <cellStyle name="Normal 2 2 5 2 3 3" xfId="10768" xr:uid="{00000000-0005-0000-0000-0000F5350000}"/>
    <cellStyle name="Normal 2 2 5 2 3 3 2" xfId="30820" xr:uid="{00000000-0005-0000-0000-0000F6350000}"/>
    <cellStyle name="Normal 2 2 5 2 3 4" xfId="21790" xr:uid="{00000000-0005-0000-0000-0000F7350000}"/>
    <cellStyle name="Normal 2 2 5 2 4" xfId="3232" xr:uid="{00000000-0005-0000-0000-0000F8350000}"/>
    <cellStyle name="Normal 2 2 5 2 4 2" xfId="7714" xr:uid="{00000000-0005-0000-0000-0000F9350000}"/>
    <cellStyle name="Normal 2 2 5 2 4 2 2" xfId="16744" xr:uid="{00000000-0005-0000-0000-0000FA350000}"/>
    <cellStyle name="Normal 2 2 5 2 4 2 2 2" xfId="36796" xr:uid="{00000000-0005-0000-0000-0000FB350000}"/>
    <cellStyle name="Normal 2 2 5 2 4 2 3" xfId="27766" xr:uid="{00000000-0005-0000-0000-0000FC350000}"/>
    <cellStyle name="Normal 2 2 5 2 4 3" xfId="12262" xr:uid="{00000000-0005-0000-0000-0000FD350000}"/>
    <cellStyle name="Normal 2 2 5 2 4 3 2" xfId="32314" xr:uid="{00000000-0005-0000-0000-0000FE350000}"/>
    <cellStyle name="Normal 2 2 5 2 4 4" xfId="23284" xr:uid="{00000000-0005-0000-0000-0000FF350000}"/>
    <cellStyle name="Normal 2 2 5 2 5" xfId="4726" xr:uid="{00000000-0005-0000-0000-000000360000}"/>
    <cellStyle name="Normal 2 2 5 2 5 2" xfId="13756" xr:uid="{00000000-0005-0000-0000-000001360000}"/>
    <cellStyle name="Normal 2 2 5 2 5 2 2" xfId="33808" xr:uid="{00000000-0005-0000-0000-000002360000}"/>
    <cellStyle name="Normal 2 2 5 2 5 3" xfId="24778" xr:uid="{00000000-0005-0000-0000-000003360000}"/>
    <cellStyle name="Normal 2 2 5 2 6" xfId="9274" xr:uid="{00000000-0005-0000-0000-000004360000}"/>
    <cellStyle name="Normal 2 2 5 2 6 2" xfId="29326" xr:uid="{00000000-0005-0000-0000-000005360000}"/>
    <cellStyle name="Normal 2 2 5 2 7" xfId="20296" xr:uid="{00000000-0005-0000-0000-000006360000}"/>
    <cellStyle name="Normal 2 2 5 3" xfId="430" xr:uid="{00000000-0005-0000-0000-000007360000}"/>
    <cellStyle name="Normal 2 2 5 3 2" xfId="1177" xr:uid="{00000000-0005-0000-0000-000008360000}"/>
    <cellStyle name="Normal 2 2 5 3 2 2" xfId="2671" xr:uid="{00000000-0005-0000-0000-000009360000}"/>
    <cellStyle name="Normal 2 2 5 3 2 2 2" xfId="7153" xr:uid="{00000000-0005-0000-0000-00000A360000}"/>
    <cellStyle name="Normal 2 2 5 3 2 2 2 2" xfId="16183" xr:uid="{00000000-0005-0000-0000-00000B360000}"/>
    <cellStyle name="Normal 2 2 5 3 2 2 2 2 2" xfId="36235" xr:uid="{00000000-0005-0000-0000-00000C360000}"/>
    <cellStyle name="Normal 2 2 5 3 2 2 2 3" xfId="27205" xr:uid="{00000000-0005-0000-0000-00000D360000}"/>
    <cellStyle name="Normal 2 2 5 3 2 2 3" xfId="11701" xr:uid="{00000000-0005-0000-0000-00000E360000}"/>
    <cellStyle name="Normal 2 2 5 3 2 2 3 2" xfId="31753" xr:uid="{00000000-0005-0000-0000-00000F360000}"/>
    <cellStyle name="Normal 2 2 5 3 2 2 4" xfId="22723" xr:uid="{00000000-0005-0000-0000-000010360000}"/>
    <cellStyle name="Normal 2 2 5 3 2 3" xfId="4165" xr:uid="{00000000-0005-0000-0000-000011360000}"/>
    <cellStyle name="Normal 2 2 5 3 2 3 2" xfId="8647" xr:uid="{00000000-0005-0000-0000-000012360000}"/>
    <cellStyle name="Normal 2 2 5 3 2 3 2 2" xfId="17677" xr:uid="{00000000-0005-0000-0000-000013360000}"/>
    <cellStyle name="Normal 2 2 5 3 2 3 2 2 2" xfId="37729" xr:uid="{00000000-0005-0000-0000-000014360000}"/>
    <cellStyle name="Normal 2 2 5 3 2 3 2 3" xfId="28699" xr:uid="{00000000-0005-0000-0000-000015360000}"/>
    <cellStyle name="Normal 2 2 5 3 2 3 3" xfId="13195" xr:uid="{00000000-0005-0000-0000-000016360000}"/>
    <cellStyle name="Normal 2 2 5 3 2 3 3 2" xfId="33247" xr:uid="{00000000-0005-0000-0000-000017360000}"/>
    <cellStyle name="Normal 2 2 5 3 2 3 4" xfId="24217" xr:uid="{00000000-0005-0000-0000-000018360000}"/>
    <cellStyle name="Normal 2 2 5 3 2 4" xfId="5659" xr:uid="{00000000-0005-0000-0000-000019360000}"/>
    <cellStyle name="Normal 2 2 5 3 2 4 2" xfId="14689" xr:uid="{00000000-0005-0000-0000-00001A360000}"/>
    <cellStyle name="Normal 2 2 5 3 2 4 2 2" xfId="34741" xr:uid="{00000000-0005-0000-0000-00001B360000}"/>
    <cellStyle name="Normal 2 2 5 3 2 4 3" xfId="25711" xr:uid="{00000000-0005-0000-0000-00001C360000}"/>
    <cellStyle name="Normal 2 2 5 3 2 5" xfId="10207" xr:uid="{00000000-0005-0000-0000-00001D360000}"/>
    <cellStyle name="Normal 2 2 5 3 2 5 2" xfId="30259" xr:uid="{00000000-0005-0000-0000-00001E360000}"/>
    <cellStyle name="Normal 2 2 5 3 2 6" xfId="21229" xr:uid="{00000000-0005-0000-0000-00001F360000}"/>
    <cellStyle name="Normal 2 2 5 3 3" xfId="1924" xr:uid="{00000000-0005-0000-0000-000020360000}"/>
    <cellStyle name="Normal 2 2 5 3 3 2" xfId="6406" xr:uid="{00000000-0005-0000-0000-000021360000}"/>
    <cellStyle name="Normal 2 2 5 3 3 2 2" xfId="15436" xr:uid="{00000000-0005-0000-0000-000022360000}"/>
    <cellStyle name="Normal 2 2 5 3 3 2 2 2" xfId="35488" xr:uid="{00000000-0005-0000-0000-000023360000}"/>
    <cellStyle name="Normal 2 2 5 3 3 2 3" xfId="26458" xr:uid="{00000000-0005-0000-0000-000024360000}"/>
    <cellStyle name="Normal 2 2 5 3 3 3" xfId="10954" xr:uid="{00000000-0005-0000-0000-000025360000}"/>
    <cellStyle name="Normal 2 2 5 3 3 3 2" xfId="31006" xr:uid="{00000000-0005-0000-0000-000026360000}"/>
    <cellStyle name="Normal 2 2 5 3 3 4" xfId="21976" xr:uid="{00000000-0005-0000-0000-000027360000}"/>
    <cellStyle name="Normal 2 2 5 3 4" xfId="3418" xr:uid="{00000000-0005-0000-0000-000028360000}"/>
    <cellStyle name="Normal 2 2 5 3 4 2" xfId="7900" xr:uid="{00000000-0005-0000-0000-000029360000}"/>
    <cellStyle name="Normal 2 2 5 3 4 2 2" xfId="16930" xr:uid="{00000000-0005-0000-0000-00002A360000}"/>
    <cellStyle name="Normal 2 2 5 3 4 2 2 2" xfId="36982" xr:uid="{00000000-0005-0000-0000-00002B360000}"/>
    <cellStyle name="Normal 2 2 5 3 4 2 3" xfId="27952" xr:uid="{00000000-0005-0000-0000-00002C360000}"/>
    <cellStyle name="Normal 2 2 5 3 4 3" xfId="12448" xr:uid="{00000000-0005-0000-0000-00002D360000}"/>
    <cellStyle name="Normal 2 2 5 3 4 3 2" xfId="32500" xr:uid="{00000000-0005-0000-0000-00002E360000}"/>
    <cellStyle name="Normal 2 2 5 3 4 4" xfId="23470" xr:uid="{00000000-0005-0000-0000-00002F360000}"/>
    <cellStyle name="Normal 2 2 5 3 5" xfId="4912" xr:uid="{00000000-0005-0000-0000-000030360000}"/>
    <cellStyle name="Normal 2 2 5 3 5 2" xfId="13942" xr:uid="{00000000-0005-0000-0000-000031360000}"/>
    <cellStyle name="Normal 2 2 5 3 5 2 2" xfId="33994" xr:uid="{00000000-0005-0000-0000-000032360000}"/>
    <cellStyle name="Normal 2 2 5 3 5 3" xfId="24964" xr:uid="{00000000-0005-0000-0000-000033360000}"/>
    <cellStyle name="Normal 2 2 5 3 6" xfId="9460" xr:uid="{00000000-0005-0000-0000-000034360000}"/>
    <cellStyle name="Normal 2 2 5 3 6 2" xfId="29512" xr:uid="{00000000-0005-0000-0000-000035360000}"/>
    <cellStyle name="Normal 2 2 5 3 7" xfId="20482" xr:uid="{00000000-0005-0000-0000-000036360000}"/>
    <cellStyle name="Normal 2 2 5 4" xfId="616" xr:uid="{00000000-0005-0000-0000-000037360000}"/>
    <cellStyle name="Normal 2 2 5 4 2" xfId="1363" xr:uid="{00000000-0005-0000-0000-000038360000}"/>
    <cellStyle name="Normal 2 2 5 4 2 2" xfId="2857" xr:uid="{00000000-0005-0000-0000-000039360000}"/>
    <cellStyle name="Normal 2 2 5 4 2 2 2" xfId="7339" xr:uid="{00000000-0005-0000-0000-00003A360000}"/>
    <cellStyle name="Normal 2 2 5 4 2 2 2 2" xfId="16369" xr:uid="{00000000-0005-0000-0000-00003B360000}"/>
    <cellStyle name="Normal 2 2 5 4 2 2 2 2 2" xfId="36421" xr:uid="{00000000-0005-0000-0000-00003C360000}"/>
    <cellStyle name="Normal 2 2 5 4 2 2 2 3" xfId="27391" xr:uid="{00000000-0005-0000-0000-00003D360000}"/>
    <cellStyle name="Normal 2 2 5 4 2 2 3" xfId="11887" xr:uid="{00000000-0005-0000-0000-00003E360000}"/>
    <cellStyle name="Normal 2 2 5 4 2 2 3 2" xfId="31939" xr:uid="{00000000-0005-0000-0000-00003F360000}"/>
    <cellStyle name="Normal 2 2 5 4 2 2 4" xfId="22909" xr:uid="{00000000-0005-0000-0000-000040360000}"/>
    <cellStyle name="Normal 2 2 5 4 2 3" xfId="4351" xr:uid="{00000000-0005-0000-0000-000041360000}"/>
    <cellStyle name="Normal 2 2 5 4 2 3 2" xfId="8833" xr:uid="{00000000-0005-0000-0000-000042360000}"/>
    <cellStyle name="Normal 2 2 5 4 2 3 2 2" xfId="17863" xr:uid="{00000000-0005-0000-0000-000043360000}"/>
    <cellStyle name="Normal 2 2 5 4 2 3 2 2 2" xfId="37915" xr:uid="{00000000-0005-0000-0000-000044360000}"/>
    <cellStyle name="Normal 2 2 5 4 2 3 2 3" xfId="28885" xr:uid="{00000000-0005-0000-0000-000045360000}"/>
    <cellStyle name="Normal 2 2 5 4 2 3 3" xfId="13381" xr:uid="{00000000-0005-0000-0000-000046360000}"/>
    <cellStyle name="Normal 2 2 5 4 2 3 3 2" xfId="33433" xr:uid="{00000000-0005-0000-0000-000047360000}"/>
    <cellStyle name="Normal 2 2 5 4 2 3 4" xfId="24403" xr:uid="{00000000-0005-0000-0000-000048360000}"/>
    <cellStyle name="Normal 2 2 5 4 2 4" xfId="5845" xr:uid="{00000000-0005-0000-0000-000049360000}"/>
    <cellStyle name="Normal 2 2 5 4 2 4 2" xfId="14875" xr:uid="{00000000-0005-0000-0000-00004A360000}"/>
    <cellStyle name="Normal 2 2 5 4 2 4 2 2" xfId="34927" xr:uid="{00000000-0005-0000-0000-00004B360000}"/>
    <cellStyle name="Normal 2 2 5 4 2 4 3" xfId="25897" xr:uid="{00000000-0005-0000-0000-00004C360000}"/>
    <cellStyle name="Normal 2 2 5 4 2 5" xfId="10393" xr:uid="{00000000-0005-0000-0000-00004D360000}"/>
    <cellStyle name="Normal 2 2 5 4 2 5 2" xfId="30445" xr:uid="{00000000-0005-0000-0000-00004E360000}"/>
    <cellStyle name="Normal 2 2 5 4 2 6" xfId="21415" xr:uid="{00000000-0005-0000-0000-00004F360000}"/>
    <cellStyle name="Normal 2 2 5 4 3" xfId="2110" xr:uid="{00000000-0005-0000-0000-000050360000}"/>
    <cellStyle name="Normal 2 2 5 4 3 2" xfId="6592" xr:uid="{00000000-0005-0000-0000-000051360000}"/>
    <cellStyle name="Normal 2 2 5 4 3 2 2" xfId="15622" xr:uid="{00000000-0005-0000-0000-000052360000}"/>
    <cellStyle name="Normal 2 2 5 4 3 2 2 2" xfId="35674" xr:uid="{00000000-0005-0000-0000-000053360000}"/>
    <cellStyle name="Normal 2 2 5 4 3 2 3" xfId="26644" xr:uid="{00000000-0005-0000-0000-000054360000}"/>
    <cellStyle name="Normal 2 2 5 4 3 3" xfId="11140" xr:uid="{00000000-0005-0000-0000-000055360000}"/>
    <cellStyle name="Normal 2 2 5 4 3 3 2" xfId="31192" xr:uid="{00000000-0005-0000-0000-000056360000}"/>
    <cellStyle name="Normal 2 2 5 4 3 4" xfId="22162" xr:uid="{00000000-0005-0000-0000-000057360000}"/>
    <cellStyle name="Normal 2 2 5 4 4" xfId="3604" xr:uid="{00000000-0005-0000-0000-000058360000}"/>
    <cellStyle name="Normal 2 2 5 4 4 2" xfId="8086" xr:uid="{00000000-0005-0000-0000-000059360000}"/>
    <cellStyle name="Normal 2 2 5 4 4 2 2" xfId="17116" xr:uid="{00000000-0005-0000-0000-00005A360000}"/>
    <cellStyle name="Normal 2 2 5 4 4 2 2 2" xfId="37168" xr:uid="{00000000-0005-0000-0000-00005B360000}"/>
    <cellStyle name="Normal 2 2 5 4 4 2 3" xfId="28138" xr:uid="{00000000-0005-0000-0000-00005C360000}"/>
    <cellStyle name="Normal 2 2 5 4 4 3" xfId="12634" xr:uid="{00000000-0005-0000-0000-00005D360000}"/>
    <cellStyle name="Normal 2 2 5 4 4 3 2" xfId="32686" xr:uid="{00000000-0005-0000-0000-00005E360000}"/>
    <cellStyle name="Normal 2 2 5 4 4 4" xfId="23656" xr:uid="{00000000-0005-0000-0000-00005F360000}"/>
    <cellStyle name="Normal 2 2 5 4 5" xfId="5098" xr:uid="{00000000-0005-0000-0000-000060360000}"/>
    <cellStyle name="Normal 2 2 5 4 5 2" xfId="14128" xr:uid="{00000000-0005-0000-0000-000061360000}"/>
    <cellStyle name="Normal 2 2 5 4 5 2 2" xfId="34180" xr:uid="{00000000-0005-0000-0000-000062360000}"/>
    <cellStyle name="Normal 2 2 5 4 5 3" xfId="25150" xr:uid="{00000000-0005-0000-0000-000063360000}"/>
    <cellStyle name="Normal 2 2 5 4 6" xfId="9646" xr:uid="{00000000-0005-0000-0000-000064360000}"/>
    <cellStyle name="Normal 2 2 5 4 6 2" xfId="29698" xr:uid="{00000000-0005-0000-0000-000065360000}"/>
    <cellStyle name="Normal 2 2 5 4 7" xfId="20668" xr:uid="{00000000-0005-0000-0000-000066360000}"/>
    <cellStyle name="Normal 2 2 5 5" xfId="803" xr:uid="{00000000-0005-0000-0000-000067360000}"/>
    <cellStyle name="Normal 2 2 5 5 2" xfId="2297" xr:uid="{00000000-0005-0000-0000-000068360000}"/>
    <cellStyle name="Normal 2 2 5 5 2 2" xfId="6779" xr:uid="{00000000-0005-0000-0000-000069360000}"/>
    <cellStyle name="Normal 2 2 5 5 2 2 2" xfId="15809" xr:uid="{00000000-0005-0000-0000-00006A360000}"/>
    <cellStyle name="Normal 2 2 5 5 2 2 2 2" xfId="35861" xr:uid="{00000000-0005-0000-0000-00006B360000}"/>
    <cellStyle name="Normal 2 2 5 5 2 2 3" xfId="26831" xr:uid="{00000000-0005-0000-0000-00006C360000}"/>
    <cellStyle name="Normal 2 2 5 5 2 3" xfId="11327" xr:uid="{00000000-0005-0000-0000-00006D360000}"/>
    <cellStyle name="Normal 2 2 5 5 2 3 2" xfId="31379" xr:uid="{00000000-0005-0000-0000-00006E360000}"/>
    <cellStyle name="Normal 2 2 5 5 2 4" xfId="22349" xr:uid="{00000000-0005-0000-0000-00006F360000}"/>
    <cellStyle name="Normal 2 2 5 5 3" xfId="3791" xr:uid="{00000000-0005-0000-0000-000070360000}"/>
    <cellStyle name="Normal 2 2 5 5 3 2" xfId="8273" xr:uid="{00000000-0005-0000-0000-000071360000}"/>
    <cellStyle name="Normal 2 2 5 5 3 2 2" xfId="17303" xr:uid="{00000000-0005-0000-0000-000072360000}"/>
    <cellStyle name="Normal 2 2 5 5 3 2 2 2" xfId="37355" xr:uid="{00000000-0005-0000-0000-000073360000}"/>
    <cellStyle name="Normal 2 2 5 5 3 2 3" xfId="28325" xr:uid="{00000000-0005-0000-0000-000074360000}"/>
    <cellStyle name="Normal 2 2 5 5 3 3" xfId="12821" xr:uid="{00000000-0005-0000-0000-000075360000}"/>
    <cellStyle name="Normal 2 2 5 5 3 3 2" xfId="32873" xr:uid="{00000000-0005-0000-0000-000076360000}"/>
    <cellStyle name="Normal 2 2 5 5 3 4" xfId="23843" xr:uid="{00000000-0005-0000-0000-000077360000}"/>
    <cellStyle name="Normal 2 2 5 5 4" xfId="5285" xr:uid="{00000000-0005-0000-0000-000078360000}"/>
    <cellStyle name="Normal 2 2 5 5 4 2" xfId="14315" xr:uid="{00000000-0005-0000-0000-000079360000}"/>
    <cellStyle name="Normal 2 2 5 5 4 2 2" xfId="34367" xr:uid="{00000000-0005-0000-0000-00007A360000}"/>
    <cellStyle name="Normal 2 2 5 5 4 3" xfId="25337" xr:uid="{00000000-0005-0000-0000-00007B360000}"/>
    <cellStyle name="Normal 2 2 5 5 5" xfId="9833" xr:uid="{00000000-0005-0000-0000-00007C360000}"/>
    <cellStyle name="Normal 2 2 5 5 5 2" xfId="29885" xr:uid="{00000000-0005-0000-0000-00007D360000}"/>
    <cellStyle name="Normal 2 2 5 5 6" xfId="20855" xr:uid="{00000000-0005-0000-0000-00007E360000}"/>
    <cellStyle name="Normal 2 2 5 6" xfId="1552" xr:uid="{00000000-0005-0000-0000-00007F360000}"/>
    <cellStyle name="Normal 2 2 5 6 2" xfId="6034" xr:uid="{00000000-0005-0000-0000-000080360000}"/>
    <cellStyle name="Normal 2 2 5 6 2 2" xfId="15064" xr:uid="{00000000-0005-0000-0000-000081360000}"/>
    <cellStyle name="Normal 2 2 5 6 2 2 2" xfId="35116" xr:uid="{00000000-0005-0000-0000-000082360000}"/>
    <cellStyle name="Normal 2 2 5 6 2 3" xfId="26086" xr:uid="{00000000-0005-0000-0000-000083360000}"/>
    <cellStyle name="Normal 2 2 5 6 3" xfId="10582" xr:uid="{00000000-0005-0000-0000-000084360000}"/>
    <cellStyle name="Normal 2 2 5 6 3 2" xfId="30634" xr:uid="{00000000-0005-0000-0000-000085360000}"/>
    <cellStyle name="Normal 2 2 5 6 4" xfId="21604" xr:uid="{00000000-0005-0000-0000-000086360000}"/>
    <cellStyle name="Normal 2 2 5 7" xfId="3046" xr:uid="{00000000-0005-0000-0000-000087360000}"/>
    <cellStyle name="Normal 2 2 5 7 2" xfId="7528" xr:uid="{00000000-0005-0000-0000-000088360000}"/>
    <cellStyle name="Normal 2 2 5 7 2 2" xfId="16558" xr:uid="{00000000-0005-0000-0000-000089360000}"/>
    <cellStyle name="Normal 2 2 5 7 2 2 2" xfId="36610" xr:uid="{00000000-0005-0000-0000-00008A360000}"/>
    <cellStyle name="Normal 2 2 5 7 2 3" xfId="27580" xr:uid="{00000000-0005-0000-0000-00008B360000}"/>
    <cellStyle name="Normal 2 2 5 7 3" xfId="12076" xr:uid="{00000000-0005-0000-0000-00008C360000}"/>
    <cellStyle name="Normal 2 2 5 7 3 2" xfId="32128" xr:uid="{00000000-0005-0000-0000-00008D360000}"/>
    <cellStyle name="Normal 2 2 5 7 4" xfId="23098" xr:uid="{00000000-0005-0000-0000-00008E360000}"/>
    <cellStyle name="Normal 2 2 5 8" xfId="4540" xr:uid="{00000000-0005-0000-0000-00008F360000}"/>
    <cellStyle name="Normal 2 2 5 8 2" xfId="13570" xr:uid="{00000000-0005-0000-0000-000090360000}"/>
    <cellStyle name="Normal 2 2 5 8 2 2" xfId="33622" xr:uid="{00000000-0005-0000-0000-000091360000}"/>
    <cellStyle name="Normal 2 2 5 8 3" xfId="24592" xr:uid="{00000000-0005-0000-0000-000092360000}"/>
    <cellStyle name="Normal 2 2 5 9" xfId="9088" xr:uid="{00000000-0005-0000-0000-000093360000}"/>
    <cellStyle name="Normal 2 2 5 9 2" xfId="29140" xr:uid="{00000000-0005-0000-0000-000094360000}"/>
    <cellStyle name="Normal 2 2 6" xfId="82" xr:uid="{00000000-0005-0000-0000-000095360000}"/>
    <cellStyle name="Normal 2 2 6 10" xfId="20134" xr:uid="{00000000-0005-0000-0000-000096360000}"/>
    <cellStyle name="Normal 2 2 6 2" xfId="268" xr:uid="{00000000-0005-0000-0000-000097360000}"/>
    <cellStyle name="Normal 2 2 6 2 2" xfId="1012" xr:uid="{00000000-0005-0000-0000-000098360000}"/>
    <cellStyle name="Normal 2 2 6 2 2 2" xfId="2506" xr:uid="{00000000-0005-0000-0000-000099360000}"/>
    <cellStyle name="Normal 2 2 6 2 2 2 2" xfId="6988" xr:uid="{00000000-0005-0000-0000-00009A360000}"/>
    <cellStyle name="Normal 2 2 6 2 2 2 2 2" xfId="16018" xr:uid="{00000000-0005-0000-0000-00009B360000}"/>
    <cellStyle name="Normal 2 2 6 2 2 2 2 2 2" xfId="36070" xr:uid="{00000000-0005-0000-0000-00009C360000}"/>
    <cellStyle name="Normal 2 2 6 2 2 2 2 3" xfId="27040" xr:uid="{00000000-0005-0000-0000-00009D360000}"/>
    <cellStyle name="Normal 2 2 6 2 2 2 3" xfId="11536" xr:uid="{00000000-0005-0000-0000-00009E360000}"/>
    <cellStyle name="Normal 2 2 6 2 2 2 3 2" xfId="31588" xr:uid="{00000000-0005-0000-0000-00009F360000}"/>
    <cellStyle name="Normal 2 2 6 2 2 2 4" xfId="22558" xr:uid="{00000000-0005-0000-0000-0000A0360000}"/>
    <cellStyle name="Normal 2 2 6 2 2 3" xfId="4000" xr:uid="{00000000-0005-0000-0000-0000A1360000}"/>
    <cellStyle name="Normal 2 2 6 2 2 3 2" xfId="8482" xr:uid="{00000000-0005-0000-0000-0000A2360000}"/>
    <cellStyle name="Normal 2 2 6 2 2 3 2 2" xfId="17512" xr:uid="{00000000-0005-0000-0000-0000A3360000}"/>
    <cellStyle name="Normal 2 2 6 2 2 3 2 2 2" xfId="37564" xr:uid="{00000000-0005-0000-0000-0000A4360000}"/>
    <cellStyle name="Normal 2 2 6 2 2 3 2 3" xfId="28534" xr:uid="{00000000-0005-0000-0000-0000A5360000}"/>
    <cellStyle name="Normal 2 2 6 2 2 3 3" xfId="13030" xr:uid="{00000000-0005-0000-0000-0000A6360000}"/>
    <cellStyle name="Normal 2 2 6 2 2 3 3 2" xfId="33082" xr:uid="{00000000-0005-0000-0000-0000A7360000}"/>
    <cellStyle name="Normal 2 2 6 2 2 3 4" xfId="24052" xr:uid="{00000000-0005-0000-0000-0000A8360000}"/>
    <cellStyle name="Normal 2 2 6 2 2 4" xfId="5494" xr:uid="{00000000-0005-0000-0000-0000A9360000}"/>
    <cellStyle name="Normal 2 2 6 2 2 4 2" xfId="14524" xr:uid="{00000000-0005-0000-0000-0000AA360000}"/>
    <cellStyle name="Normal 2 2 6 2 2 4 2 2" xfId="34576" xr:uid="{00000000-0005-0000-0000-0000AB360000}"/>
    <cellStyle name="Normal 2 2 6 2 2 4 3" xfId="25546" xr:uid="{00000000-0005-0000-0000-0000AC360000}"/>
    <cellStyle name="Normal 2 2 6 2 2 5" xfId="10042" xr:uid="{00000000-0005-0000-0000-0000AD360000}"/>
    <cellStyle name="Normal 2 2 6 2 2 5 2" xfId="30094" xr:uid="{00000000-0005-0000-0000-0000AE360000}"/>
    <cellStyle name="Normal 2 2 6 2 2 6" xfId="21064" xr:uid="{00000000-0005-0000-0000-0000AF360000}"/>
    <cellStyle name="Normal 2 2 6 2 3" xfId="1762" xr:uid="{00000000-0005-0000-0000-0000B0360000}"/>
    <cellStyle name="Normal 2 2 6 2 3 2" xfId="6244" xr:uid="{00000000-0005-0000-0000-0000B1360000}"/>
    <cellStyle name="Normal 2 2 6 2 3 2 2" xfId="15274" xr:uid="{00000000-0005-0000-0000-0000B2360000}"/>
    <cellStyle name="Normal 2 2 6 2 3 2 2 2" xfId="35326" xr:uid="{00000000-0005-0000-0000-0000B3360000}"/>
    <cellStyle name="Normal 2 2 6 2 3 2 3" xfId="26296" xr:uid="{00000000-0005-0000-0000-0000B4360000}"/>
    <cellStyle name="Normal 2 2 6 2 3 3" xfId="10792" xr:uid="{00000000-0005-0000-0000-0000B5360000}"/>
    <cellStyle name="Normal 2 2 6 2 3 3 2" xfId="30844" xr:uid="{00000000-0005-0000-0000-0000B6360000}"/>
    <cellStyle name="Normal 2 2 6 2 3 4" xfId="21814" xr:uid="{00000000-0005-0000-0000-0000B7360000}"/>
    <cellStyle name="Normal 2 2 6 2 4" xfId="3256" xr:uid="{00000000-0005-0000-0000-0000B8360000}"/>
    <cellStyle name="Normal 2 2 6 2 4 2" xfId="7738" xr:uid="{00000000-0005-0000-0000-0000B9360000}"/>
    <cellStyle name="Normal 2 2 6 2 4 2 2" xfId="16768" xr:uid="{00000000-0005-0000-0000-0000BA360000}"/>
    <cellStyle name="Normal 2 2 6 2 4 2 2 2" xfId="36820" xr:uid="{00000000-0005-0000-0000-0000BB360000}"/>
    <cellStyle name="Normal 2 2 6 2 4 2 3" xfId="27790" xr:uid="{00000000-0005-0000-0000-0000BC360000}"/>
    <cellStyle name="Normal 2 2 6 2 4 3" xfId="12286" xr:uid="{00000000-0005-0000-0000-0000BD360000}"/>
    <cellStyle name="Normal 2 2 6 2 4 3 2" xfId="32338" xr:uid="{00000000-0005-0000-0000-0000BE360000}"/>
    <cellStyle name="Normal 2 2 6 2 4 4" xfId="23308" xr:uid="{00000000-0005-0000-0000-0000BF360000}"/>
    <cellStyle name="Normal 2 2 6 2 5" xfId="4750" xr:uid="{00000000-0005-0000-0000-0000C0360000}"/>
    <cellStyle name="Normal 2 2 6 2 5 2" xfId="13780" xr:uid="{00000000-0005-0000-0000-0000C1360000}"/>
    <cellStyle name="Normal 2 2 6 2 5 2 2" xfId="33832" xr:uid="{00000000-0005-0000-0000-0000C2360000}"/>
    <cellStyle name="Normal 2 2 6 2 5 3" xfId="24802" xr:uid="{00000000-0005-0000-0000-0000C3360000}"/>
    <cellStyle name="Normal 2 2 6 2 6" xfId="9298" xr:uid="{00000000-0005-0000-0000-0000C4360000}"/>
    <cellStyle name="Normal 2 2 6 2 6 2" xfId="29350" xr:uid="{00000000-0005-0000-0000-0000C5360000}"/>
    <cellStyle name="Normal 2 2 6 2 7" xfId="20320" xr:uid="{00000000-0005-0000-0000-0000C6360000}"/>
    <cellStyle name="Normal 2 2 6 3" xfId="454" xr:uid="{00000000-0005-0000-0000-0000C7360000}"/>
    <cellStyle name="Normal 2 2 6 3 2" xfId="1201" xr:uid="{00000000-0005-0000-0000-0000C8360000}"/>
    <cellStyle name="Normal 2 2 6 3 2 2" xfId="2695" xr:uid="{00000000-0005-0000-0000-0000C9360000}"/>
    <cellStyle name="Normal 2 2 6 3 2 2 2" xfId="7177" xr:uid="{00000000-0005-0000-0000-0000CA360000}"/>
    <cellStyle name="Normal 2 2 6 3 2 2 2 2" xfId="16207" xr:uid="{00000000-0005-0000-0000-0000CB360000}"/>
    <cellStyle name="Normal 2 2 6 3 2 2 2 2 2" xfId="36259" xr:uid="{00000000-0005-0000-0000-0000CC360000}"/>
    <cellStyle name="Normal 2 2 6 3 2 2 2 3" xfId="27229" xr:uid="{00000000-0005-0000-0000-0000CD360000}"/>
    <cellStyle name="Normal 2 2 6 3 2 2 3" xfId="11725" xr:uid="{00000000-0005-0000-0000-0000CE360000}"/>
    <cellStyle name="Normal 2 2 6 3 2 2 3 2" xfId="31777" xr:uid="{00000000-0005-0000-0000-0000CF360000}"/>
    <cellStyle name="Normal 2 2 6 3 2 2 4" xfId="22747" xr:uid="{00000000-0005-0000-0000-0000D0360000}"/>
    <cellStyle name="Normal 2 2 6 3 2 3" xfId="4189" xr:uid="{00000000-0005-0000-0000-0000D1360000}"/>
    <cellStyle name="Normal 2 2 6 3 2 3 2" xfId="8671" xr:uid="{00000000-0005-0000-0000-0000D2360000}"/>
    <cellStyle name="Normal 2 2 6 3 2 3 2 2" xfId="17701" xr:uid="{00000000-0005-0000-0000-0000D3360000}"/>
    <cellStyle name="Normal 2 2 6 3 2 3 2 2 2" xfId="37753" xr:uid="{00000000-0005-0000-0000-0000D4360000}"/>
    <cellStyle name="Normal 2 2 6 3 2 3 2 3" xfId="28723" xr:uid="{00000000-0005-0000-0000-0000D5360000}"/>
    <cellStyle name="Normal 2 2 6 3 2 3 3" xfId="13219" xr:uid="{00000000-0005-0000-0000-0000D6360000}"/>
    <cellStyle name="Normal 2 2 6 3 2 3 3 2" xfId="33271" xr:uid="{00000000-0005-0000-0000-0000D7360000}"/>
    <cellStyle name="Normal 2 2 6 3 2 3 4" xfId="24241" xr:uid="{00000000-0005-0000-0000-0000D8360000}"/>
    <cellStyle name="Normal 2 2 6 3 2 4" xfId="5683" xr:uid="{00000000-0005-0000-0000-0000D9360000}"/>
    <cellStyle name="Normal 2 2 6 3 2 4 2" xfId="14713" xr:uid="{00000000-0005-0000-0000-0000DA360000}"/>
    <cellStyle name="Normal 2 2 6 3 2 4 2 2" xfId="34765" xr:uid="{00000000-0005-0000-0000-0000DB360000}"/>
    <cellStyle name="Normal 2 2 6 3 2 4 3" xfId="25735" xr:uid="{00000000-0005-0000-0000-0000DC360000}"/>
    <cellStyle name="Normal 2 2 6 3 2 5" xfId="10231" xr:uid="{00000000-0005-0000-0000-0000DD360000}"/>
    <cellStyle name="Normal 2 2 6 3 2 5 2" xfId="30283" xr:uid="{00000000-0005-0000-0000-0000DE360000}"/>
    <cellStyle name="Normal 2 2 6 3 2 6" xfId="21253" xr:uid="{00000000-0005-0000-0000-0000DF360000}"/>
    <cellStyle name="Normal 2 2 6 3 3" xfId="1948" xr:uid="{00000000-0005-0000-0000-0000E0360000}"/>
    <cellStyle name="Normal 2 2 6 3 3 2" xfId="6430" xr:uid="{00000000-0005-0000-0000-0000E1360000}"/>
    <cellStyle name="Normal 2 2 6 3 3 2 2" xfId="15460" xr:uid="{00000000-0005-0000-0000-0000E2360000}"/>
    <cellStyle name="Normal 2 2 6 3 3 2 2 2" xfId="35512" xr:uid="{00000000-0005-0000-0000-0000E3360000}"/>
    <cellStyle name="Normal 2 2 6 3 3 2 3" xfId="26482" xr:uid="{00000000-0005-0000-0000-0000E4360000}"/>
    <cellStyle name="Normal 2 2 6 3 3 3" xfId="10978" xr:uid="{00000000-0005-0000-0000-0000E5360000}"/>
    <cellStyle name="Normal 2 2 6 3 3 3 2" xfId="31030" xr:uid="{00000000-0005-0000-0000-0000E6360000}"/>
    <cellStyle name="Normal 2 2 6 3 3 4" xfId="22000" xr:uid="{00000000-0005-0000-0000-0000E7360000}"/>
    <cellStyle name="Normal 2 2 6 3 4" xfId="3442" xr:uid="{00000000-0005-0000-0000-0000E8360000}"/>
    <cellStyle name="Normal 2 2 6 3 4 2" xfId="7924" xr:uid="{00000000-0005-0000-0000-0000E9360000}"/>
    <cellStyle name="Normal 2 2 6 3 4 2 2" xfId="16954" xr:uid="{00000000-0005-0000-0000-0000EA360000}"/>
    <cellStyle name="Normal 2 2 6 3 4 2 2 2" xfId="37006" xr:uid="{00000000-0005-0000-0000-0000EB360000}"/>
    <cellStyle name="Normal 2 2 6 3 4 2 3" xfId="27976" xr:uid="{00000000-0005-0000-0000-0000EC360000}"/>
    <cellStyle name="Normal 2 2 6 3 4 3" xfId="12472" xr:uid="{00000000-0005-0000-0000-0000ED360000}"/>
    <cellStyle name="Normal 2 2 6 3 4 3 2" xfId="32524" xr:uid="{00000000-0005-0000-0000-0000EE360000}"/>
    <cellStyle name="Normal 2 2 6 3 4 4" xfId="23494" xr:uid="{00000000-0005-0000-0000-0000EF360000}"/>
    <cellStyle name="Normal 2 2 6 3 5" xfId="4936" xr:uid="{00000000-0005-0000-0000-0000F0360000}"/>
    <cellStyle name="Normal 2 2 6 3 5 2" xfId="13966" xr:uid="{00000000-0005-0000-0000-0000F1360000}"/>
    <cellStyle name="Normal 2 2 6 3 5 2 2" xfId="34018" xr:uid="{00000000-0005-0000-0000-0000F2360000}"/>
    <cellStyle name="Normal 2 2 6 3 5 3" xfId="24988" xr:uid="{00000000-0005-0000-0000-0000F3360000}"/>
    <cellStyle name="Normal 2 2 6 3 6" xfId="9484" xr:uid="{00000000-0005-0000-0000-0000F4360000}"/>
    <cellStyle name="Normal 2 2 6 3 6 2" xfId="29536" xr:uid="{00000000-0005-0000-0000-0000F5360000}"/>
    <cellStyle name="Normal 2 2 6 3 7" xfId="20506" xr:uid="{00000000-0005-0000-0000-0000F6360000}"/>
    <cellStyle name="Normal 2 2 6 4" xfId="640" xr:uid="{00000000-0005-0000-0000-0000F7360000}"/>
    <cellStyle name="Normal 2 2 6 4 2" xfId="1387" xr:uid="{00000000-0005-0000-0000-0000F8360000}"/>
    <cellStyle name="Normal 2 2 6 4 2 2" xfId="2881" xr:uid="{00000000-0005-0000-0000-0000F9360000}"/>
    <cellStyle name="Normal 2 2 6 4 2 2 2" xfId="7363" xr:uid="{00000000-0005-0000-0000-0000FA360000}"/>
    <cellStyle name="Normal 2 2 6 4 2 2 2 2" xfId="16393" xr:uid="{00000000-0005-0000-0000-0000FB360000}"/>
    <cellStyle name="Normal 2 2 6 4 2 2 2 2 2" xfId="36445" xr:uid="{00000000-0005-0000-0000-0000FC360000}"/>
    <cellStyle name="Normal 2 2 6 4 2 2 2 3" xfId="27415" xr:uid="{00000000-0005-0000-0000-0000FD360000}"/>
    <cellStyle name="Normal 2 2 6 4 2 2 3" xfId="11911" xr:uid="{00000000-0005-0000-0000-0000FE360000}"/>
    <cellStyle name="Normal 2 2 6 4 2 2 3 2" xfId="31963" xr:uid="{00000000-0005-0000-0000-0000FF360000}"/>
    <cellStyle name="Normal 2 2 6 4 2 2 4" xfId="22933" xr:uid="{00000000-0005-0000-0000-000000370000}"/>
    <cellStyle name="Normal 2 2 6 4 2 3" xfId="4375" xr:uid="{00000000-0005-0000-0000-000001370000}"/>
    <cellStyle name="Normal 2 2 6 4 2 3 2" xfId="8857" xr:uid="{00000000-0005-0000-0000-000002370000}"/>
    <cellStyle name="Normal 2 2 6 4 2 3 2 2" xfId="17887" xr:uid="{00000000-0005-0000-0000-000003370000}"/>
    <cellStyle name="Normal 2 2 6 4 2 3 2 2 2" xfId="37939" xr:uid="{00000000-0005-0000-0000-000004370000}"/>
    <cellStyle name="Normal 2 2 6 4 2 3 2 3" xfId="28909" xr:uid="{00000000-0005-0000-0000-000005370000}"/>
    <cellStyle name="Normal 2 2 6 4 2 3 3" xfId="13405" xr:uid="{00000000-0005-0000-0000-000006370000}"/>
    <cellStyle name="Normal 2 2 6 4 2 3 3 2" xfId="33457" xr:uid="{00000000-0005-0000-0000-000007370000}"/>
    <cellStyle name="Normal 2 2 6 4 2 3 4" xfId="24427" xr:uid="{00000000-0005-0000-0000-000008370000}"/>
    <cellStyle name="Normal 2 2 6 4 2 4" xfId="5869" xr:uid="{00000000-0005-0000-0000-000009370000}"/>
    <cellStyle name="Normal 2 2 6 4 2 4 2" xfId="14899" xr:uid="{00000000-0005-0000-0000-00000A370000}"/>
    <cellStyle name="Normal 2 2 6 4 2 4 2 2" xfId="34951" xr:uid="{00000000-0005-0000-0000-00000B370000}"/>
    <cellStyle name="Normal 2 2 6 4 2 4 3" xfId="25921" xr:uid="{00000000-0005-0000-0000-00000C370000}"/>
    <cellStyle name="Normal 2 2 6 4 2 5" xfId="10417" xr:uid="{00000000-0005-0000-0000-00000D370000}"/>
    <cellStyle name="Normal 2 2 6 4 2 5 2" xfId="30469" xr:uid="{00000000-0005-0000-0000-00000E370000}"/>
    <cellStyle name="Normal 2 2 6 4 2 6" xfId="21439" xr:uid="{00000000-0005-0000-0000-00000F370000}"/>
    <cellStyle name="Normal 2 2 6 4 3" xfId="2134" xr:uid="{00000000-0005-0000-0000-000010370000}"/>
    <cellStyle name="Normal 2 2 6 4 3 2" xfId="6616" xr:uid="{00000000-0005-0000-0000-000011370000}"/>
    <cellStyle name="Normal 2 2 6 4 3 2 2" xfId="15646" xr:uid="{00000000-0005-0000-0000-000012370000}"/>
    <cellStyle name="Normal 2 2 6 4 3 2 2 2" xfId="35698" xr:uid="{00000000-0005-0000-0000-000013370000}"/>
    <cellStyle name="Normal 2 2 6 4 3 2 3" xfId="26668" xr:uid="{00000000-0005-0000-0000-000014370000}"/>
    <cellStyle name="Normal 2 2 6 4 3 3" xfId="11164" xr:uid="{00000000-0005-0000-0000-000015370000}"/>
    <cellStyle name="Normal 2 2 6 4 3 3 2" xfId="31216" xr:uid="{00000000-0005-0000-0000-000016370000}"/>
    <cellStyle name="Normal 2 2 6 4 3 4" xfId="22186" xr:uid="{00000000-0005-0000-0000-000017370000}"/>
    <cellStyle name="Normal 2 2 6 4 4" xfId="3628" xr:uid="{00000000-0005-0000-0000-000018370000}"/>
    <cellStyle name="Normal 2 2 6 4 4 2" xfId="8110" xr:uid="{00000000-0005-0000-0000-000019370000}"/>
    <cellStyle name="Normal 2 2 6 4 4 2 2" xfId="17140" xr:uid="{00000000-0005-0000-0000-00001A370000}"/>
    <cellStyle name="Normal 2 2 6 4 4 2 2 2" xfId="37192" xr:uid="{00000000-0005-0000-0000-00001B370000}"/>
    <cellStyle name="Normal 2 2 6 4 4 2 3" xfId="28162" xr:uid="{00000000-0005-0000-0000-00001C370000}"/>
    <cellStyle name="Normal 2 2 6 4 4 3" xfId="12658" xr:uid="{00000000-0005-0000-0000-00001D370000}"/>
    <cellStyle name="Normal 2 2 6 4 4 3 2" xfId="32710" xr:uid="{00000000-0005-0000-0000-00001E370000}"/>
    <cellStyle name="Normal 2 2 6 4 4 4" xfId="23680" xr:uid="{00000000-0005-0000-0000-00001F370000}"/>
    <cellStyle name="Normal 2 2 6 4 5" xfId="5122" xr:uid="{00000000-0005-0000-0000-000020370000}"/>
    <cellStyle name="Normal 2 2 6 4 5 2" xfId="14152" xr:uid="{00000000-0005-0000-0000-000021370000}"/>
    <cellStyle name="Normal 2 2 6 4 5 2 2" xfId="34204" xr:uid="{00000000-0005-0000-0000-000022370000}"/>
    <cellStyle name="Normal 2 2 6 4 5 3" xfId="25174" xr:uid="{00000000-0005-0000-0000-000023370000}"/>
    <cellStyle name="Normal 2 2 6 4 6" xfId="9670" xr:uid="{00000000-0005-0000-0000-000024370000}"/>
    <cellStyle name="Normal 2 2 6 4 6 2" xfId="29722" xr:uid="{00000000-0005-0000-0000-000025370000}"/>
    <cellStyle name="Normal 2 2 6 4 7" xfId="20692" xr:uid="{00000000-0005-0000-0000-000026370000}"/>
    <cellStyle name="Normal 2 2 6 5" xfId="827" xr:uid="{00000000-0005-0000-0000-000027370000}"/>
    <cellStyle name="Normal 2 2 6 5 2" xfId="2321" xr:uid="{00000000-0005-0000-0000-000028370000}"/>
    <cellStyle name="Normal 2 2 6 5 2 2" xfId="6803" xr:uid="{00000000-0005-0000-0000-000029370000}"/>
    <cellStyle name="Normal 2 2 6 5 2 2 2" xfId="15833" xr:uid="{00000000-0005-0000-0000-00002A370000}"/>
    <cellStyle name="Normal 2 2 6 5 2 2 2 2" xfId="35885" xr:uid="{00000000-0005-0000-0000-00002B370000}"/>
    <cellStyle name="Normal 2 2 6 5 2 2 3" xfId="26855" xr:uid="{00000000-0005-0000-0000-00002C370000}"/>
    <cellStyle name="Normal 2 2 6 5 2 3" xfId="11351" xr:uid="{00000000-0005-0000-0000-00002D370000}"/>
    <cellStyle name="Normal 2 2 6 5 2 3 2" xfId="31403" xr:uid="{00000000-0005-0000-0000-00002E370000}"/>
    <cellStyle name="Normal 2 2 6 5 2 4" xfId="22373" xr:uid="{00000000-0005-0000-0000-00002F370000}"/>
    <cellStyle name="Normal 2 2 6 5 3" xfId="3815" xr:uid="{00000000-0005-0000-0000-000030370000}"/>
    <cellStyle name="Normal 2 2 6 5 3 2" xfId="8297" xr:uid="{00000000-0005-0000-0000-000031370000}"/>
    <cellStyle name="Normal 2 2 6 5 3 2 2" xfId="17327" xr:uid="{00000000-0005-0000-0000-000032370000}"/>
    <cellStyle name="Normal 2 2 6 5 3 2 2 2" xfId="37379" xr:uid="{00000000-0005-0000-0000-000033370000}"/>
    <cellStyle name="Normal 2 2 6 5 3 2 3" xfId="28349" xr:uid="{00000000-0005-0000-0000-000034370000}"/>
    <cellStyle name="Normal 2 2 6 5 3 3" xfId="12845" xr:uid="{00000000-0005-0000-0000-000035370000}"/>
    <cellStyle name="Normal 2 2 6 5 3 3 2" xfId="32897" xr:uid="{00000000-0005-0000-0000-000036370000}"/>
    <cellStyle name="Normal 2 2 6 5 3 4" xfId="23867" xr:uid="{00000000-0005-0000-0000-000037370000}"/>
    <cellStyle name="Normal 2 2 6 5 4" xfId="5309" xr:uid="{00000000-0005-0000-0000-000038370000}"/>
    <cellStyle name="Normal 2 2 6 5 4 2" xfId="14339" xr:uid="{00000000-0005-0000-0000-000039370000}"/>
    <cellStyle name="Normal 2 2 6 5 4 2 2" xfId="34391" xr:uid="{00000000-0005-0000-0000-00003A370000}"/>
    <cellStyle name="Normal 2 2 6 5 4 3" xfId="25361" xr:uid="{00000000-0005-0000-0000-00003B370000}"/>
    <cellStyle name="Normal 2 2 6 5 5" xfId="9857" xr:uid="{00000000-0005-0000-0000-00003C370000}"/>
    <cellStyle name="Normal 2 2 6 5 5 2" xfId="29909" xr:uid="{00000000-0005-0000-0000-00003D370000}"/>
    <cellStyle name="Normal 2 2 6 5 6" xfId="20879" xr:uid="{00000000-0005-0000-0000-00003E370000}"/>
    <cellStyle name="Normal 2 2 6 6" xfId="1576" xr:uid="{00000000-0005-0000-0000-00003F370000}"/>
    <cellStyle name="Normal 2 2 6 6 2" xfId="6058" xr:uid="{00000000-0005-0000-0000-000040370000}"/>
    <cellStyle name="Normal 2 2 6 6 2 2" xfId="15088" xr:uid="{00000000-0005-0000-0000-000041370000}"/>
    <cellStyle name="Normal 2 2 6 6 2 2 2" xfId="35140" xr:uid="{00000000-0005-0000-0000-000042370000}"/>
    <cellStyle name="Normal 2 2 6 6 2 3" xfId="26110" xr:uid="{00000000-0005-0000-0000-000043370000}"/>
    <cellStyle name="Normal 2 2 6 6 3" xfId="10606" xr:uid="{00000000-0005-0000-0000-000044370000}"/>
    <cellStyle name="Normal 2 2 6 6 3 2" xfId="30658" xr:uid="{00000000-0005-0000-0000-000045370000}"/>
    <cellStyle name="Normal 2 2 6 6 4" xfId="21628" xr:uid="{00000000-0005-0000-0000-000046370000}"/>
    <cellStyle name="Normal 2 2 6 7" xfId="3070" xr:uid="{00000000-0005-0000-0000-000047370000}"/>
    <cellStyle name="Normal 2 2 6 7 2" xfId="7552" xr:uid="{00000000-0005-0000-0000-000048370000}"/>
    <cellStyle name="Normal 2 2 6 7 2 2" xfId="16582" xr:uid="{00000000-0005-0000-0000-000049370000}"/>
    <cellStyle name="Normal 2 2 6 7 2 2 2" xfId="36634" xr:uid="{00000000-0005-0000-0000-00004A370000}"/>
    <cellStyle name="Normal 2 2 6 7 2 3" xfId="27604" xr:uid="{00000000-0005-0000-0000-00004B370000}"/>
    <cellStyle name="Normal 2 2 6 7 3" xfId="12100" xr:uid="{00000000-0005-0000-0000-00004C370000}"/>
    <cellStyle name="Normal 2 2 6 7 3 2" xfId="32152" xr:uid="{00000000-0005-0000-0000-00004D370000}"/>
    <cellStyle name="Normal 2 2 6 7 4" xfId="23122" xr:uid="{00000000-0005-0000-0000-00004E370000}"/>
    <cellStyle name="Normal 2 2 6 8" xfId="4564" xr:uid="{00000000-0005-0000-0000-00004F370000}"/>
    <cellStyle name="Normal 2 2 6 8 2" xfId="13594" xr:uid="{00000000-0005-0000-0000-000050370000}"/>
    <cellStyle name="Normal 2 2 6 8 2 2" xfId="33646" xr:uid="{00000000-0005-0000-0000-000051370000}"/>
    <cellStyle name="Normal 2 2 6 8 3" xfId="24616" xr:uid="{00000000-0005-0000-0000-000052370000}"/>
    <cellStyle name="Normal 2 2 6 9" xfId="9112" xr:uid="{00000000-0005-0000-0000-000053370000}"/>
    <cellStyle name="Normal 2 2 6 9 2" xfId="29164" xr:uid="{00000000-0005-0000-0000-000054370000}"/>
    <cellStyle name="Normal 2 2 7" xfId="103" xr:uid="{00000000-0005-0000-0000-000055370000}"/>
    <cellStyle name="Normal 2 2 7 10" xfId="20155" xr:uid="{00000000-0005-0000-0000-000056370000}"/>
    <cellStyle name="Normal 2 2 7 2" xfId="289" xr:uid="{00000000-0005-0000-0000-000057370000}"/>
    <cellStyle name="Normal 2 2 7 2 2" xfId="1032" xr:uid="{00000000-0005-0000-0000-000058370000}"/>
    <cellStyle name="Normal 2 2 7 2 2 2" xfId="2526" xr:uid="{00000000-0005-0000-0000-000059370000}"/>
    <cellStyle name="Normal 2 2 7 2 2 2 2" xfId="7008" xr:uid="{00000000-0005-0000-0000-00005A370000}"/>
    <cellStyle name="Normal 2 2 7 2 2 2 2 2" xfId="16038" xr:uid="{00000000-0005-0000-0000-00005B370000}"/>
    <cellStyle name="Normal 2 2 7 2 2 2 2 2 2" xfId="36090" xr:uid="{00000000-0005-0000-0000-00005C370000}"/>
    <cellStyle name="Normal 2 2 7 2 2 2 2 3" xfId="27060" xr:uid="{00000000-0005-0000-0000-00005D370000}"/>
    <cellStyle name="Normal 2 2 7 2 2 2 3" xfId="11556" xr:uid="{00000000-0005-0000-0000-00005E370000}"/>
    <cellStyle name="Normal 2 2 7 2 2 2 3 2" xfId="31608" xr:uid="{00000000-0005-0000-0000-00005F370000}"/>
    <cellStyle name="Normal 2 2 7 2 2 2 4" xfId="22578" xr:uid="{00000000-0005-0000-0000-000060370000}"/>
    <cellStyle name="Normal 2 2 7 2 2 3" xfId="4020" xr:uid="{00000000-0005-0000-0000-000061370000}"/>
    <cellStyle name="Normal 2 2 7 2 2 3 2" xfId="8502" xr:uid="{00000000-0005-0000-0000-000062370000}"/>
    <cellStyle name="Normal 2 2 7 2 2 3 2 2" xfId="17532" xr:uid="{00000000-0005-0000-0000-000063370000}"/>
    <cellStyle name="Normal 2 2 7 2 2 3 2 2 2" xfId="37584" xr:uid="{00000000-0005-0000-0000-000064370000}"/>
    <cellStyle name="Normal 2 2 7 2 2 3 2 3" xfId="28554" xr:uid="{00000000-0005-0000-0000-000065370000}"/>
    <cellStyle name="Normal 2 2 7 2 2 3 3" xfId="13050" xr:uid="{00000000-0005-0000-0000-000066370000}"/>
    <cellStyle name="Normal 2 2 7 2 2 3 3 2" xfId="33102" xr:uid="{00000000-0005-0000-0000-000067370000}"/>
    <cellStyle name="Normal 2 2 7 2 2 3 4" xfId="24072" xr:uid="{00000000-0005-0000-0000-000068370000}"/>
    <cellStyle name="Normal 2 2 7 2 2 4" xfId="5514" xr:uid="{00000000-0005-0000-0000-000069370000}"/>
    <cellStyle name="Normal 2 2 7 2 2 4 2" xfId="14544" xr:uid="{00000000-0005-0000-0000-00006A370000}"/>
    <cellStyle name="Normal 2 2 7 2 2 4 2 2" xfId="34596" xr:uid="{00000000-0005-0000-0000-00006B370000}"/>
    <cellStyle name="Normal 2 2 7 2 2 4 3" xfId="25566" xr:uid="{00000000-0005-0000-0000-00006C370000}"/>
    <cellStyle name="Normal 2 2 7 2 2 5" xfId="10062" xr:uid="{00000000-0005-0000-0000-00006D370000}"/>
    <cellStyle name="Normal 2 2 7 2 2 5 2" xfId="30114" xr:uid="{00000000-0005-0000-0000-00006E370000}"/>
    <cellStyle name="Normal 2 2 7 2 2 6" xfId="21084" xr:uid="{00000000-0005-0000-0000-00006F370000}"/>
    <cellStyle name="Normal 2 2 7 2 3" xfId="1783" xr:uid="{00000000-0005-0000-0000-000070370000}"/>
    <cellStyle name="Normal 2 2 7 2 3 2" xfId="6265" xr:uid="{00000000-0005-0000-0000-000071370000}"/>
    <cellStyle name="Normal 2 2 7 2 3 2 2" xfId="15295" xr:uid="{00000000-0005-0000-0000-000072370000}"/>
    <cellStyle name="Normal 2 2 7 2 3 2 2 2" xfId="35347" xr:uid="{00000000-0005-0000-0000-000073370000}"/>
    <cellStyle name="Normal 2 2 7 2 3 2 3" xfId="26317" xr:uid="{00000000-0005-0000-0000-000074370000}"/>
    <cellStyle name="Normal 2 2 7 2 3 3" xfId="10813" xr:uid="{00000000-0005-0000-0000-000075370000}"/>
    <cellStyle name="Normal 2 2 7 2 3 3 2" xfId="30865" xr:uid="{00000000-0005-0000-0000-000076370000}"/>
    <cellStyle name="Normal 2 2 7 2 3 4" xfId="21835" xr:uid="{00000000-0005-0000-0000-000077370000}"/>
    <cellStyle name="Normal 2 2 7 2 4" xfId="3277" xr:uid="{00000000-0005-0000-0000-000078370000}"/>
    <cellStyle name="Normal 2 2 7 2 4 2" xfId="7759" xr:uid="{00000000-0005-0000-0000-000079370000}"/>
    <cellStyle name="Normal 2 2 7 2 4 2 2" xfId="16789" xr:uid="{00000000-0005-0000-0000-00007A370000}"/>
    <cellStyle name="Normal 2 2 7 2 4 2 2 2" xfId="36841" xr:uid="{00000000-0005-0000-0000-00007B370000}"/>
    <cellStyle name="Normal 2 2 7 2 4 2 3" xfId="27811" xr:uid="{00000000-0005-0000-0000-00007C370000}"/>
    <cellStyle name="Normal 2 2 7 2 4 3" xfId="12307" xr:uid="{00000000-0005-0000-0000-00007D370000}"/>
    <cellStyle name="Normal 2 2 7 2 4 3 2" xfId="32359" xr:uid="{00000000-0005-0000-0000-00007E370000}"/>
    <cellStyle name="Normal 2 2 7 2 4 4" xfId="23329" xr:uid="{00000000-0005-0000-0000-00007F370000}"/>
    <cellStyle name="Normal 2 2 7 2 5" xfId="4771" xr:uid="{00000000-0005-0000-0000-000080370000}"/>
    <cellStyle name="Normal 2 2 7 2 5 2" xfId="13801" xr:uid="{00000000-0005-0000-0000-000081370000}"/>
    <cellStyle name="Normal 2 2 7 2 5 2 2" xfId="33853" xr:uid="{00000000-0005-0000-0000-000082370000}"/>
    <cellStyle name="Normal 2 2 7 2 5 3" xfId="24823" xr:uid="{00000000-0005-0000-0000-000083370000}"/>
    <cellStyle name="Normal 2 2 7 2 6" xfId="9319" xr:uid="{00000000-0005-0000-0000-000084370000}"/>
    <cellStyle name="Normal 2 2 7 2 6 2" xfId="29371" xr:uid="{00000000-0005-0000-0000-000085370000}"/>
    <cellStyle name="Normal 2 2 7 2 7" xfId="20341" xr:uid="{00000000-0005-0000-0000-000086370000}"/>
    <cellStyle name="Normal 2 2 7 3" xfId="475" xr:uid="{00000000-0005-0000-0000-000087370000}"/>
    <cellStyle name="Normal 2 2 7 3 2" xfId="1222" xr:uid="{00000000-0005-0000-0000-000088370000}"/>
    <cellStyle name="Normal 2 2 7 3 2 2" xfId="2716" xr:uid="{00000000-0005-0000-0000-000089370000}"/>
    <cellStyle name="Normal 2 2 7 3 2 2 2" xfId="7198" xr:uid="{00000000-0005-0000-0000-00008A370000}"/>
    <cellStyle name="Normal 2 2 7 3 2 2 2 2" xfId="16228" xr:uid="{00000000-0005-0000-0000-00008B370000}"/>
    <cellStyle name="Normal 2 2 7 3 2 2 2 2 2" xfId="36280" xr:uid="{00000000-0005-0000-0000-00008C370000}"/>
    <cellStyle name="Normal 2 2 7 3 2 2 2 3" xfId="27250" xr:uid="{00000000-0005-0000-0000-00008D370000}"/>
    <cellStyle name="Normal 2 2 7 3 2 2 3" xfId="11746" xr:uid="{00000000-0005-0000-0000-00008E370000}"/>
    <cellStyle name="Normal 2 2 7 3 2 2 3 2" xfId="31798" xr:uid="{00000000-0005-0000-0000-00008F370000}"/>
    <cellStyle name="Normal 2 2 7 3 2 2 4" xfId="22768" xr:uid="{00000000-0005-0000-0000-000090370000}"/>
    <cellStyle name="Normal 2 2 7 3 2 3" xfId="4210" xr:uid="{00000000-0005-0000-0000-000091370000}"/>
    <cellStyle name="Normal 2 2 7 3 2 3 2" xfId="8692" xr:uid="{00000000-0005-0000-0000-000092370000}"/>
    <cellStyle name="Normal 2 2 7 3 2 3 2 2" xfId="17722" xr:uid="{00000000-0005-0000-0000-000093370000}"/>
    <cellStyle name="Normal 2 2 7 3 2 3 2 2 2" xfId="37774" xr:uid="{00000000-0005-0000-0000-000094370000}"/>
    <cellStyle name="Normal 2 2 7 3 2 3 2 3" xfId="28744" xr:uid="{00000000-0005-0000-0000-000095370000}"/>
    <cellStyle name="Normal 2 2 7 3 2 3 3" xfId="13240" xr:uid="{00000000-0005-0000-0000-000096370000}"/>
    <cellStyle name="Normal 2 2 7 3 2 3 3 2" xfId="33292" xr:uid="{00000000-0005-0000-0000-000097370000}"/>
    <cellStyle name="Normal 2 2 7 3 2 3 4" xfId="24262" xr:uid="{00000000-0005-0000-0000-000098370000}"/>
    <cellStyle name="Normal 2 2 7 3 2 4" xfId="5704" xr:uid="{00000000-0005-0000-0000-000099370000}"/>
    <cellStyle name="Normal 2 2 7 3 2 4 2" xfId="14734" xr:uid="{00000000-0005-0000-0000-00009A370000}"/>
    <cellStyle name="Normal 2 2 7 3 2 4 2 2" xfId="34786" xr:uid="{00000000-0005-0000-0000-00009B370000}"/>
    <cellStyle name="Normal 2 2 7 3 2 4 3" xfId="25756" xr:uid="{00000000-0005-0000-0000-00009C370000}"/>
    <cellStyle name="Normal 2 2 7 3 2 5" xfId="10252" xr:uid="{00000000-0005-0000-0000-00009D370000}"/>
    <cellStyle name="Normal 2 2 7 3 2 5 2" xfId="30304" xr:uid="{00000000-0005-0000-0000-00009E370000}"/>
    <cellStyle name="Normal 2 2 7 3 2 6" xfId="21274" xr:uid="{00000000-0005-0000-0000-00009F370000}"/>
    <cellStyle name="Normal 2 2 7 3 3" xfId="1969" xr:uid="{00000000-0005-0000-0000-0000A0370000}"/>
    <cellStyle name="Normal 2 2 7 3 3 2" xfId="6451" xr:uid="{00000000-0005-0000-0000-0000A1370000}"/>
    <cellStyle name="Normal 2 2 7 3 3 2 2" xfId="15481" xr:uid="{00000000-0005-0000-0000-0000A2370000}"/>
    <cellStyle name="Normal 2 2 7 3 3 2 2 2" xfId="35533" xr:uid="{00000000-0005-0000-0000-0000A3370000}"/>
    <cellStyle name="Normal 2 2 7 3 3 2 3" xfId="26503" xr:uid="{00000000-0005-0000-0000-0000A4370000}"/>
    <cellStyle name="Normal 2 2 7 3 3 3" xfId="10999" xr:uid="{00000000-0005-0000-0000-0000A5370000}"/>
    <cellStyle name="Normal 2 2 7 3 3 3 2" xfId="31051" xr:uid="{00000000-0005-0000-0000-0000A6370000}"/>
    <cellStyle name="Normal 2 2 7 3 3 4" xfId="22021" xr:uid="{00000000-0005-0000-0000-0000A7370000}"/>
    <cellStyle name="Normal 2 2 7 3 4" xfId="3463" xr:uid="{00000000-0005-0000-0000-0000A8370000}"/>
    <cellStyle name="Normal 2 2 7 3 4 2" xfId="7945" xr:uid="{00000000-0005-0000-0000-0000A9370000}"/>
    <cellStyle name="Normal 2 2 7 3 4 2 2" xfId="16975" xr:uid="{00000000-0005-0000-0000-0000AA370000}"/>
    <cellStyle name="Normal 2 2 7 3 4 2 2 2" xfId="37027" xr:uid="{00000000-0005-0000-0000-0000AB370000}"/>
    <cellStyle name="Normal 2 2 7 3 4 2 3" xfId="27997" xr:uid="{00000000-0005-0000-0000-0000AC370000}"/>
    <cellStyle name="Normal 2 2 7 3 4 3" xfId="12493" xr:uid="{00000000-0005-0000-0000-0000AD370000}"/>
    <cellStyle name="Normal 2 2 7 3 4 3 2" xfId="32545" xr:uid="{00000000-0005-0000-0000-0000AE370000}"/>
    <cellStyle name="Normal 2 2 7 3 4 4" xfId="23515" xr:uid="{00000000-0005-0000-0000-0000AF370000}"/>
    <cellStyle name="Normal 2 2 7 3 5" xfId="4957" xr:uid="{00000000-0005-0000-0000-0000B0370000}"/>
    <cellStyle name="Normal 2 2 7 3 5 2" xfId="13987" xr:uid="{00000000-0005-0000-0000-0000B1370000}"/>
    <cellStyle name="Normal 2 2 7 3 5 2 2" xfId="34039" xr:uid="{00000000-0005-0000-0000-0000B2370000}"/>
    <cellStyle name="Normal 2 2 7 3 5 3" xfId="25009" xr:uid="{00000000-0005-0000-0000-0000B3370000}"/>
    <cellStyle name="Normal 2 2 7 3 6" xfId="9505" xr:uid="{00000000-0005-0000-0000-0000B4370000}"/>
    <cellStyle name="Normal 2 2 7 3 6 2" xfId="29557" xr:uid="{00000000-0005-0000-0000-0000B5370000}"/>
    <cellStyle name="Normal 2 2 7 3 7" xfId="20527" xr:uid="{00000000-0005-0000-0000-0000B6370000}"/>
    <cellStyle name="Normal 2 2 7 4" xfId="661" xr:uid="{00000000-0005-0000-0000-0000B7370000}"/>
    <cellStyle name="Normal 2 2 7 4 2" xfId="1408" xr:uid="{00000000-0005-0000-0000-0000B8370000}"/>
    <cellStyle name="Normal 2 2 7 4 2 2" xfId="2902" xr:uid="{00000000-0005-0000-0000-0000B9370000}"/>
    <cellStyle name="Normal 2 2 7 4 2 2 2" xfId="7384" xr:uid="{00000000-0005-0000-0000-0000BA370000}"/>
    <cellStyle name="Normal 2 2 7 4 2 2 2 2" xfId="16414" xr:uid="{00000000-0005-0000-0000-0000BB370000}"/>
    <cellStyle name="Normal 2 2 7 4 2 2 2 2 2" xfId="36466" xr:uid="{00000000-0005-0000-0000-0000BC370000}"/>
    <cellStyle name="Normal 2 2 7 4 2 2 2 3" xfId="27436" xr:uid="{00000000-0005-0000-0000-0000BD370000}"/>
    <cellStyle name="Normal 2 2 7 4 2 2 3" xfId="11932" xr:uid="{00000000-0005-0000-0000-0000BE370000}"/>
    <cellStyle name="Normal 2 2 7 4 2 2 3 2" xfId="31984" xr:uid="{00000000-0005-0000-0000-0000BF370000}"/>
    <cellStyle name="Normal 2 2 7 4 2 2 4" xfId="22954" xr:uid="{00000000-0005-0000-0000-0000C0370000}"/>
    <cellStyle name="Normal 2 2 7 4 2 3" xfId="4396" xr:uid="{00000000-0005-0000-0000-0000C1370000}"/>
    <cellStyle name="Normal 2 2 7 4 2 3 2" xfId="8878" xr:uid="{00000000-0005-0000-0000-0000C2370000}"/>
    <cellStyle name="Normal 2 2 7 4 2 3 2 2" xfId="17908" xr:uid="{00000000-0005-0000-0000-0000C3370000}"/>
    <cellStyle name="Normal 2 2 7 4 2 3 2 2 2" xfId="37960" xr:uid="{00000000-0005-0000-0000-0000C4370000}"/>
    <cellStyle name="Normal 2 2 7 4 2 3 2 3" xfId="28930" xr:uid="{00000000-0005-0000-0000-0000C5370000}"/>
    <cellStyle name="Normal 2 2 7 4 2 3 3" xfId="13426" xr:uid="{00000000-0005-0000-0000-0000C6370000}"/>
    <cellStyle name="Normal 2 2 7 4 2 3 3 2" xfId="33478" xr:uid="{00000000-0005-0000-0000-0000C7370000}"/>
    <cellStyle name="Normal 2 2 7 4 2 3 4" xfId="24448" xr:uid="{00000000-0005-0000-0000-0000C8370000}"/>
    <cellStyle name="Normal 2 2 7 4 2 4" xfId="5890" xr:uid="{00000000-0005-0000-0000-0000C9370000}"/>
    <cellStyle name="Normal 2 2 7 4 2 4 2" xfId="14920" xr:uid="{00000000-0005-0000-0000-0000CA370000}"/>
    <cellStyle name="Normal 2 2 7 4 2 4 2 2" xfId="34972" xr:uid="{00000000-0005-0000-0000-0000CB370000}"/>
    <cellStyle name="Normal 2 2 7 4 2 4 3" xfId="25942" xr:uid="{00000000-0005-0000-0000-0000CC370000}"/>
    <cellStyle name="Normal 2 2 7 4 2 5" xfId="10438" xr:uid="{00000000-0005-0000-0000-0000CD370000}"/>
    <cellStyle name="Normal 2 2 7 4 2 5 2" xfId="30490" xr:uid="{00000000-0005-0000-0000-0000CE370000}"/>
    <cellStyle name="Normal 2 2 7 4 2 6" xfId="21460" xr:uid="{00000000-0005-0000-0000-0000CF370000}"/>
    <cellStyle name="Normal 2 2 7 4 3" xfId="2155" xr:uid="{00000000-0005-0000-0000-0000D0370000}"/>
    <cellStyle name="Normal 2 2 7 4 3 2" xfId="6637" xr:uid="{00000000-0005-0000-0000-0000D1370000}"/>
    <cellStyle name="Normal 2 2 7 4 3 2 2" xfId="15667" xr:uid="{00000000-0005-0000-0000-0000D2370000}"/>
    <cellStyle name="Normal 2 2 7 4 3 2 2 2" xfId="35719" xr:uid="{00000000-0005-0000-0000-0000D3370000}"/>
    <cellStyle name="Normal 2 2 7 4 3 2 3" xfId="26689" xr:uid="{00000000-0005-0000-0000-0000D4370000}"/>
    <cellStyle name="Normal 2 2 7 4 3 3" xfId="11185" xr:uid="{00000000-0005-0000-0000-0000D5370000}"/>
    <cellStyle name="Normal 2 2 7 4 3 3 2" xfId="31237" xr:uid="{00000000-0005-0000-0000-0000D6370000}"/>
    <cellStyle name="Normal 2 2 7 4 3 4" xfId="22207" xr:uid="{00000000-0005-0000-0000-0000D7370000}"/>
    <cellStyle name="Normal 2 2 7 4 4" xfId="3649" xr:uid="{00000000-0005-0000-0000-0000D8370000}"/>
    <cellStyle name="Normal 2 2 7 4 4 2" xfId="8131" xr:uid="{00000000-0005-0000-0000-0000D9370000}"/>
    <cellStyle name="Normal 2 2 7 4 4 2 2" xfId="17161" xr:uid="{00000000-0005-0000-0000-0000DA370000}"/>
    <cellStyle name="Normal 2 2 7 4 4 2 2 2" xfId="37213" xr:uid="{00000000-0005-0000-0000-0000DB370000}"/>
    <cellStyle name="Normal 2 2 7 4 4 2 3" xfId="28183" xr:uid="{00000000-0005-0000-0000-0000DC370000}"/>
    <cellStyle name="Normal 2 2 7 4 4 3" xfId="12679" xr:uid="{00000000-0005-0000-0000-0000DD370000}"/>
    <cellStyle name="Normal 2 2 7 4 4 3 2" xfId="32731" xr:uid="{00000000-0005-0000-0000-0000DE370000}"/>
    <cellStyle name="Normal 2 2 7 4 4 4" xfId="23701" xr:uid="{00000000-0005-0000-0000-0000DF370000}"/>
    <cellStyle name="Normal 2 2 7 4 5" xfId="5143" xr:uid="{00000000-0005-0000-0000-0000E0370000}"/>
    <cellStyle name="Normal 2 2 7 4 5 2" xfId="14173" xr:uid="{00000000-0005-0000-0000-0000E1370000}"/>
    <cellStyle name="Normal 2 2 7 4 5 2 2" xfId="34225" xr:uid="{00000000-0005-0000-0000-0000E2370000}"/>
    <cellStyle name="Normal 2 2 7 4 5 3" xfId="25195" xr:uid="{00000000-0005-0000-0000-0000E3370000}"/>
    <cellStyle name="Normal 2 2 7 4 6" xfId="9691" xr:uid="{00000000-0005-0000-0000-0000E4370000}"/>
    <cellStyle name="Normal 2 2 7 4 6 2" xfId="29743" xr:uid="{00000000-0005-0000-0000-0000E5370000}"/>
    <cellStyle name="Normal 2 2 7 4 7" xfId="20713" xr:uid="{00000000-0005-0000-0000-0000E6370000}"/>
    <cellStyle name="Normal 2 2 7 5" xfId="848" xr:uid="{00000000-0005-0000-0000-0000E7370000}"/>
    <cellStyle name="Normal 2 2 7 5 2" xfId="2342" xr:uid="{00000000-0005-0000-0000-0000E8370000}"/>
    <cellStyle name="Normal 2 2 7 5 2 2" xfId="6824" xr:uid="{00000000-0005-0000-0000-0000E9370000}"/>
    <cellStyle name="Normal 2 2 7 5 2 2 2" xfId="15854" xr:uid="{00000000-0005-0000-0000-0000EA370000}"/>
    <cellStyle name="Normal 2 2 7 5 2 2 2 2" xfId="35906" xr:uid="{00000000-0005-0000-0000-0000EB370000}"/>
    <cellStyle name="Normal 2 2 7 5 2 2 3" xfId="26876" xr:uid="{00000000-0005-0000-0000-0000EC370000}"/>
    <cellStyle name="Normal 2 2 7 5 2 3" xfId="11372" xr:uid="{00000000-0005-0000-0000-0000ED370000}"/>
    <cellStyle name="Normal 2 2 7 5 2 3 2" xfId="31424" xr:uid="{00000000-0005-0000-0000-0000EE370000}"/>
    <cellStyle name="Normal 2 2 7 5 2 4" xfId="22394" xr:uid="{00000000-0005-0000-0000-0000EF370000}"/>
    <cellStyle name="Normal 2 2 7 5 3" xfId="3836" xr:uid="{00000000-0005-0000-0000-0000F0370000}"/>
    <cellStyle name="Normal 2 2 7 5 3 2" xfId="8318" xr:uid="{00000000-0005-0000-0000-0000F1370000}"/>
    <cellStyle name="Normal 2 2 7 5 3 2 2" xfId="17348" xr:uid="{00000000-0005-0000-0000-0000F2370000}"/>
    <cellStyle name="Normal 2 2 7 5 3 2 2 2" xfId="37400" xr:uid="{00000000-0005-0000-0000-0000F3370000}"/>
    <cellStyle name="Normal 2 2 7 5 3 2 3" xfId="28370" xr:uid="{00000000-0005-0000-0000-0000F4370000}"/>
    <cellStyle name="Normal 2 2 7 5 3 3" xfId="12866" xr:uid="{00000000-0005-0000-0000-0000F5370000}"/>
    <cellStyle name="Normal 2 2 7 5 3 3 2" xfId="32918" xr:uid="{00000000-0005-0000-0000-0000F6370000}"/>
    <cellStyle name="Normal 2 2 7 5 3 4" xfId="23888" xr:uid="{00000000-0005-0000-0000-0000F7370000}"/>
    <cellStyle name="Normal 2 2 7 5 4" xfId="5330" xr:uid="{00000000-0005-0000-0000-0000F8370000}"/>
    <cellStyle name="Normal 2 2 7 5 4 2" xfId="14360" xr:uid="{00000000-0005-0000-0000-0000F9370000}"/>
    <cellStyle name="Normal 2 2 7 5 4 2 2" xfId="34412" xr:uid="{00000000-0005-0000-0000-0000FA370000}"/>
    <cellStyle name="Normal 2 2 7 5 4 3" xfId="25382" xr:uid="{00000000-0005-0000-0000-0000FB370000}"/>
    <cellStyle name="Normal 2 2 7 5 5" xfId="9878" xr:uid="{00000000-0005-0000-0000-0000FC370000}"/>
    <cellStyle name="Normal 2 2 7 5 5 2" xfId="29930" xr:uid="{00000000-0005-0000-0000-0000FD370000}"/>
    <cellStyle name="Normal 2 2 7 5 6" xfId="20900" xr:uid="{00000000-0005-0000-0000-0000FE370000}"/>
    <cellStyle name="Normal 2 2 7 6" xfId="1597" xr:uid="{00000000-0005-0000-0000-0000FF370000}"/>
    <cellStyle name="Normal 2 2 7 6 2" xfId="6079" xr:uid="{00000000-0005-0000-0000-000000380000}"/>
    <cellStyle name="Normal 2 2 7 6 2 2" xfId="15109" xr:uid="{00000000-0005-0000-0000-000001380000}"/>
    <cellStyle name="Normal 2 2 7 6 2 2 2" xfId="35161" xr:uid="{00000000-0005-0000-0000-000002380000}"/>
    <cellStyle name="Normal 2 2 7 6 2 3" xfId="26131" xr:uid="{00000000-0005-0000-0000-000003380000}"/>
    <cellStyle name="Normal 2 2 7 6 3" xfId="10627" xr:uid="{00000000-0005-0000-0000-000004380000}"/>
    <cellStyle name="Normal 2 2 7 6 3 2" xfId="30679" xr:uid="{00000000-0005-0000-0000-000005380000}"/>
    <cellStyle name="Normal 2 2 7 6 4" xfId="21649" xr:uid="{00000000-0005-0000-0000-000006380000}"/>
    <cellStyle name="Normal 2 2 7 7" xfId="3091" xr:uid="{00000000-0005-0000-0000-000007380000}"/>
    <cellStyle name="Normal 2 2 7 7 2" xfId="7573" xr:uid="{00000000-0005-0000-0000-000008380000}"/>
    <cellStyle name="Normal 2 2 7 7 2 2" xfId="16603" xr:uid="{00000000-0005-0000-0000-000009380000}"/>
    <cellStyle name="Normal 2 2 7 7 2 2 2" xfId="36655" xr:uid="{00000000-0005-0000-0000-00000A380000}"/>
    <cellStyle name="Normal 2 2 7 7 2 3" xfId="27625" xr:uid="{00000000-0005-0000-0000-00000B380000}"/>
    <cellStyle name="Normal 2 2 7 7 3" xfId="12121" xr:uid="{00000000-0005-0000-0000-00000C380000}"/>
    <cellStyle name="Normal 2 2 7 7 3 2" xfId="32173" xr:uid="{00000000-0005-0000-0000-00000D380000}"/>
    <cellStyle name="Normal 2 2 7 7 4" xfId="23143" xr:uid="{00000000-0005-0000-0000-00000E380000}"/>
    <cellStyle name="Normal 2 2 7 8" xfId="4585" xr:uid="{00000000-0005-0000-0000-00000F380000}"/>
    <cellStyle name="Normal 2 2 7 8 2" xfId="13615" xr:uid="{00000000-0005-0000-0000-000010380000}"/>
    <cellStyle name="Normal 2 2 7 8 2 2" xfId="33667" xr:uid="{00000000-0005-0000-0000-000011380000}"/>
    <cellStyle name="Normal 2 2 7 8 3" xfId="24637" xr:uid="{00000000-0005-0000-0000-000012380000}"/>
    <cellStyle name="Normal 2 2 7 9" xfId="9133" xr:uid="{00000000-0005-0000-0000-000013380000}"/>
    <cellStyle name="Normal 2 2 7 9 2" xfId="29185" xr:uid="{00000000-0005-0000-0000-000014380000}"/>
    <cellStyle name="Normal 2 2 8" xfId="129" xr:uid="{00000000-0005-0000-0000-000015380000}"/>
    <cellStyle name="Normal 2 2 8 10" xfId="20181" xr:uid="{00000000-0005-0000-0000-000016380000}"/>
    <cellStyle name="Normal 2 2 8 2" xfId="315" xr:uid="{00000000-0005-0000-0000-000017380000}"/>
    <cellStyle name="Normal 2 2 8 2 2" xfId="1058" xr:uid="{00000000-0005-0000-0000-000018380000}"/>
    <cellStyle name="Normal 2 2 8 2 2 2" xfId="2552" xr:uid="{00000000-0005-0000-0000-000019380000}"/>
    <cellStyle name="Normal 2 2 8 2 2 2 2" xfId="7034" xr:uid="{00000000-0005-0000-0000-00001A380000}"/>
    <cellStyle name="Normal 2 2 8 2 2 2 2 2" xfId="16064" xr:uid="{00000000-0005-0000-0000-00001B380000}"/>
    <cellStyle name="Normal 2 2 8 2 2 2 2 2 2" xfId="36116" xr:uid="{00000000-0005-0000-0000-00001C380000}"/>
    <cellStyle name="Normal 2 2 8 2 2 2 2 3" xfId="27086" xr:uid="{00000000-0005-0000-0000-00001D380000}"/>
    <cellStyle name="Normal 2 2 8 2 2 2 3" xfId="11582" xr:uid="{00000000-0005-0000-0000-00001E380000}"/>
    <cellStyle name="Normal 2 2 8 2 2 2 3 2" xfId="31634" xr:uid="{00000000-0005-0000-0000-00001F380000}"/>
    <cellStyle name="Normal 2 2 8 2 2 2 4" xfId="22604" xr:uid="{00000000-0005-0000-0000-000020380000}"/>
    <cellStyle name="Normal 2 2 8 2 2 3" xfId="4046" xr:uid="{00000000-0005-0000-0000-000021380000}"/>
    <cellStyle name="Normal 2 2 8 2 2 3 2" xfId="8528" xr:uid="{00000000-0005-0000-0000-000022380000}"/>
    <cellStyle name="Normal 2 2 8 2 2 3 2 2" xfId="17558" xr:uid="{00000000-0005-0000-0000-000023380000}"/>
    <cellStyle name="Normal 2 2 8 2 2 3 2 2 2" xfId="37610" xr:uid="{00000000-0005-0000-0000-000024380000}"/>
    <cellStyle name="Normal 2 2 8 2 2 3 2 3" xfId="28580" xr:uid="{00000000-0005-0000-0000-000025380000}"/>
    <cellStyle name="Normal 2 2 8 2 2 3 3" xfId="13076" xr:uid="{00000000-0005-0000-0000-000026380000}"/>
    <cellStyle name="Normal 2 2 8 2 2 3 3 2" xfId="33128" xr:uid="{00000000-0005-0000-0000-000027380000}"/>
    <cellStyle name="Normal 2 2 8 2 2 3 4" xfId="24098" xr:uid="{00000000-0005-0000-0000-000028380000}"/>
    <cellStyle name="Normal 2 2 8 2 2 4" xfId="5540" xr:uid="{00000000-0005-0000-0000-000029380000}"/>
    <cellStyle name="Normal 2 2 8 2 2 4 2" xfId="14570" xr:uid="{00000000-0005-0000-0000-00002A380000}"/>
    <cellStyle name="Normal 2 2 8 2 2 4 2 2" xfId="34622" xr:uid="{00000000-0005-0000-0000-00002B380000}"/>
    <cellStyle name="Normal 2 2 8 2 2 4 3" xfId="25592" xr:uid="{00000000-0005-0000-0000-00002C380000}"/>
    <cellStyle name="Normal 2 2 8 2 2 5" xfId="10088" xr:uid="{00000000-0005-0000-0000-00002D380000}"/>
    <cellStyle name="Normal 2 2 8 2 2 5 2" xfId="30140" xr:uid="{00000000-0005-0000-0000-00002E380000}"/>
    <cellStyle name="Normal 2 2 8 2 2 6" xfId="21110" xr:uid="{00000000-0005-0000-0000-00002F380000}"/>
    <cellStyle name="Normal 2 2 8 2 3" xfId="1809" xr:uid="{00000000-0005-0000-0000-000030380000}"/>
    <cellStyle name="Normal 2 2 8 2 3 2" xfId="6291" xr:uid="{00000000-0005-0000-0000-000031380000}"/>
    <cellStyle name="Normal 2 2 8 2 3 2 2" xfId="15321" xr:uid="{00000000-0005-0000-0000-000032380000}"/>
    <cellStyle name="Normal 2 2 8 2 3 2 2 2" xfId="35373" xr:uid="{00000000-0005-0000-0000-000033380000}"/>
    <cellStyle name="Normal 2 2 8 2 3 2 3" xfId="26343" xr:uid="{00000000-0005-0000-0000-000034380000}"/>
    <cellStyle name="Normal 2 2 8 2 3 3" xfId="10839" xr:uid="{00000000-0005-0000-0000-000035380000}"/>
    <cellStyle name="Normal 2 2 8 2 3 3 2" xfId="30891" xr:uid="{00000000-0005-0000-0000-000036380000}"/>
    <cellStyle name="Normal 2 2 8 2 3 4" xfId="21861" xr:uid="{00000000-0005-0000-0000-000037380000}"/>
    <cellStyle name="Normal 2 2 8 2 4" xfId="3303" xr:uid="{00000000-0005-0000-0000-000038380000}"/>
    <cellStyle name="Normal 2 2 8 2 4 2" xfId="7785" xr:uid="{00000000-0005-0000-0000-000039380000}"/>
    <cellStyle name="Normal 2 2 8 2 4 2 2" xfId="16815" xr:uid="{00000000-0005-0000-0000-00003A380000}"/>
    <cellStyle name="Normal 2 2 8 2 4 2 2 2" xfId="36867" xr:uid="{00000000-0005-0000-0000-00003B380000}"/>
    <cellStyle name="Normal 2 2 8 2 4 2 3" xfId="27837" xr:uid="{00000000-0005-0000-0000-00003C380000}"/>
    <cellStyle name="Normal 2 2 8 2 4 3" xfId="12333" xr:uid="{00000000-0005-0000-0000-00003D380000}"/>
    <cellStyle name="Normal 2 2 8 2 4 3 2" xfId="32385" xr:uid="{00000000-0005-0000-0000-00003E380000}"/>
    <cellStyle name="Normal 2 2 8 2 4 4" xfId="23355" xr:uid="{00000000-0005-0000-0000-00003F380000}"/>
    <cellStyle name="Normal 2 2 8 2 5" xfId="4797" xr:uid="{00000000-0005-0000-0000-000040380000}"/>
    <cellStyle name="Normal 2 2 8 2 5 2" xfId="13827" xr:uid="{00000000-0005-0000-0000-000041380000}"/>
    <cellStyle name="Normal 2 2 8 2 5 2 2" xfId="33879" xr:uid="{00000000-0005-0000-0000-000042380000}"/>
    <cellStyle name="Normal 2 2 8 2 5 3" xfId="24849" xr:uid="{00000000-0005-0000-0000-000043380000}"/>
    <cellStyle name="Normal 2 2 8 2 6" xfId="9345" xr:uid="{00000000-0005-0000-0000-000044380000}"/>
    <cellStyle name="Normal 2 2 8 2 6 2" xfId="29397" xr:uid="{00000000-0005-0000-0000-000045380000}"/>
    <cellStyle name="Normal 2 2 8 2 7" xfId="20367" xr:uid="{00000000-0005-0000-0000-000046380000}"/>
    <cellStyle name="Normal 2 2 8 3" xfId="501" xr:uid="{00000000-0005-0000-0000-000047380000}"/>
    <cellStyle name="Normal 2 2 8 3 2" xfId="1248" xr:uid="{00000000-0005-0000-0000-000048380000}"/>
    <cellStyle name="Normal 2 2 8 3 2 2" xfId="2742" xr:uid="{00000000-0005-0000-0000-000049380000}"/>
    <cellStyle name="Normal 2 2 8 3 2 2 2" xfId="7224" xr:uid="{00000000-0005-0000-0000-00004A380000}"/>
    <cellStyle name="Normal 2 2 8 3 2 2 2 2" xfId="16254" xr:uid="{00000000-0005-0000-0000-00004B380000}"/>
    <cellStyle name="Normal 2 2 8 3 2 2 2 2 2" xfId="36306" xr:uid="{00000000-0005-0000-0000-00004C380000}"/>
    <cellStyle name="Normal 2 2 8 3 2 2 2 3" xfId="27276" xr:uid="{00000000-0005-0000-0000-00004D380000}"/>
    <cellStyle name="Normal 2 2 8 3 2 2 3" xfId="11772" xr:uid="{00000000-0005-0000-0000-00004E380000}"/>
    <cellStyle name="Normal 2 2 8 3 2 2 3 2" xfId="31824" xr:uid="{00000000-0005-0000-0000-00004F380000}"/>
    <cellStyle name="Normal 2 2 8 3 2 2 4" xfId="22794" xr:uid="{00000000-0005-0000-0000-000050380000}"/>
    <cellStyle name="Normal 2 2 8 3 2 3" xfId="4236" xr:uid="{00000000-0005-0000-0000-000051380000}"/>
    <cellStyle name="Normal 2 2 8 3 2 3 2" xfId="8718" xr:uid="{00000000-0005-0000-0000-000052380000}"/>
    <cellStyle name="Normal 2 2 8 3 2 3 2 2" xfId="17748" xr:uid="{00000000-0005-0000-0000-000053380000}"/>
    <cellStyle name="Normal 2 2 8 3 2 3 2 2 2" xfId="37800" xr:uid="{00000000-0005-0000-0000-000054380000}"/>
    <cellStyle name="Normal 2 2 8 3 2 3 2 3" xfId="28770" xr:uid="{00000000-0005-0000-0000-000055380000}"/>
    <cellStyle name="Normal 2 2 8 3 2 3 3" xfId="13266" xr:uid="{00000000-0005-0000-0000-000056380000}"/>
    <cellStyle name="Normal 2 2 8 3 2 3 3 2" xfId="33318" xr:uid="{00000000-0005-0000-0000-000057380000}"/>
    <cellStyle name="Normal 2 2 8 3 2 3 4" xfId="24288" xr:uid="{00000000-0005-0000-0000-000058380000}"/>
    <cellStyle name="Normal 2 2 8 3 2 4" xfId="5730" xr:uid="{00000000-0005-0000-0000-000059380000}"/>
    <cellStyle name="Normal 2 2 8 3 2 4 2" xfId="14760" xr:uid="{00000000-0005-0000-0000-00005A380000}"/>
    <cellStyle name="Normal 2 2 8 3 2 4 2 2" xfId="34812" xr:uid="{00000000-0005-0000-0000-00005B380000}"/>
    <cellStyle name="Normal 2 2 8 3 2 4 3" xfId="25782" xr:uid="{00000000-0005-0000-0000-00005C380000}"/>
    <cellStyle name="Normal 2 2 8 3 2 5" xfId="10278" xr:uid="{00000000-0005-0000-0000-00005D380000}"/>
    <cellStyle name="Normal 2 2 8 3 2 5 2" xfId="30330" xr:uid="{00000000-0005-0000-0000-00005E380000}"/>
    <cellStyle name="Normal 2 2 8 3 2 6" xfId="21300" xr:uid="{00000000-0005-0000-0000-00005F380000}"/>
    <cellStyle name="Normal 2 2 8 3 3" xfId="1995" xr:uid="{00000000-0005-0000-0000-000060380000}"/>
    <cellStyle name="Normal 2 2 8 3 3 2" xfId="6477" xr:uid="{00000000-0005-0000-0000-000061380000}"/>
    <cellStyle name="Normal 2 2 8 3 3 2 2" xfId="15507" xr:uid="{00000000-0005-0000-0000-000062380000}"/>
    <cellStyle name="Normal 2 2 8 3 3 2 2 2" xfId="35559" xr:uid="{00000000-0005-0000-0000-000063380000}"/>
    <cellStyle name="Normal 2 2 8 3 3 2 3" xfId="26529" xr:uid="{00000000-0005-0000-0000-000064380000}"/>
    <cellStyle name="Normal 2 2 8 3 3 3" xfId="11025" xr:uid="{00000000-0005-0000-0000-000065380000}"/>
    <cellStyle name="Normal 2 2 8 3 3 3 2" xfId="31077" xr:uid="{00000000-0005-0000-0000-000066380000}"/>
    <cellStyle name="Normal 2 2 8 3 3 4" xfId="22047" xr:uid="{00000000-0005-0000-0000-000067380000}"/>
    <cellStyle name="Normal 2 2 8 3 4" xfId="3489" xr:uid="{00000000-0005-0000-0000-000068380000}"/>
    <cellStyle name="Normal 2 2 8 3 4 2" xfId="7971" xr:uid="{00000000-0005-0000-0000-000069380000}"/>
    <cellStyle name="Normal 2 2 8 3 4 2 2" xfId="17001" xr:uid="{00000000-0005-0000-0000-00006A380000}"/>
    <cellStyle name="Normal 2 2 8 3 4 2 2 2" xfId="37053" xr:uid="{00000000-0005-0000-0000-00006B380000}"/>
    <cellStyle name="Normal 2 2 8 3 4 2 3" xfId="28023" xr:uid="{00000000-0005-0000-0000-00006C380000}"/>
    <cellStyle name="Normal 2 2 8 3 4 3" xfId="12519" xr:uid="{00000000-0005-0000-0000-00006D380000}"/>
    <cellStyle name="Normal 2 2 8 3 4 3 2" xfId="32571" xr:uid="{00000000-0005-0000-0000-00006E380000}"/>
    <cellStyle name="Normal 2 2 8 3 4 4" xfId="23541" xr:uid="{00000000-0005-0000-0000-00006F380000}"/>
    <cellStyle name="Normal 2 2 8 3 5" xfId="4983" xr:uid="{00000000-0005-0000-0000-000070380000}"/>
    <cellStyle name="Normal 2 2 8 3 5 2" xfId="14013" xr:uid="{00000000-0005-0000-0000-000071380000}"/>
    <cellStyle name="Normal 2 2 8 3 5 2 2" xfId="34065" xr:uid="{00000000-0005-0000-0000-000072380000}"/>
    <cellStyle name="Normal 2 2 8 3 5 3" xfId="25035" xr:uid="{00000000-0005-0000-0000-000073380000}"/>
    <cellStyle name="Normal 2 2 8 3 6" xfId="9531" xr:uid="{00000000-0005-0000-0000-000074380000}"/>
    <cellStyle name="Normal 2 2 8 3 6 2" xfId="29583" xr:uid="{00000000-0005-0000-0000-000075380000}"/>
    <cellStyle name="Normal 2 2 8 3 7" xfId="20553" xr:uid="{00000000-0005-0000-0000-000076380000}"/>
    <cellStyle name="Normal 2 2 8 4" xfId="687" xr:uid="{00000000-0005-0000-0000-000077380000}"/>
    <cellStyle name="Normal 2 2 8 4 2" xfId="1434" xr:uid="{00000000-0005-0000-0000-000078380000}"/>
    <cellStyle name="Normal 2 2 8 4 2 2" xfId="2928" xr:uid="{00000000-0005-0000-0000-000079380000}"/>
    <cellStyle name="Normal 2 2 8 4 2 2 2" xfId="7410" xr:uid="{00000000-0005-0000-0000-00007A380000}"/>
    <cellStyle name="Normal 2 2 8 4 2 2 2 2" xfId="16440" xr:uid="{00000000-0005-0000-0000-00007B380000}"/>
    <cellStyle name="Normal 2 2 8 4 2 2 2 2 2" xfId="36492" xr:uid="{00000000-0005-0000-0000-00007C380000}"/>
    <cellStyle name="Normal 2 2 8 4 2 2 2 3" xfId="27462" xr:uid="{00000000-0005-0000-0000-00007D380000}"/>
    <cellStyle name="Normal 2 2 8 4 2 2 3" xfId="11958" xr:uid="{00000000-0005-0000-0000-00007E380000}"/>
    <cellStyle name="Normal 2 2 8 4 2 2 3 2" xfId="32010" xr:uid="{00000000-0005-0000-0000-00007F380000}"/>
    <cellStyle name="Normal 2 2 8 4 2 2 4" xfId="22980" xr:uid="{00000000-0005-0000-0000-000080380000}"/>
    <cellStyle name="Normal 2 2 8 4 2 3" xfId="4422" xr:uid="{00000000-0005-0000-0000-000081380000}"/>
    <cellStyle name="Normal 2 2 8 4 2 3 2" xfId="8904" xr:uid="{00000000-0005-0000-0000-000082380000}"/>
    <cellStyle name="Normal 2 2 8 4 2 3 2 2" xfId="17934" xr:uid="{00000000-0005-0000-0000-000083380000}"/>
    <cellStyle name="Normal 2 2 8 4 2 3 2 2 2" xfId="37986" xr:uid="{00000000-0005-0000-0000-000084380000}"/>
    <cellStyle name="Normal 2 2 8 4 2 3 2 3" xfId="28956" xr:uid="{00000000-0005-0000-0000-000085380000}"/>
    <cellStyle name="Normal 2 2 8 4 2 3 3" xfId="13452" xr:uid="{00000000-0005-0000-0000-000086380000}"/>
    <cellStyle name="Normal 2 2 8 4 2 3 3 2" xfId="33504" xr:uid="{00000000-0005-0000-0000-000087380000}"/>
    <cellStyle name="Normal 2 2 8 4 2 3 4" xfId="24474" xr:uid="{00000000-0005-0000-0000-000088380000}"/>
    <cellStyle name="Normal 2 2 8 4 2 4" xfId="5916" xr:uid="{00000000-0005-0000-0000-000089380000}"/>
    <cellStyle name="Normal 2 2 8 4 2 4 2" xfId="14946" xr:uid="{00000000-0005-0000-0000-00008A380000}"/>
    <cellStyle name="Normal 2 2 8 4 2 4 2 2" xfId="34998" xr:uid="{00000000-0005-0000-0000-00008B380000}"/>
    <cellStyle name="Normal 2 2 8 4 2 4 3" xfId="25968" xr:uid="{00000000-0005-0000-0000-00008C380000}"/>
    <cellStyle name="Normal 2 2 8 4 2 5" xfId="10464" xr:uid="{00000000-0005-0000-0000-00008D380000}"/>
    <cellStyle name="Normal 2 2 8 4 2 5 2" xfId="30516" xr:uid="{00000000-0005-0000-0000-00008E380000}"/>
    <cellStyle name="Normal 2 2 8 4 2 6" xfId="21486" xr:uid="{00000000-0005-0000-0000-00008F380000}"/>
    <cellStyle name="Normal 2 2 8 4 3" xfId="2181" xr:uid="{00000000-0005-0000-0000-000090380000}"/>
    <cellStyle name="Normal 2 2 8 4 3 2" xfId="6663" xr:uid="{00000000-0005-0000-0000-000091380000}"/>
    <cellStyle name="Normal 2 2 8 4 3 2 2" xfId="15693" xr:uid="{00000000-0005-0000-0000-000092380000}"/>
    <cellStyle name="Normal 2 2 8 4 3 2 2 2" xfId="35745" xr:uid="{00000000-0005-0000-0000-000093380000}"/>
    <cellStyle name="Normal 2 2 8 4 3 2 3" xfId="26715" xr:uid="{00000000-0005-0000-0000-000094380000}"/>
    <cellStyle name="Normal 2 2 8 4 3 3" xfId="11211" xr:uid="{00000000-0005-0000-0000-000095380000}"/>
    <cellStyle name="Normal 2 2 8 4 3 3 2" xfId="31263" xr:uid="{00000000-0005-0000-0000-000096380000}"/>
    <cellStyle name="Normal 2 2 8 4 3 4" xfId="22233" xr:uid="{00000000-0005-0000-0000-000097380000}"/>
    <cellStyle name="Normal 2 2 8 4 4" xfId="3675" xr:uid="{00000000-0005-0000-0000-000098380000}"/>
    <cellStyle name="Normal 2 2 8 4 4 2" xfId="8157" xr:uid="{00000000-0005-0000-0000-000099380000}"/>
    <cellStyle name="Normal 2 2 8 4 4 2 2" xfId="17187" xr:uid="{00000000-0005-0000-0000-00009A380000}"/>
    <cellStyle name="Normal 2 2 8 4 4 2 2 2" xfId="37239" xr:uid="{00000000-0005-0000-0000-00009B380000}"/>
    <cellStyle name="Normal 2 2 8 4 4 2 3" xfId="28209" xr:uid="{00000000-0005-0000-0000-00009C380000}"/>
    <cellStyle name="Normal 2 2 8 4 4 3" xfId="12705" xr:uid="{00000000-0005-0000-0000-00009D380000}"/>
    <cellStyle name="Normal 2 2 8 4 4 3 2" xfId="32757" xr:uid="{00000000-0005-0000-0000-00009E380000}"/>
    <cellStyle name="Normal 2 2 8 4 4 4" xfId="23727" xr:uid="{00000000-0005-0000-0000-00009F380000}"/>
    <cellStyle name="Normal 2 2 8 4 5" xfId="5169" xr:uid="{00000000-0005-0000-0000-0000A0380000}"/>
    <cellStyle name="Normal 2 2 8 4 5 2" xfId="14199" xr:uid="{00000000-0005-0000-0000-0000A1380000}"/>
    <cellStyle name="Normal 2 2 8 4 5 2 2" xfId="34251" xr:uid="{00000000-0005-0000-0000-0000A2380000}"/>
    <cellStyle name="Normal 2 2 8 4 5 3" xfId="25221" xr:uid="{00000000-0005-0000-0000-0000A3380000}"/>
    <cellStyle name="Normal 2 2 8 4 6" xfId="9717" xr:uid="{00000000-0005-0000-0000-0000A4380000}"/>
    <cellStyle name="Normal 2 2 8 4 6 2" xfId="29769" xr:uid="{00000000-0005-0000-0000-0000A5380000}"/>
    <cellStyle name="Normal 2 2 8 4 7" xfId="20739" xr:uid="{00000000-0005-0000-0000-0000A6380000}"/>
    <cellStyle name="Normal 2 2 8 5" xfId="874" xr:uid="{00000000-0005-0000-0000-0000A7380000}"/>
    <cellStyle name="Normal 2 2 8 5 2" xfId="2368" xr:uid="{00000000-0005-0000-0000-0000A8380000}"/>
    <cellStyle name="Normal 2 2 8 5 2 2" xfId="6850" xr:uid="{00000000-0005-0000-0000-0000A9380000}"/>
    <cellStyle name="Normal 2 2 8 5 2 2 2" xfId="15880" xr:uid="{00000000-0005-0000-0000-0000AA380000}"/>
    <cellStyle name="Normal 2 2 8 5 2 2 2 2" xfId="35932" xr:uid="{00000000-0005-0000-0000-0000AB380000}"/>
    <cellStyle name="Normal 2 2 8 5 2 2 3" xfId="26902" xr:uid="{00000000-0005-0000-0000-0000AC380000}"/>
    <cellStyle name="Normal 2 2 8 5 2 3" xfId="11398" xr:uid="{00000000-0005-0000-0000-0000AD380000}"/>
    <cellStyle name="Normal 2 2 8 5 2 3 2" xfId="31450" xr:uid="{00000000-0005-0000-0000-0000AE380000}"/>
    <cellStyle name="Normal 2 2 8 5 2 4" xfId="22420" xr:uid="{00000000-0005-0000-0000-0000AF380000}"/>
    <cellStyle name="Normal 2 2 8 5 3" xfId="3862" xr:uid="{00000000-0005-0000-0000-0000B0380000}"/>
    <cellStyle name="Normal 2 2 8 5 3 2" xfId="8344" xr:uid="{00000000-0005-0000-0000-0000B1380000}"/>
    <cellStyle name="Normal 2 2 8 5 3 2 2" xfId="17374" xr:uid="{00000000-0005-0000-0000-0000B2380000}"/>
    <cellStyle name="Normal 2 2 8 5 3 2 2 2" xfId="37426" xr:uid="{00000000-0005-0000-0000-0000B3380000}"/>
    <cellStyle name="Normal 2 2 8 5 3 2 3" xfId="28396" xr:uid="{00000000-0005-0000-0000-0000B4380000}"/>
    <cellStyle name="Normal 2 2 8 5 3 3" xfId="12892" xr:uid="{00000000-0005-0000-0000-0000B5380000}"/>
    <cellStyle name="Normal 2 2 8 5 3 3 2" xfId="32944" xr:uid="{00000000-0005-0000-0000-0000B6380000}"/>
    <cellStyle name="Normal 2 2 8 5 3 4" xfId="23914" xr:uid="{00000000-0005-0000-0000-0000B7380000}"/>
    <cellStyle name="Normal 2 2 8 5 4" xfId="5356" xr:uid="{00000000-0005-0000-0000-0000B8380000}"/>
    <cellStyle name="Normal 2 2 8 5 4 2" xfId="14386" xr:uid="{00000000-0005-0000-0000-0000B9380000}"/>
    <cellStyle name="Normal 2 2 8 5 4 2 2" xfId="34438" xr:uid="{00000000-0005-0000-0000-0000BA380000}"/>
    <cellStyle name="Normal 2 2 8 5 4 3" xfId="25408" xr:uid="{00000000-0005-0000-0000-0000BB380000}"/>
    <cellStyle name="Normal 2 2 8 5 5" xfId="9904" xr:uid="{00000000-0005-0000-0000-0000BC380000}"/>
    <cellStyle name="Normal 2 2 8 5 5 2" xfId="29956" xr:uid="{00000000-0005-0000-0000-0000BD380000}"/>
    <cellStyle name="Normal 2 2 8 5 6" xfId="20926" xr:uid="{00000000-0005-0000-0000-0000BE380000}"/>
    <cellStyle name="Normal 2 2 8 6" xfId="1623" xr:uid="{00000000-0005-0000-0000-0000BF380000}"/>
    <cellStyle name="Normal 2 2 8 6 2" xfId="6105" xr:uid="{00000000-0005-0000-0000-0000C0380000}"/>
    <cellStyle name="Normal 2 2 8 6 2 2" xfId="15135" xr:uid="{00000000-0005-0000-0000-0000C1380000}"/>
    <cellStyle name="Normal 2 2 8 6 2 2 2" xfId="35187" xr:uid="{00000000-0005-0000-0000-0000C2380000}"/>
    <cellStyle name="Normal 2 2 8 6 2 3" xfId="26157" xr:uid="{00000000-0005-0000-0000-0000C3380000}"/>
    <cellStyle name="Normal 2 2 8 6 3" xfId="10653" xr:uid="{00000000-0005-0000-0000-0000C4380000}"/>
    <cellStyle name="Normal 2 2 8 6 3 2" xfId="30705" xr:uid="{00000000-0005-0000-0000-0000C5380000}"/>
    <cellStyle name="Normal 2 2 8 6 4" xfId="21675" xr:uid="{00000000-0005-0000-0000-0000C6380000}"/>
    <cellStyle name="Normal 2 2 8 7" xfId="3117" xr:uid="{00000000-0005-0000-0000-0000C7380000}"/>
    <cellStyle name="Normal 2 2 8 7 2" xfId="7599" xr:uid="{00000000-0005-0000-0000-0000C8380000}"/>
    <cellStyle name="Normal 2 2 8 7 2 2" xfId="16629" xr:uid="{00000000-0005-0000-0000-0000C9380000}"/>
    <cellStyle name="Normal 2 2 8 7 2 2 2" xfId="36681" xr:uid="{00000000-0005-0000-0000-0000CA380000}"/>
    <cellStyle name="Normal 2 2 8 7 2 3" xfId="27651" xr:uid="{00000000-0005-0000-0000-0000CB380000}"/>
    <cellStyle name="Normal 2 2 8 7 3" xfId="12147" xr:uid="{00000000-0005-0000-0000-0000CC380000}"/>
    <cellStyle name="Normal 2 2 8 7 3 2" xfId="32199" xr:uid="{00000000-0005-0000-0000-0000CD380000}"/>
    <cellStyle name="Normal 2 2 8 7 4" xfId="23169" xr:uid="{00000000-0005-0000-0000-0000CE380000}"/>
    <cellStyle name="Normal 2 2 8 8" xfId="4611" xr:uid="{00000000-0005-0000-0000-0000CF380000}"/>
    <cellStyle name="Normal 2 2 8 8 2" xfId="13641" xr:uid="{00000000-0005-0000-0000-0000D0380000}"/>
    <cellStyle name="Normal 2 2 8 8 2 2" xfId="33693" xr:uid="{00000000-0005-0000-0000-0000D1380000}"/>
    <cellStyle name="Normal 2 2 8 8 3" xfId="24663" xr:uid="{00000000-0005-0000-0000-0000D2380000}"/>
    <cellStyle name="Normal 2 2 8 9" xfId="9159" xr:uid="{00000000-0005-0000-0000-0000D3380000}"/>
    <cellStyle name="Normal 2 2 8 9 2" xfId="29211" xr:uid="{00000000-0005-0000-0000-0000D4380000}"/>
    <cellStyle name="Normal 2 2 9" xfId="152" xr:uid="{00000000-0005-0000-0000-0000D5380000}"/>
    <cellStyle name="Normal 2 2 9 10" xfId="20204" xr:uid="{00000000-0005-0000-0000-0000D6380000}"/>
    <cellStyle name="Normal 2 2 9 2" xfId="338" xr:uid="{00000000-0005-0000-0000-0000D7380000}"/>
    <cellStyle name="Normal 2 2 9 2 2" xfId="1081" xr:uid="{00000000-0005-0000-0000-0000D8380000}"/>
    <cellStyle name="Normal 2 2 9 2 2 2" xfId="2575" xr:uid="{00000000-0005-0000-0000-0000D9380000}"/>
    <cellStyle name="Normal 2 2 9 2 2 2 2" xfId="7057" xr:uid="{00000000-0005-0000-0000-0000DA380000}"/>
    <cellStyle name="Normal 2 2 9 2 2 2 2 2" xfId="16087" xr:uid="{00000000-0005-0000-0000-0000DB380000}"/>
    <cellStyle name="Normal 2 2 9 2 2 2 2 2 2" xfId="36139" xr:uid="{00000000-0005-0000-0000-0000DC380000}"/>
    <cellStyle name="Normal 2 2 9 2 2 2 2 3" xfId="27109" xr:uid="{00000000-0005-0000-0000-0000DD380000}"/>
    <cellStyle name="Normal 2 2 9 2 2 2 3" xfId="11605" xr:uid="{00000000-0005-0000-0000-0000DE380000}"/>
    <cellStyle name="Normal 2 2 9 2 2 2 3 2" xfId="31657" xr:uid="{00000000-0005-0000-0000-0000DF380000}"/>
    <cellStyle name="Normal 2 2 9 2 2 2 4" xfId="22627" xr:uid="{00000000-0005-0000-0000-0000E0380000}"/>
    <cellStyle name="Normal 2 2 9 2 2 3" xfId="4069" xr:uid="{00000000-0005-0000-0000-0000E1380000}"/>
    <cellStyle name="Normal 2 2 9 2 2 3 2" xfId="8551" xr:uid="{00000000-0005-0000-0000-0000E2380000}"/>
    <cellStyle name="Normal 2 2 9 2 2 3 2 2" xfId="17581" xr:uid="{00000000-0005-0000-0000-0000E3380000}"/>
    <cellStyle name="Normal 2 2 9 2 2 3 2 2 2" xfId="37633" xr:uid="{00000000-0005-0000-0000-0000E4380000}"/>
    <cellStyle name="Normal 2 2 9 2 2 3 2 3" xfId="28603" xr:uid="{00000000-0005-0000-0000-0000E5380000}"/>
    <cellStyle name="Normal 2 2 9 2 2 3 3" xfId="13099" xr:uid="{00000000-0005-0000-0000-0000E6380000}"/>
    <cellStyle name="Normal 2 2 9 2 2 3 3 2" xfId="33151" xr:uid="{00000000-0005-0000-0000-0000E7380000}"/>
    <cellStyle name="Normal 2 2 9 2 2 3 4" xfId="24121" xr:uid="{00000000-0005-0000-0000-0000E8380000}"/>
    <cellStyle name="Normal 2 2 9 2 2 4" xfId="5563" xr:uid="{00000000-0005-0000-0000-0000E9380000}"/>
    <cellStyle name="Normal 2 2 9 2 2 4 2" xfId="14593" xr:uid="{00000000-0005-0000-0000-0000EA380000}"/>
    <cellStyle name="Normal 2 2 9 2 2 4 2 2" xfId="34645" xr:uid="{00000000-0005-0000-0000-0000EB380000}"/>
    <cellStyle name="Normal 2 2 9 2 2 4 3" xfId="25615" xr:uid="{00000000-0005-0000-0000-0000EC380000}"/>
    <cellStyle name="Normal 2 2 9 2 2 5" xfId="10111" xr:uid="{00000000-0005-0000-0000-0000ED380000}"/>
    <cellStyle name="Normal 2 2 9 2 2 5 2" xfId="30163" xr:uid="{00000000-0005-0000-0000-0000EE380000}"/>
    <cellStyle name="Normal 2 2 9 2 2 6" xfId="21133" xr:uid="{00000000-0005-0000-0000-0000EF380000}"/>
    <cellStyle name="Normal 2 2 9 2 3" xfId="1832" xr:uid="{00000000-0005-0000-0000-0000F0380000}"/>
    <cellStyle name="Normal 2 2 9 2 3 2" xfId="6314" xr:uid="{00000000-0005-0000-0000-0000F1380000}"/>
    <cellStyle name="Normal 2 2 9 2 3 2 2" xfId="15344" xr:uid="{00000000-0005-0000-0000-0000F2380000}"/>
    <cellStyle name="Normal 2 2 9 2 3 2 2 2" xfId="35396" xr:uid="{00000000-0005-0000-0000-0000F3380000}"/>
    <cellStyle name="Normal 2 2 9 2 3 2 3" xfId="26366" xr:uid="{00000000-0005-0000-0000-0000F4380000}"/>
    <cellStyle name="Normal 2 2 9 2 3 3" xfId="10862" xr:uid="{00000000-0005-0000-0000-0000F5380000}"/>
    <cellStyle name="Normal 2 2 9 2 3 3 2" xfId="30914" xr:uid="{00000000-0005-0000-0000-0000F6380000}"/>
    <cellStyle name="Normal 2 2 9 2 3 4" xfId="21884" xr:uid="{00000000-0005-0000-0000-0000F7380000}"/>
    <cellStyle name="Normal 2 2 9 2 4" xfId="3326" xr:uid="{00000000-0005-0000-0000-0000F8380000}"/>
    <cellStyle name="Normal 2 2 9 2 4 2" xfId="7808" xr:uid="{00000000-0005-0000-0000-0000F9380000}"/>
    <cellStyle name="Normal 2 2 9 2 4 2 2" xfId="16838" xr:uid="{00000000-0005-0000-0000-0000FA380000}"/>
    <cellStyle name="Normal 2 2 9 2 4 2 2 2" xfId="36890" xr:uid="{00000000-0005-0000-0000-0000FB380000}"/>
    <cellStyle name="Normal 2 2 9 2 4 2 3" xfId="27860" xr:uid="{00000000-0005-0000-0000-0000FC380000}"/>
    <cellStyle name="Normal 2 2 9 2 4 3" xfId="12356" xr:uid="{00000000-0005-0000-0000-0000FD380000}"/>
    <cellStyle name="Normal 2 2 9 2 4 3 2" xfId="32408" xr:uid="{00000000-0005-0000-0000-0000FE380000}"/>
    <cellStyle name="Normal 2 2 9 2 4 4" xfId="23378" xr:uid="{00000000-0005-0000-0000-0000FF380000}"/>
    <cellStyle name="Normal 2 2 9 2 5" xfId="4820" xr:uid="{00000000-0005-0000-0000-000000390000}"/>
    <cellStyle name="Normal 2 2 9 2 5 2" xfId="13850" xr:uid="{00000000-0005-0000-0000-000001390000}"/>
    <cellStyle name="Normal 2 2 9 2 5 2 2" xfId="33902" xr:uid="{00000000-0005-0000-0000-000002390000}"/>
    <cellStyle name="Normal 2 2 9 2 5 3" xfId="24872" xr:uid="{00000000-0005-0000-0000-000003390000}"/>
    <cellStyle name="Normal 2 2 9 2 6" xfId="9368" xr:uid="{00000000-0005-0000-0000-000004390000}"/>
    <cellStyle name="Normal 2 2 9 2 6 2" xfId="29420" xr:uid="{00000000-0005-0000-0000-000005390000}"/>
    <cellStyle name="Normal 2 2 9 2 7" xfId="20390" xr:uid="{00000000-0005-0000-0000-000006390000}"/>
    <cellStyle name="Normal 2 2 9 3" xfId="524" xr:uid="{00000000-0005-0000-0000-000007390000}"/>
    <cellStyle name="Normal 2 2 9 3 2" xfId="1271" xr:uid="{00000000-0005-0000-0000-000008390000}"/>
    <cellStyle name="Normal 2 2 9 3 2 2" xfId="2765" xr:uid="{00000000-0005-0000-0000-000009390000}"/>
    <cellStyle name="Normal 2 2 9 3 2 2 2" xfId="7247" xr:uid="{00000000-0005-0000-0000-00000A390000}"/>
    <cellStyle name="Normal 2 2 9 3 2 2 2 2" xfId="16277" xr:uid="{00000000-0005-0000-0000-00000B390000}"/>
    <cellStyle name="Normal 2 2 9 3 2 2 2 2 2" xfId="36329" xr:uid="{00000000-0005-0000-0000-00000C390000}"/>
    <cellStyle name="Normal 2 2 9 3 2 2 2 3" xfId="27299" xr:uid="{00000000-0005-0000-0000-00000D390000}"/>
    <cellStyle name="Normal 2 2 9 3 2 2 3" xfId="11795" xr:uid="{00000000-0005-0000-0000-00000E390000}"/>
    <cellStyle name="Normal 2 2 9 3 2 2 3 2" xfId="31847" xr:uid="{00000000-0005-0000-0000-00000F390000}"/>
    <cellStyle name="Normal 2 2 9 3 2 2 4" xfId="22817" xr:uid="{00000000-0005-0000-0000-000010390000}"/>
    <cellStyle name="Normal 2 2 9 3 2 3" xfId="4259" xr:uid="{00000000-0005-0000-0000-000011390000}"/>
    <cellStyle name="Normal 2 2 9 3 2 3 2" xfId="8741" xr:uid="{00000000-0005-0000-0000-000012390000}"/>
    <cellStyle name="Normal 2 2 9 3 2 3 2 2" xfId="17771" xr:uid="{00000000-0005-0000-0000-000013390000}"/>
    <cellStyle name="Normal 2 2 9 3 2 3 2 2 2" xfId="37823" xr:uid="{00000000-0005-0000-0000-000014390000}"/>
    <cellStyle name="Normal 2 2 9 3 2 3 2 3" xfId="28793" xr:uid="{00000000-0005-0000-0000-000015390000}"/>
    <cellStyle name="Normal 2 2 9 3 2 3 3" xfId="13289" xr:uid="{00000000-0005-0000-0000-000016390000}"/>
    <cellStyle name="Normal 2 2 9 3 2 3 3 2" xfId="33341" xr:uid="{00000000-0005-0000-0000-000017390000}"/>
    <cellStyle name="Normal 2 2 9 3 2 3 4" xfId="24311" xr:uid="{00000000-0005-0000-0000-000018390000}"/>
    <cellStyle name="Normal 2 2 9 3 2 4" xfId="5753" xr:uid="{00000000-0005-0000-0000-000019390000}"/>
    <cellStyle name="Normal 2 2 9 3 2 4 2" xfId="14783" xr:uid="{00000000-0005-0000-0000-00001A390000}"/>
    <cellStyle name="Normal 2 2 9 3 2 4 2 2" xfId="34835" xr:uid="{00000000-0005-0000-0000-00001B390000}"/>
    <cellStyle name="Normal 2 2 9 3 2 4 3" xfId="25805" xr:uid="{00000000-0005-0000-0000-00001C390000}"/>
    <cellStyle name="Normal 2 2 9 3 2 5" xfId="10301" xr:uid="{00000000-0005-0000-0000-00001D390000}"/>
    <cellStyle name="Normal 2 2 9 3 2 5 2" xfId="30353" xr:uid="{00000000-0005-0000-0000-00001E390000}"/>
    <cellStyle name="Normal 2 2 9 3 2 6" xfId="21323" xr:uid="{00000000-0005-0000-0000-00001F390000}"/>
    <cellStyle name="Normal 2 2 9 3 3" xfId="2018" xr:uid="{00000000-0005-0000-0000-000020390000}"/>
    <cellStyle name="Normal 2 2 9 3 3 2" xfId="6500" xr:uid="{00000000-0005-0000-0000-000021390000}"/>
    <cellStyle name="Normal 2 2 9 3 3 2 2" xfId="15530" xr:uid="{00000000-0005-0000-0000-000022390000}"/>
    <cellStyle name="Normal 2 2 9 3 3 2 2 2" xfId="35582" xr:uid="{00000000-0005-0000-0000-000023390000}"/>
    <cellStyle name="Normal 2 2 9 3 3 2 3" xfId="26552" xr:uid="{00000000-0005-0000-0000-000024390000}"/>
    <cellStyle name="Normal 2 2 9 3 3 3" xfId="11048" xr:uid="{00000000-0005-0000-0000-000025390000}"/>
    <cellStyle name="Normal 2 2 9 3 3 3 2" xfId="31100" xr:uid="{00000000-0005-0000-0000-000026390000}"/>
    <cellStyle name="Normal 2 2 9 3 3 4" xfId="22070" xr:uid="{00000000-0005-0000-0000-000027390000}"/>
    <cellStyle name="Normal 2 2 9 3 4" xfId="3512" xr:uid="{00000000-0005-0000-0000-000028390000}"/>
    <cellStyle name="Normal 2 2 9 3 4 2" xfId="7994" xr:uid="{00000000-0005-0000-0000-000029390000}"/>
    <cellStyle name="Normal 2 2 9 3 4 2 2" xfId="17024" xr:uid="{00000000-0005-0000-0000-00002A390000}"/>
    <cellStyle name="Normal 2 2 9 3 4 2 2 2" xfId="37076" xr:uid="{00000000-0005-0000-0000-00002B390000}"/>
    <cellStyle name="Normal 2 2 9 3 4 2 3" xfId="28046" xr:uid="{00000000-0005-0000-0000-00002C390000}"/>
    <cellStyle name="Normal 2 2 9 3 4 3" xfId="12542" xr:uid="{00000000-0005-0000-0000-00002D390000}"/>
    <cellStyle name="Normal 2 2 9 3 4 3 2" xfId="32594" xr:uid="{00000000-0005-0000-0000-00002E390000}"/>
    <cellStyle name="Normal 2 2 9 3 4 4" xfId="23564" xr:uid="{00000000-0005-0000-0000-00002F390000}"/>
    <cellStyle name="Normal 2 2 9 3 5" xfId="5006" xr:uid="{00000000-0005-0000-0000-000030390000}"/>
    <cellStyle name="Normal 2 2 9 3 5 2" xfId="14036" xr:uid="{00000000-0005-0000-0000-000031390000}"/>
    <cellStyle name="Normal 2 2 9 3 5 2 2" xfId="34088" xr:uid="{00000000-0005-0000-0000-000032390000}"/>
    <cellStyle name="Normal 2 2 9 3 5 3" xfId="25058" xr:uid="{00000000-0005-0000-0000-000033390000}"/>
    <cellStyle name="Normal 2 2 9 3 6" xfId="9554" xr:uid="{00000000-0005-0000-0000-000034390000}"/>
    <cellStyle name="Normal 2 2 9 3 6 2" xfId="29606" xr:uid="{00000000-0005-0000-0000-000035390000}"/>
    <cellStyle name="Normal 2 2 9 3 7" xfId="20576" xr:uid="{00000000-0005-0000-0000-000036390000}"/>
    <cellStyle name="Normal 2 2 9 4" xfId="710" xr:uid="{00000000-0005-0000-0000-000037390000}"/>
    <cellStyle name="Normal 2 2 9 4 2" xfId="1457" xr:uid="{00000000-0005-0000-0000-000038390000}"/>
    <cellStyle name="Normal 2 2 9 4 2 2" xfId="2951" xr:uid="{00000000-0005-0000-0000-000039390000}"/>
    <cellStyle name="Normal 2 2 9 4 2 2 2" xfId="7433" xr:uid="{00000000-0005-0000-0000-00003A390000}"/>
    <cellStyle name="Normal 2 2 9 4 2 2 2 2" xfId="16463" xr:uid="{00000000-0005-0000-0000-00003B390000}"/>
    <cellStyle name="Normal 2 2 9 4 2 2 2 2 2" xfId="36515" xr:uid="{00000000-0005-0000-0000-00003C390000}"/>
    <cellStyle name="Normal 2 2 9 4 2 2 2 3" xfId="27485" xr:uid="{00000000-0005-0000-0000-00003D390000}"/>
    <cellStyle name="Normal 2 2 9 4 2 2 3" xfId="11981" xr:uid="{00000000-0005-0000-0000-00003E390000}"/>
    <cellStyle name="Normal 2 2 9 4 2 2 3 2" xfId="32033" xr:uid="{00000000-0005-0000-0000-00003F390000}"/>
    <cellStyle name="Normal 2 2 9 4 2 2 4" xfId="23003" xr:uid="{00000000-0005-0000-0000-000040390000}"/>
    <cellStyle name="Normal 2 2 9 4 2 3" xfId="4445" xr:uid="{00000000-0005-0000-0000-000041390000}"/>
    <cellStyle name="Normal 2 2 9 4 2 3 2" xfId="8927" xr:uid="{00000000-0005-0000-0000-000042390000}"/>
    <cellStyle name="Normal 2 2 9 4 2 3 2 2" xfId="17957" xr:uid="{00000000-0005-0000-0000-000043390000}"/>
    <cellStyle name="Normal 2 2 9 4 2 3 2 2 2" xfId="38009" xr:uid="{00000000-0005-0000-0000-000044390000}"/>
    <cellStyle name="Normal 2 2 9 4 2 3 2 3" xfId="28979" xr:uid="{00000000-0005-0000-0000-000045390000}"/>
    <cellStyle name="Normal 2 2 9 4 2 3 3" xfId="13475" xr:uid="{00000000-0005-0000-0000-000046390000}"/>
    <cellStyle name="Normal 2 2 9 4 2 3 3 2" xfId="33527" xr:uid="{00000000-0005-0000-0000-000047390000}"/>
    <cellStyle name="Normal 2 2 9 4 2 3 4" xfId="24497" xr:uid="{00000000-0005-0000-0000-000048390000}"/>
    <cellStyle name="Normal 2 2 9 4 2 4" xfId="5939" xr:uid="{00000000-0005-0000-0000-000049390000}"/>
    <cellStyle name="Normal 2 2 9 4 2 4 2" xfId="14969" xr:uid="{00000000-0005-0000-0000-00004A390000}"/>
    <cellStyle name="Normal 2 2 9 4 2 4 2 2" xfId="35021" xr:uid="{00000000-0005-0000-0000-00004B390000}"/>
    <cellStyle name="Normal 2 2 9 4 2 4 3" xfId="25991" xr:uid="{00000000-0005-0000-0000-00004C390000}"/>
    <cellStyle name="Normal 2 2 9 4 2 5" xfId="10487" xr:uid="{00000000-0005-0000-0000-00004D390000}"/>
    <cellStyle name="Normal 2 2 9 4 2 5 2" xfId="30539" xr:uid="{00000000-0005-0000-0000-00004E390000}"/>
    <cellStyle name="Normal 2 2 9 4 2 6" xfId="21509" xr:uid="{00000000-0005-0000-0000-00004F390000}"/>
    <cellStyle name="Normal 2 2 9 4 3" xfId="2204" xr:uid="{00000000-0005-0000-0000-000050390000}"/>
    <cellStyle name="Normal 2 2 9 4 3 2" xfId="6686" xr:uid="{00000000-0005-0000-0000-000051390000}"/>
    <cellStyle name="Normal 2 2 9 4 3 2 2" xfId="15716" xr:uid="{00000000-0005-0000-0000-000052390000}"/>
    <cellStyle name="Normal 2 2 9 4 3 2 2 2" xfId="35768" xr:uid="{00000000-0005-0000-0000-000053390000}"/>
    <cellStyle name="Normal 2 2 9 4 3 2 3" xfId="26738" xr:uid="{00000000-0005-0000-0000-000054390000}"/>
    <cellStyle name="Normal 2 2 9 4 3 3" xfId="11234" xr:uid="{00000000-0005-0000-0000-000055390000}"/>
    <cellStyle name="Normal 2 2 9 4 3 3 2" xfId="31286" xr:uid="{00000000-0005-0000-0000-000056390000}"/>
    <cellStyle name="Normal 2 2 9 4 3 4" xfId="22256" xr:uid="{00000000-0005-0000-0000-000057390000}"/>
    <cellStyle name="Normal 2 2 9 4 4" xfId="3698" xr:uid="{00000000-0005-0000-0000-000058390000}"/>
    <cellStyle name="Normal 2 2 9 4 4 2" xfId="8180" xr:uid="{00000000-0005-0000-0000-000059390000}"/>
    <cellStyle name="Normal 2 2 9 4 4 2 2" xfId="17210" xr:uid="{00000000-0005-0000-0000-00005A390000}"/>
    <cellStyle name="Normal 2 2 9 4 4 2 2 2" xfId="37262" xr:uid="{00000000-0005-0000-0000-00005B390000}"/>
    <cellStyle name="Normal 2 2 9 4 4 2 3" xfId="28232" xr:uid="{00000000-0005-0000-0000-00005C390000}"/>
    <cellStyle name="Normal 2 2 9 4 4 3" xfId="12728" xr:uid="{00000000-0005-0000-0000-00005D390000}"/>
    <cellStyle name="Normal 2 2 9 4 4 3 2" xfId="32780" xr:uid="{00000000-0005-0000-0000-00005E390000}"/>
    <cellStyle name="Normal 2 2 9 4 4 4" xfId="23750" xr:uid="{00000000-0005-0000-0000-00005F390000}"/>
    <cellStyle name="Normal 2 2 9 4 5" xfId="5192" xr:uid="{00000000-0005-0000-0000-000060390000}"/>
    <cellStyle name="Normal 2 2 9 4 5 2" xfId="14222" xr:uid="{00000000-0005-0000-0000-000061390000}"/>
    <cellStyle name="Normal 2 2 9 4 5 2 2" xfId="34274" xr:uid="{00000000-0005-0000-0000-000062390000}"/>
    <cellStyle name="Normal 2 2 9 4 5 3" xfId="25244" xr:uid="{00000000-0005-0000-0000-000063390000}"/>
    <cellStyle name="Normal 2 2 9 4 6" xfId="9740" xr:uid="{00000000-0005-0000-0000-000064390000}"/>
    <cellStyle name="Normal 2 2 9 4 6 2" xfId="29792" xr:uid="{00000000-0005-0000-0000-000065390000}"/>
    <cellStyle name="Normal 2 2 9 4 7" xfId="20762" xr:uid="{00000000-0005-0000-0000-000066390000}"/>
    <cellStyle name="Normal 2 2 9 5" xfId="897" xr:uid="{00000000-0005-0000-0000-000067390000}"/>
    <cellStyle name="Normal 2 2 9 5 2" xfId="2391" xr:uid="{00000000-0005-0000-0000-000068390000}"/>
    <cellStyle name="Normal 2 2 9 5 2 2" xfId="6873" xr:uid="{00000000-0005-0000-0000-000069390000}"/>
    <cellStyle name="Normal 2 2 9 5 2 2 2" xfId="15903" xr:uid="{00000000-0005-0000-0000-00006A390000}"/>
    <cellStyle name="Normal 2 2 9 5 2 2 2 2" xfId="35955" xr:uid="{00000000-0005-0000-0000-00006B390000}"/>
    <cellStyle name="Normal 2 2 9 5 2 2 3" xfId="26925" xr:uid="{00000000-0005-0000-0000-00006C390000}"/>
    <cellStyle name="Normal 2 2 9 5 2 3" xfId="11421" xr:uid="{00000000-0005-0000-0000-00006D390000}"/>
    <cellStyle name="Normal 2 2 9 5 2 3 2" xfId="31473" xr:uid="{00000000-0005-0000-0000-00006E390000}"/>
    <cellStyle name="Normal 2 2 9 5 2 4" xfId="22443" xr:uid="{00000000-0005-0000-0000-00006F390000}"/>
    <cellStyle name="Normal 2 2 9 5 3" xfId="3885" xr:uid="{00000000-0005-0000-0000-000070390000}"/>
    <cellStyle name="Normal 2 2 9 5 3 2" xfId="8367" xr:uid="{00000000-0005-0000-0000-000071390000}"/>
    <cellStyle name="Normal 2 2 9 5 3 2 2" xfId="17397" xr:uid="{00000000-0005-0000-0000-000072390000}"/>
    <cellStyle name="Normal 2 2 9 5 3 2 2 2" xfId="37449" xr:uid="{00000000-0005-0000-0000-000073390000}"/>
    <cellStyle name="Normal 2 2 9 5 3 2 3" xfId="28419" xr:uid="{00000000-0005-0000-0000-000074390000}"/>
    <cellStyle name="Normal 2 2 9 5 3 3" xfId="12915" xr:uid="{00000000-0005-0000-0000-000075390000}"/>
    <cellStyle name="Normal 2 2 9 5 3 3 2" xfId="32967" xr:uid="{00000000-0005-0000-0000-000076390000}"/>
    <cellStyle name="Normal 2 2 9 5 3 4" xfId="23937" xr:uid="{00000000-0005-0000-0000-000077390000}"/>
    <cellStyle name="Normal 2 2 9 5 4" xfId="5379" xr:uid="{00000000-0005-0000-0000-000078390000}"/>
    <cellStyle name="Normal 2 2 9 5 4 2" xfId="14409" xr:uid="{00000000-0005-0000-0000-000079390000}"/>
    <cellStyle name="Normal 2 2 9 5 4 2 2" xfId="34461" xr:uid="{00000000-0005-0000-0000-00007A390000}"/>
    <cellStyle name="Normal 2 2 9 5 4 3" xfId="25431" xr:uid="{00000000-0005-0000-0000-00007B390000}"/>
    <cellStyle name="Normal 2 2 9 5 5" xfId="9927" xr:uid="{00000000-0005-0000-0000-00007C390000}"/>
    <cellStyle name="Normal 2 2 9 5 5 2" xfId="29979" xr:uid="{00000000-0005-0000-0000-00007D390000}"/>
    <cellStyle name="Normal 2 2 9 5 6" xfId="20949" xr:uid="{00000000-0005-0000-0000-00007E390000}"/>
    <cellStyle name="Normal 2 2 9 6" xfId="1646" xr:uid="{00000000-0005-0000-0000-00007F390000}"/>
    <cellStyle name="Normal 2 2 9 6 2" xfId="6128" xr:uid="{00000000-0005-0000-0000-000080390000}"/>
    <cellStyle name="Normal 2 2 9 6 2 2" xfId="15158" xr:uid="{00000000-0005-0000-0000-000081390000}"/>
    <cellStyle name="Normal 2 2 9 6 2 2 2" xfId="35210" xr:uid="{00000000-0005-0000-0000-000082390000}"/>
    <cellStyle name="Normal 2 2 9 6 2 3" xfId="26180" xr:uid="{00000000-0005-0000-0000-000083390000}"/>
    <cellStyle name="Normal 2 2 9 6 3" xfId="10676" xr:uid="{00000000-0005-0000-0000-000084390000}"/>
    <cellStyle name="Normal 2 2 9 6 3 2" xfId="30728" xr:uid="{00000000-0005-0000-0000-000085390000}"/>
    <cellStyle name="Normal 2 2 9 6 4" xfId="21698" xr:uid="{00000000-0005-0000-0000-000086390000}"/>
    <cellStyle name="Normal 2 2 9 7" xfId="3140" xr:uid="{00000000-0005-0000-0000-000087390000}"/>
    <cellStyle name="Normal 2 2 9 7 2" xfId="7622" xr:uid="{00000000-0005-0000-0000-000088390000}"/>
    <cellStyle name="Normal 2 2 9 7 2 2" xfId="16652" xr:uid="{00000000-0005-0000-0000-000089390000}"/>
    <cellStyle name="Normal 2 2 9 7 2 2 2" xfId="36704" xr:uid="{00000000-0005-0000-0000-00008A390000}"/>
    <cellStyle name="Normal 2 2 9 7 2 3" xfId="27674" xr:uid="{00000000-0005-0000-0000-00008B390000}"/>
    <cellStyle name="Normal 2 2 9 7 3" xfId="12170" xr:uid="{00000000-0005-0000-0000-00008C390000}"/>
    <cellStyle name="Normal 2 2 9 7 3 2" xfId="32222" xr:uid="{00000000-0005-0000-0000-00008D390000}"/>
    <cellStyle name="Normal 2 2 9 7 4" xfId="23192" xr:uid="{00000000-0005-0000-0000-00008E390000}"/>
    <cellStyle name="Normal 2 2 9 8" xfId="4634" xr:uid="{00000000-0005-0000-0000-00008F390000}"/>
    <cellStyle name="Normal 2 2 9 8 2" xfId="13664" xr:uid="{00000000-0005-0000-0000-000090390000}"/>
    <cellStyle name="Normal 2 2 9 8 2 2" xfId="33716" xr:uid="{00000000-0005-0000-0000-000091390000}"/>
    <cellStyle name="Normal 2 2 9 8 3" xfId="24686" xr:uid="{00000000-0005-0000-0000-000092390000}"/>
    <cellStyle name="Normal 2 2 9 9" xfId="9182" xr:uid="{00000000-0005-0000-0000-000093390000}"/>
    <cellStyle name="Normal 2 2 9 9 2" xfId="29234" xr:uid="{00000000-0005-0000-0000-000094390000}"/>
    <cellStyle name="Normal 2 20" xfId="9040" xr:uid="{00000000-0005-0000-0000-000095390000}"/>
    <cellStyle name="Normal 2 20 2" xfId="29092" xr:uid="{00000000-0005-0000-0000-000096390000}"/>
    <cellStyle name="Normal 2 21" xfId="20053" xr:uid="{00000000-0005-0000-0000-000097390000}"/>
    <cellStyle name="Normal 2 21 2" xfId="40101" xr:uid="{00000000-0005-0000-0000-000098390000}"/>
    <cellStyle name="Normal 2 22" xfId="20059" xr:uid="{00000000-0005-0000-0000-000099390000}"/>
    <cellStyle name="Normal 2 3" xfId="16" xr:uid="{00000000-0005-0000-0000-00009A390000}"/>
    <cellStyle name="Normal 2 3 10" xfId="201" xr:uid="{00000000-0005-0000-0000-00009B390000}"/>
    <cellStyle name="Normal 2 3 10 2" xfId="946" xr:uid="{00000000-0005-0000-0000-00009C390000}"/>
    <cellStyle name="Normal 2 3 10 2 2" xfId="2440" xr:uid="{00000000-0005-0000-0000-00009D390000}"/>
    <cellStyle name="Normal 2 3 10 2 2 2" xfId="6922" xr:uid="{00000000-0005-0000-0000-00009E390000}"/>
    <cellStyle name="Normal 2 3 10 2 2 2 2" xfId="15952" xr:uid="{00000000-0005-0000-0000-00009F390000}"/>
    <cellStyle name="Normal 2 3 10 2 2 2 2 2" xfId="36004" xr:uid="{00000000-0005-0000-0000-0000A0390000}"/>
    <cellStyle name="Normal 2 3 10 2 2 2 3" xfId="26974" xr:uid="{00000000-0005-0000-0000-0000A1390000}"/>
    <cellStyle name="Normal 2 3 10 2 2 3" xfId="11470" xr:uid="{00000000-0005-0000-0000-0000A2390000}"/>
    <cellStyle name="Normal 2 3 10 2 2 3 2" xfId="31522" xr:uid="{00000000-0005-0000-0000-0000A3390000}"/>
    <cellStyle name="Normal 2 3 10 2 2 4" xfId="22492" xr:uid="{00000000-0005-0000-0000-0000A4390000}"/>
    <cellStyle name="Normal 2 3 10 2 3" xfId="3934" xr:uid="{00000000-0005-0000-0000-0000A5390000}"/>
    <cellStyle name="Normal 2 3 10 2 3 2" xfId="8416" xr:uid="{00000000-0005-0000-0000-0000A6390000}"/>
    <cellStyle name="Normal 2 3 10 2 3 2 2" xfId="17446" xr:uid="{00000000-0005-0000-0000-0000A7390000}"/>
    <cellStyle name="Normal 2 3 10 2 3 2 2 2" xfId="37498" xr:uid="{00000000-0005-0000-0000-0000A8390000}"/>
    <cellStyle name="Normal 2 3 10 2 3 2 3" xfId="28468" xr:uid="{00000000-0005-0000-0000-0000A9390000}"/>
    <cellStyle name="Normal 2 3 10 2 3 3" xfId="12964" xr:uid="{00000000-0005-0000-0000-0000AA390000}"/>
    <cellStyle name="Normal 2 3 10 2 3 3 2" xfId="33016" xr:uid="{00000000-0005-0000-0000-0000AB390000}"/>
    <cellStyle name="Normal 2 3 10 2 3 4" xfId="23986" xr:uid="{00000000-0005-0000-0000-0000AC390000}"/>
    <cellStyle name="Normal 2 3 10 2 4" xfId="5428" xr:uid="{00000000-0005-0000-0000-0000AD390000}"/>
    <cellStyle name="Normal 2 3 10 2 4 2" xfId="14458" xr:uid="{00000000-0005-0000-0000-0000AE390000}"/>
    <cellStyle name="Normal 2 3 10 2 4 2 2" xfId="34510" xr:uid="{00000000-0005-0000-0000-0000AF390000}"/>
    <cellStyle name="Normal 2 3 10 2 4 3" xfId="25480" xr:uid="{00000000-0005-0000-0000-0000B0390000}"/>
    <cellStyle name="Normal 2 3 10 2 5" xfId="9976" xr:uid="{00000000-0005-0000-0000-0000B1390000}"/>
    <cellStyle name="Normal 2 3 10 2 5 2" xfId="30028" xr:uid="{00000000-0005-0000-0000-0000B2390000}"/>
    <cellStyle name="Normal 2 3 10 2 6" xfId="20998" xr:uid="{00000000-0005-0000-0000-0000B3390000}"/>
    <cellStyle name="Normal 2 3 10 3" xfId="1695" xr:uid="{00000000-0005-0000-0000-0000B4390000}"/>
    <cellStyle name="Normal 2 3 10 3 2" xfId="6177" xr:uid="{00000000-0005-0000-0000-0000B5390000}"/>
    <cellStyle name="Normal 2 3 10 3 2 2" xfId="15207" xr:uid="{00000000-0005-0000-0000-0000B6390000}"/>
    <cellStyle name="Normal 2 3 10 3 2 2 2" xfId="35259" xr:uid="{00000000-0005-0000-0000-0000B7390000}"/>
    <cellStyle name="Normal 2 3 10 3 2 3" xfId="26229" xr:uid="{00000000-0005-0000-0000-0000B8390000}"/>
    <cellStyle name="Normal 2 3 10 3 3" xfId="10725" xr:uid="{00000000-0005-0000-0000-0000B9390000}"/>
    <cellStyle name="Normal 2 3 10 3 3 2" xfId="30777" xr:uid="{00000000-0005-0000-0000-0000BA390000}"/>
    <cellStyle name="Normal 2 3 10 3 4" xfId="21747" xr:uid="{00000000-0005-0000-0000-0000BB390000}"/>
    <cellStyle name="Normal 2 3 10 4" xfId="3189" xr:uid="{00000000-0005-0000-0000-0000BC390000}"/>
    <cellStyle name="Normal 2 3 10 4 2" xfId="7671" xr:uid="{00000000-0005-0000-0000-0000BD390000}"/>
    <cellStyle name="Normal 2 3 10 4 2 2" xfId="16701" xr:uid="{00000000-0005-0000-0000-0000BE390000}"/>
    <cellStyle name="Normal 2 3 10 4 2 2 2" xfId="36753" xr:uid="{00000000-0005-0000-0000-0000BF390000}"/>
    <cellStyle name="Normal 2 3 10 4 2 3" xfId="27723" xr:uid="{00000000-0005-0000-0000-0000C0390000}"/>
    <cellStyle name="Normal 2 3 10 4 3" xfId="12219" xr:uid="{00000000-0005-0000-0000-0000C1390000}"/>
    <cellStyle name="Normal 2 3 10 4 3 2" xfId="32271" xr:uid="{00000000-0005-0000-0000-0000C2390000}"/>
    <cellStyle name="Normal 2 3 10 4 4" xfId="23241" xr:uid="{00000000-0005-0000-0000-0000C3390000}"/>
    <cellStyle name="Normal 2 3 10 5" xfId="4683" xr:uid="{00000000-0005-0000-0000-0000C4390000}"/>
    <cellStyle name="Normal 2 3 10 5 2" xfId="13713" xr:uid="{00000000-0005-0000-0000-0000C5390000}"/>
    <cellStyle name="Normal 2 3 10 5 2 2" xfId="33765" xr:uid="{00000000-0005-0000-0000-0000C6390000}"/>
    <cellStyle name="Normal 2 3 10 5 3" xfId="24735" xr:uid="{00000000-0005-0000-0000-0000C7390000}"/>
    <cellStyle name="Normal 2 3 10 6" xfId="9231" xr:uid="{00000000-0005-0000-0000-0000C8390000}"/>
    <cellStyle name="Normal 2 3 10 6 2" xfId="29283" xr:uid="{00000000-0005-0000-0000-0000C9390000}"/>
    <cellStyle name="Normal 2 3 10 7" xfId="20253" xr:uid="{00000000-0005-0000-0000-0000CA390000}"/>
    <cellStyle name="Normal 2 3 11" xfId="387" xr:uid="{00000000-0005-0000-0000-0000CB390000}"/>
    <cellStyle name="Normal 2 3 11 2" xfId="1134" xr:uid="{00000000-0005-0000-0000-0000CC390000}"/>
    <cellStyle name="Normal 2 3 11 2 2" xfId="2628" xr:uid="{00000000-0005-0000-0000-0000CD390000}"/>
    <cellStyle name="Normal 2 3 11 2 2 2" xfId="7110" xr:uid="{00000000-0005-0000-0000-0000CE390000}"/>
    <cellStyle name="Normal 2 3 11 2 2 2 2" xfId="16140" xr:uid="{00000000-0005-0000-0000-0000CF390000}"/>
    <cellStyle name="Normal 2 3 11 2 2 2 2 2" xfId="36192" xr:uid="{00000000-0005-0000-0000-0000D0390000}"/>
    <cellStyle name="Normal 2 3 11 2 2 2 3" xfId="27162" xr:uid="{00000000-0005-0000-0000-0000D1390000}"/>
    <cellStyle name="Normal 2 3 11 2 2 3" xfId="11658" xr:uid="{00000000-0005-0000-0000-0000D2390000}"/>
    <cellStyle name="Normal 2 3 11 2 2 3 2" xfId="31710" xr:uid="{00000000-0005-0000-0000-0000D3390000}"/>
    <cellStyle name="Normal 2 3 11 2 2 4" xfId="22680" xr:uid="{00000000-0005-0000-0000-0000D4390000}"/>
    <cellStyle name="Normal 2 3 11 2 3" xfId="4122" xr:uid="{00000000-0005-0000-0000-0000D5390000}"/>
    <cellStyle name="Normal 2 3 11 2 3 2" xfId="8604" xr:uid="{00000000-0005-0000-0000-0000D6390000}"/>
    <cellStyle name="Normal 2 3 11 2 3 2 2" xfId="17634" xr:uid="{00000000-0005-0000-0000-0000D7390000}"/>
    <cellStyle name="Normal 2 3 11 2 3 2 2 2" xfId="37686" xr:uid="{00000000-0005-0000-0000-0000D8390000}"/>
    <cellStyle name="Normal 2 3 11 2 3 2 3" xfId="28656" xr:uid="{00000000-0005-0000-0000-0000D9390000}"/>
    <cellStyle name="Normal 2 3 11 2 3 3" xfId="13152" xr:uid="{00000000-0005-0000-0000-0000DA390000}"/>
    <cellStyle name="Normal 2 3 11 2 3 3 2" xfId="33204" xr:uid="{00000000-0005-0000-0000-0000DB390000}"/>
    <cellStyle name="Normal 2 3 11 2 3 4" xfId="24174" xr:uid="{00000000-0005-0000-0000-0000DC390000}"/>
    <cellStyle name="Normal 2 3 11 2 4" xfId="5616" xr:uid="{00000000-0005-0000-0000-0000DD390000}"/>
    <cellStyle name="Normal 2 3 11 2 4 2" xfId="14646" xr:uid="{00000000-0005-0000-0000-0000DE390000}"/>
    <cellStyle name="Normal 2 3 11 2 4 2 2" xfId="34698" xr:uid="{00000000-0005-0000-0000-0000DF390000}"/>
    <cellStyle name="Normal 2 3 11 2 4 3" xfId="25668" xr:uid="{00000000-0005-0000-0000-0000E0390000}"/>
    <cellStyle name="Normal 2 3 11 2 5" xfId="10164" xr:uid="{00000000-0005-0000-0000-0000E1390000}"/>
    <cellStyle name="Normal 2 3 11 2 5 2" xfId="30216" xr:uid="{00000000-0005-0000-0000-0000E2390000}"/>
    <cellStyle name="Normal 2 3 11 2 6" xfId="21186" xr:uid="{00000000-0005-0000-0000-0000E3390000}"/>
    <cellStyle name="Normal 2 3 11 3" xfId="1881" xr:uid="{00000000-0005-0000-0000-0000E4390000}"/>
    <cellStyle name="Normal 2 3 11 3 2" xfId="6363" xr:uid="{00000000-0005-0000-0000-0000E5390000}"/>
    <cellStyle name="Normal 2 3 11 3 2 2" xfId="15393" xr:uid="{00000000-0005-0000-0000-0000E6390000}"/>
    <cellStyle name="Normal 2 3 11 3 2 2 2" xfId="35445" xr:uid="{00000000-0005-0000-0000-0000E7390000}"/>
    <cellStyle name="Normal 2 3 11 3 2 3" xfId="26415" xr:uid="{00000000-0005-0000-0000-0000E8390000}"/>
    <cellStyle name="Normal 2 3 11 3 3" xfId="10911" xr:uid="{00000000-0005-0000-0000-0000E9390000}"/>
    <cellStyle name="Normal 2 3 11 3 3 2" xfId="30963" xr:uid="{00000000-0005-0000-0000-0000EA390000}"/>
    <cellStyle name="Normal 2 3 11 3 4" xfId="21933" xr:uid="{00000000-0005-0000-0000-0000EB390000}"/>
    <cellStyle name="Normal 2 3 11 4" xfId="3375" xr:uid="{00000000-0005-0000-0000-0000EC390000}"/>
    <cellStyle name="Normal 2 3 11 4 2" xfId="7857" xr:uid="{00000000-0005-0000-0000-0000ED390000}"/>
    <cellStyle name="Normal 2 3 11 4 2 2" xfId="16887" xr:uid="{00000000-0005-0000-0000-0000EE390000}"/>
    <cellStyle name="Normal 2 3 11 4 2 2 2" xfId="36939" xr:uid="{00000000-0005-0000-0000-0000EF390000}"/>
    <cellStyle name="Normal 2 3 11 4 2 3" xfId="27909" xr:uid="{00000000-0005-0000-0000-0000F0390000}"/>
    <cellStyle name="Normal 2 3 11 4 3" xfId="12405" xr:uid="{00000000-0005-0000-0000-0000F1390000}"/>
    <cellStyle name="Normal 2 3 11 4 3 2" xfId="32457" xr:uid="{00000000-0005-0000-0000-0000F2390000}"/>
    <cellStyle name="Normal 2 3 11 4 4" xfId="23427" xr:uid="{00000000-0005-0000-0000-0000F3390000}"/>
    <cellStyle name="Normal 2 3 11 5" xfId="4869" xr:uid="{00000000-0005-0000-0000-0000F4390000}"/>
    <cellStyle name="Normal 2 3 11 5 2" xfId="13899" xr:uid="{00000000-0005-0000-0000-0000F5390000}"/>
    <cellStyle name="Normal 2 3 11 5 2 2" xfId="33951" xr:uid="{00000000-0005-0000-0000-0000F6390000}"/>
    <cellStyle name="Normal 2 3 11 5 3" xfId="24921" xr:uid="{00000000-0005-0000-0000-0000F7390000}"/>
    <cellStyle name="Normal 2 3 11 6" xfId="9417" xr:uid="{00000000-0005-0000-0000-0000F8390000}"/>
    <cellStyle name="Normal 2 3 11 6 2" xfId="29469" xr:uid="{00000000-0005-0000-0000-0000F9390000}"/>
    <cellStyle name="Normal 2 3 11 7" xfId="20439" xr:uid="{00000000-0005-0000-0000-0000FA390000}"/>
    <cellStyle name="Normal 2 3 12" xfId="573" xr:uid="{00000000-0005-0000-0000-0000FB390000}"/>
    <cellStyle name="Normal 2 3 12 2" xfId="1320" xr:uid="{00000000-0005-0000-0000-0000FC390000}"/>
    <cellStyle name="Normal 2 3 12 2 2" xfId="2814" xr:uid="{00000000-0005-0000-0000-0000FD390000}"/>
    <cellStyle name="Normal 2 3 12 2 2 2" xfId="7296" xr:uid="{00000000-0005-0000-0000-0000FE390000}"/>
    <cellStyle name="Normal 2 3 12 2 2 2 2" xfId="16326" xr:uid="{00000000-0005-0000-0000-0000FF390000}"/>
    <cellStyle name="Normal 2 3 12 2 2 2 2 2" xfId="36378" xr:uid="{00000000-0005-0000-0000-0000003A0000}"/>
    <cellStyle name="Normal 2 3 12 2 2 2 3" xfId="27348" xr:uid="{00000000-0005-0000-0000-0000013A0000}"/>
    <cellStyle name="Normal 2 3 12 2 2 3" xfId="11844" xr:uid="{00000000-0005-0000-0000-0000023A0000}"/>
    <cellStyle name="Normal 2 3 12 2 2 3 2" xfId="31896" xr:uid="{00000000-0005-0000-0000-0000033A0000}"/>
    <cellStyle name="Normal 2 3 12 2 2 4" xfId="22866" xr:uid="{00000000-0005-0000-0000-0000043A0000}"/>
    <cellStyle name="Normal 2 3 12 2 3" xfId="4308" xr:uid="{00000000-0005-0000-0000-0000053A0000}"/>
    <cellStyle name="Normal 2 3 12 2 3 2" xfId="8790" xr:uid="{00000000-0005-0000-0000-0000063A0000}"/>
    <cellStyle name="Normal 2 3 12 2 3 2 2" xfId="17820" xr:uid="{00000000-0005-0000-0000-0000073A0000}"/>
    <cellStyle name="Normal 2 3 12 2 3 2 2 2" xfId="37872" xr:uid="{00000000-0005-0000-0000-0000083A0000}"/>
    <cellStyle name="Normal 2 3 12 2 3 2 3" xfId="28842" xr:uid="{00000000-0005-0000-0000-0000093A0000}"/>
    <cellStyle name="Normal 2 3 12 2 3 3" xfId="13338" xr:uid="{00000000-0005-0000-0000-00000A3A0000}"/>
    <cellStyle name="Normal 2 3 12 2 3 3 2" xfId="33390" xr:uid="{00000000-0005-0000-0000-00000B3A0000}"/>
    <cellStyle name="Normal 2 3 12 2 3 4" xfId="24360" xr:uid="{00000000-0005-0000-0000-00000C3A0000}"/>
    <cellStyle name="Normal 2 3 12 2 4" xfId="5802" xr:uid="{00000000-0005-0000-0000-00000D3A0000}"/>
    <cellStyle name="Normal 2 3 12 2 4 2" xfId="14832" xr:uid="{00000000-0005-0000-0000-00000E3A0000}"/>
    <cellStyle name="Normal 2 3 12 2 4 2 2" xfId="34884" xr:uid="{00000000-0005-0000-0000-00000F3A0000}"/>
    <cellStyle name="Normal 2 3 12 2 4 3" xfId="25854" xr:uid="{00000000-0005-0000-0000-0000103A0000}"/>
    <cellStyle name="Normal 2 3 12 2 5" xfId="10350" xr:uid="{00000000-0005-0000-0000-0000113A0000}"/>
    <cellStyle name="Normal 2 3 12 2 5 2" xfId="30402" xr:uid="{00000000-0005-0000-0000-0000123A0000}"/>
    <cellStyle name="Normal 2 3 12 2 6" xfId="21372" xr:uid="{00000000-0005-0000-0000-0000133A0000}"/>
    <cellStyle name="Normal 2 3 12 3" xfId="2067" xr:uid="{00000000-0005-0000-0000-0000143A0000}"/>
    <cellStyle name="Normal 2 3 12 3 2" xfId="6549" xr:uid="{00000000-0005-0000-0000-0000153A0000}"/>
    <cellStyle name="Normal 2 3 12 3 2 2" xfId="15579" xr:uid="{00000000-0005-0000-0000-0000163A0000}"/>
    <cellStyle name="Normal 2 3 12 3 2 2 2" xfId="35631" xr:uid="{00000000-0005-0000-0000-0000173A0000}"/>
    <cellStyle name="Normal 2 3 12 3 2 3" xfId="26601" xr:uid="{00000000-0005-0000-0000-0000183A0000}"/>
    <cellStyle name="Normal 2 3 12 3 3" xfId="11097" xr:uid="{00000000-0005-0000-0000-0000193A0000}"/>
    <cellStyle name="Normal 2 3 12 3 3 2" xfId="31149" xr:uid="{00000000-0005-0000-0000-00001A3A0000}"/>
    <cellStyle name="Normal 2 3 12 3 4" xfId="22119" xr:uid="{00000000-0005-0000-0000-00001B3A0000}"/>
    <cellStyle name="Normal 2 3 12 4" xfId="3561" xr:uid="{00000000-0005-0000-0000-00001C3A0000}"/>
    <cellStyle name="Normal 2 3 12 4 2" xfId="8043" xr:uid="{00000000-0005-0000-0000-00001D3A0000}"/>
    <cellStyle name="Normal 2 3 12 4 2 2" xfId="17073" xr:uid="{00000000-0005-0000-0000-00001E3A0000}"/>
    <cellStyle name="Normal 2 3 12 4 2 2 2" xfId="37125" xr:uid="{00000000-0005-0000-0000-00001F3A0000}"/>
    <cellStyle name="Normal 2 3 12 4 2 3" xfId="28095" xr:uid="{00000000-0005-0000-0000-0000203A0000}"/>
    <cellStyle name="Normal 2 3 12 4 3" xfId="12591" xr:uid="{00000000-0005-0000-0000-0000213A0000}"/>
    <cellStyle name="Normal 2 3 12 4 3 2" xfId="32643" xr:uid="{00000000-0005-0000-0000-0000223A0000}"/>
    <cellStyle name="Normal 2 3 12 4 4" xfId="23613" xr:uid="{00000000-0005-0000-0000-0000233A0000}"/>
    <cellStyle name="Normal 2 3 12 5" xfId="5055" xr:uid="{00000000-0005-0000-0000-0000243A0000}"/>
    <cellStyle name="Normal 2 3 12 5 2" xfId="14085" xr:uid="{00000000-0005-0000-0000-0000253A0000}"/>
    <cellStyle name="Normal 2 3 12 5 2 2" xfId="34137" xr:uid="{00000000-0005-0000-0000-0000263A0000}"/>
    <cellStyle name="Normal 2 3 12 5 3" xfId="25107" xr:uid="{00000000-0005-0000-0000-0000273A0000}"/>
    <cellStyle name="Normal 2 3 12 6" xfId="9603" xr:uid="{00000000-0005-0000-0000-0000283A0000}"/>
    <cellStyle name="Normal 2 3 12 6 2" xfId="29655" xr:uid="{00000000-0005-0000-0000-0000293A0000}"/>
    <cellStyle name="Normal 2 3 12 7" xfId="20625" xr:uid="{00000000-0005-0000-0000-00002A3A0000}"/>
    <cellStyle name="Normal 2 3 13" xfId="760" xr:uid="{00000000-0005-0000-0000-00002B3A0000}"/>
    <cellStyle name="Normal 2 3 13 2" xfId="2254" xr:uid="{00000000-0005-0000-0000-00002C3A0000}"/>
    <cellStyle name="Normal 2 3 13 2 2" xfId="6736" xr:uid="{00000000-0005-0000-0000-00002D3A0000}"/>
    <cellStyle name="Normal 2 3 13 2 2 2" xfId="15766" xr:uid="{00000000-0005-0000-0000-00002E3A0000}"/>
    <cellStyle name="Normal 2 3 13 2 2 2 2" xfId="35818" xr:uid="{00000000-0005-0000-0000-00002F3A0000}"/>
    <cellStyle name="Normal 2 3 13 2 2 3" xfId="26788" xr:uid="{00000000-0005-0000-0000-0000303A0000}"/>
    <cellStyle name="Normal 2 3 13 2 3" xfId="11284" xr:uid="{00000000-0005-0000-0000-0000313A0000}"/>
    <cellStyle name="Normal 2 3 13 2 3 2" xfId="31336" xr:uid="{00000000-0005-0000-0000-0000323A0000}"/>
    <cellStyle name="Normal 2 3 13 2 4" xfId="22306" xr:uid="{00000000-0005-0000-0000-0000333A0000}"/>
    <cellStyle name="Normal 2 3 13 3" xfId="3748" xr:uid="{00000000-0005-0000-0000-0000343A0000}"/>
    <cellStyle name="Normal 2 3 13 3 2" xfId="8230" xr:uid="{00000000-0005-0000-0000-0000353A0000}"/>
    <cellStyle name="Normal 2 3 13 3 2 2" xfId="17260" xr:uid="{00000000-0005-0000-0000-0000363A0000}"/>
    <cellStyle name="Normal 2 3 13 3 2 2 2" xfId="37312" xr:uid="{00000000-0005-0000-0000-0000373A0000}"/>
    <cellStyle name="Normal 2 3 13 3 2 3" xfId="28282" xr:uid="{00000000-0005-0000-0000-0000383A0000}"/>
    <cellStyle name="Normal 2 3 13 3 3" xfId="12778" xr:uid="{00000000-0005-0000-0000-0000393A0000}"/>
    <cellStyle name="Normal 2 3 13 3 3 2" xfId="32830" xr:uid="{00000000-0005-0000-0000-00003A3A0000}"/>
    <cellStyle name="Normal 2 3 13 3 4" xfId="23800" xr:uid="{00000000-0005-0000-0000-00003B3A0000}"/>
    <cellStyle name="Normal 2 3 13 4" xfId="5242" xr:uid="{00000000-0005-0000-0000-00003C3A0000}"/>
    <cellStyle name="Normal 2 3 13 4 2" xfId="14272" xr:uid="{00000000-0005-0000-0000-00003D3A0000}"/>
    <cellStyle name="Normal 2 3 13 4 2 2" xfId="34324" xr:uid="{00000000-0005-0000-0000-00003E3A0000}"/>
    <cellStyle name="Normal 2 3 13 4 3" xfId="25294" xr:uid="{00000000-0005-0000-0000-00003F3A0000}"/>
    <cellStyle name="Normal 2 3 13 5" xfId="9790" xr:uid="{00000000-0005-0000-0000-0000403A0000}"/>
    <cellStyle name="Normal 2 3 13 5 2" xfId="29842" xr:uid="{00000000-0005-0000-0000-0000413A0000}"/>
    <cellStyle name="Normal 2 3 13 6" xfId="20812" xr:uid="{00000000-0005-0000-0000-0000423A0000}"/>
    <cellStyle name="Normal 2 3 14" xfId="1509" xr:uid="{00000000-0005-0000-0000-0000433A0000}"/>
    <cellStyle name="Normal 2 3 14 2" xfId="5991" xr:uid="{00000000-0005-0000-0000-0000443A0000}"/>
    <cellStyle name="Normal 2 3 14 2 2" xfId="15021" xr:uid="{00000000-0005-0000-0000-0000453A0000}"/>
    <cellStyle name="Normal 2 3 14 2 2 2" xfId="35073" xr:uid="{00000000-0005-0000-0000-0000463A0000}"/>
    <cellStyle name="Normal 2 3 14 2 3" xfId="26043" xr:uid="{00000000-0005-0000-0000-0000473A0000}"/>
    <cellStyle name="Normal 2 3 14 3" xfId="10539" xr:uid="{00000000-0005-0000-0000-0000483A0000}"/>
    <cellStyle name="Normal 2 3 14 3 2" xfId="30591" xr:uid="{00000000-0005-0000-0000-0000493A0000}"/>
    <cellStyle name="Normal 2 3 14 4" xfId="21561" xr:uid="{00000000-0005-0000-0000-00004A3A0000}"/>
    <cellStyle name="Normal 2 3 15" xfId="3003" xr:uid="{00000000-0005-0000-0000-00004B3A0000}"/>
    <cellStyle name="Normal 2 3 15 2" xfId="7485" xr:uid="{00000000-0005-0000-0000-00004C3A0000}"/>
    <cellStyle name="Normal 2 3 15 2 2" xfId="16515" xr:uid="{00000000-0005-0000-0000-00004D3A0000}"/>
    <cellStyle name="Normal 2 3 15 2 2 2" xfId="36567" xr:uid="{00000000-0005-0000-0000-00004E3A0000}"/>
    <cellStyle name="Normal 2 3 15 2 3" xfId="27537" xr:uid="{00000000-0005-0000-0000-00004F3A0000}"/>
    <cellStyle name="Normal 2 3 15 3" xfId="12033" xr:uid="{00000000-0005-0000-0000-0000503A0000}"/>
    <cellStyle name="Normal 2 3 15 3 2" xfId="32085" xr:uid="{00000000-0005-0000-0000-0000513A0000}"/>
    <cellStyle name="Normal 2 3 15 4" xfId="23055" xr:uid="{00000000-0005-0000-0000-0000523A0000}"/>
    <cellStyle name="Normal 2 3 16" xfId="4497" xr:uid="{00000000-0005-0000-0000-0000533A0000}"/>
    <cellStyle name="Normal 2 3 16 2" xfId="13527" xr:uid="{00000000-0005-0000-0000-0000543A0000}"/>
    <cellStyle name="Normal 2 3 16 2 2" xfId="33579" xr:uid="{00000000-0005-0000-0000-0000553A0000}"/>
    <cellStyle name="Normal 2 3 16 3" xfId="24549" xr:uid="{00000000-0005-0000-0000-0000563A0000}"/>
    <cellStyle name="Normal 2 3 17" xfId="9045" xr:uid="{00000000-0005-0000-0000-0000573A0000}"/>
    <cellStyle name="Normal 2 3 17 2" xfId="29097" xr:uid="{00000000-0005-0000-0000-0000583A0000}"/>
    <cellStyle name="Normal 2 3 18" xfId="20054" xr:uid="{00000000-0005-0000-0000-0000593A0000}"/>
    <cellStyle name="Normal 2 3 19" xfId="20068" xr:uid="{00000000-0005-0000-0000-00005A3A0000}"/>
    <cellStyle name="Normal 2 3 2" xfId="25" xr:uid="{00000000-0005-0000-0000-00005B3A0000}"/>
    <cellStyle name="Normal 2 3 2 10" xfId="397" xr:uid="{00000000-0005-0000-0000-00005C3A0000}"/>
    <cellStyle name="Normal 2 3 2 10 2" xfId="1144" xr:uid="{00000000-0005-0000-0000-00005D3A0000}"/>
    <cellStyle name="Normal 2 3 2 10 2 2" xfId="2638" xr:uid="{00000000-0005-0000-0000-00005E3A0000}"/>
    <cellStyle name="Normal 2 3 2 10 2 2 2" xfId="7120" xr:uid="{00000000-0005-0000-0000-00005F3A0000}"/>
    <cellStyle name="Normal 2 3 2 10 2 2 2 2" xfId="16150" xr:uid="{00000000-0005-0000-0000-0000603A0000}"/>
    <cellStyle name="Normal 2 3 2 10 2 2 2 2 2" xfId="36202" xr:uid="{00000000-0005-0000-0000-0000613A0000}"/>
    <cellStyle name="Normal 2 3 2 10 2 2 2 3" xfId="27172" xr:uid="{00000000-0005-0000-0000-0000623A0000}"/>
    <cellStyle name="Normal 2 3 2 10 2 2 3" xfId="11668" xr:uid="{00000000-0005-0000-0000-0000633A0000}"/>
    <cellStyle name="Normal 2 3 2 10 2 2 3 2" xfId="31720" xr:uid="{00000000-0005-0000-0000-0000643A0000}"/>
    <cellStyle name="Normal 2 3 2 10 2 2 4" xfId="22690" xr:uid="{00000000-0005-0000-0000-0000653A0000}"/>
    <cellStyle name="Normal 2 3 2 10 2 3" xfId="4132" xr:uid="{00000000-0005-0000-0000-0000663A0000}"/>
    <cellStyle name="Normal 2 3 2 10 2 3 2" xfId="8614" xr:uid="{00000000-0005-0000-0000-0000673A0000}"/>
    <cellStyle name="Normal 2 3 2 10 2 3 2 2" xfId="17644" xr:uid="{00000000-0005-0000-0000-0000683A0000}"/>
    <cellStyle name="Normal 2 3 2 10 2 3 2 2 2" xfId="37696" xr:uid="{00000000-0005-0000-0000-0000693A0000}"/>
    <cellStyle name="Normal 2 3 2 10 2 3 2 3" xfId="28666" xr:uid="{00000000-0005-0000-0000-00006A3A0000}"/>
    <cellStyle name="Normal 2 3 2 10 2 3 3" xfId="13162" xr:uid="{00000000-0005-0000-0000-00006B3A0000}"/>
    <cellStyle name="Normal 2 3 2 10 2 3 3 2" xfId="33214" xr:uid="{00000000-0005-0000-0000-00006C3A0000}"/>
    <cellStyle name="Normal 2 3 2 10 2 3 4" xfId="24184" xr:uid="{00000000-0005-0000-0000-00006D3A0000}"/>
    <cellStyle name="Normal 2 3 2 10 2 4" xfId="5626" xr:uid="{00000000-0005-0000-0000-00006E3A0000}"/>
    <cellStyle name="Normal 2 3 2 10 2 4 2" xfId="14656" xr:uid="{00000000-0005-0000-0000-00006F3A0000}"/>
    <cellStyle name="Normal 2 3 2 10 2 4 2 2" xfId="34708" xr:uid="{00000000-0005-0000-0000-0000703A0000}"/>
    <cellStyle name="Normal 2 3 2 10 2 4 3" xfId="25678" xr:uid="{00000000-0005-0000-0000-0000713A0000}"/>
    <cellStyle name="Normal 2 3 2 10 2 5" xfId="10174" xr:uid="{00000000-0005-0000-0000-0000723A0000}"/>
    <cellStyle name="Normal 2 3 2 10 2 5 2" xfId="30226" xr:uid="{00000000-0005-0000-0000-0000733A0000}"/>
    <cellStyle name="Normal 2 3 2 10 2 6" xfId="21196" xr:uid="{00000000-0005-0000-0000-0000743A0000}"/>
    <cellStyle name="Normal 2 3 2 10 3" xfId="1891" xr:uid="{00000000-0005-0000-0000-0000753A0000}"/>
    <cellStyle name="Normal 2 3 2 10 3 2" xfId="6373" xr:uid="{00000000-0005-0000-0000-0000763A0000}"/>
    <cellStyle name="Normal 2 3 2 10 3 2 2" xfId="15403" xr:uid="{00000000-0005-0000-0000-0000773A0000}"/>
    <cellStyle name="Normal 2 3 2 10 3 2 2 2" xfId="35455" xr:uid="{00000000-0005-0000-0000-0000783A0000}"/>
    <cellStyle name="Normal 2 3 2 10 3 2 3" xfId="26425" xr:uid="{00000000-0005-0000-0000-0000793A0000}"/>
    <cellStyle name="Normal 2 3 2 10 3 3" xfId="10921" xr:uid="{00000000-0005-0000-0000-00007A3A0000}"/>
    <cellStyle name="Normal 2 3 2 10 3 3 2" xfId="30973" xr:uid="{00000000-0005-0000-0000-00007B3A0000}"/>
    <cellStyle name="Normal 2 3 2 10 3 4" xfId="21943" xr:uid="{00000000-0005-0000-0000-00007C3A0000}"/>
    <cellStyle name="Normal 2 3 2 10 4" xfId="3385" xr:uid="{00000000-0005-0000-0000-00007D3A0000}"/>
    <cellStyle name="Normal 2 3 2 10 4 2" xfId="7867" xr:uid="{00000000-0005-0000-0000-00007E3A0000}"/>
    <cellStyle name="Normal 2 3 2 10 4 2 2" xfId="16897" xr:uid="{00000000-0005-0000-0000-00007F3A0000}"/>
    <cellStyle name="Normal 2 3 2 10 4 2 2 2" xfId="36949" xr:uid="{00000000-0005-0000-0000-0000803A0000}"/>
    <cellStyle name="Normal 2 3 2 10 4 2 3" xfId="27919" xr:uid="{00000000-0005-0000-0000-0000813A0000}"/>
    <cellStyle name="Normal 2 3 2 10 4 3" xfId="12415" xr:uid="{00000000-0005-0000-0000-0000823A0000}"/>
    <cellStyle name="Normal 2 3 2 10 4 3 2" xfId="32467" xr:uid="{00000000-0005-0000-0000-0000833A0000}"/>
    <cellStyle name="Normal 2 3 2 10 4 4" xfId="23437" xr:uid="{00000000-0005-0000-0000-0000843A0000}"/>
    <cellStyle name="Normal 2 3 2 10 5" xfId="4879" xr:uid="{00000000-0005-0000-0000-0000853A0000}"/>
    <cellStyle name="Normal 2 3 2 10 5 2" xfId="13909" xr:uid="{00000000-0005-0000-0000-0000863A0000}"/>
    <cellStyle name="Normal 2 3 2 10 5 2 2" xfId="33961" xr:uid="{00000000-0005-0000-0000-0000873A0000}"/>
    <cellStyle name="Normal 2 3 2 10 5 3" xfId="24931" xr:uid="{00000000-0005-0000-0000-0000883A0000}"/>
    <cellStyle name="Normal 2 3 2 10 6" xfId="9427" xr:uid="{00000000-0005-0000-0000-0000893A0000}"/>
    <cellStyle name="Normal 2 3 2 10 6 2" xfId="29479" xr:uid="{00000000-0005-0000-0000-00008A3A0000}"/>
    <cellStyle name="Normal 2 3 2 10 7" xfId="20449" xr:uid="{00000000-0005-0000-0000-00008B3A0000}"/>
    <cellStyle name="Normal 2 3 2 11" xfId="583" xr:uid="{00000000-0005-0000-0000-00008C3A0000}"/>
    <cellStyle name="Normal 2 3 2 11 2" xfId="1330" xr:uid="{00000000-0005-0000-0000-00008D3A0000}"/>
    <cellStyle name="Normal 2 3 2 11 2 2" xfId="2824" xr:uid="{00000000-0005-0000-0000-00008E3A0000}"/>
    <cellStyle name="Normal 2 3 2 11 2 2 2" xfId="7306" xr:uid="{00000000-0005-0000-0000-00008F3A0000}"/>
    <cellStyle name="Normal 2 3 2 11 2 2 2 2" xfId="16336" xr:uid="{00000000-0005-0000-0000-0000903A0000}"/>
    <cellStyle name="Normal 2 3 2 11 2 2 2 2 2" xfId="36388" xr:uid="{00000000-0005-0000-0000-0000913A0000}"/>
    <cellStyle name="Normal 2 3 2 11 2 2 2 3" xfId="27358" xr:uid="{00000000-0005-0000-0000-0000923A0000}"/>
    <cellStyle name="Normal 2 3 2 11 2 2 3" xfId="11854" xr:uid="{00000000-0005-0000-0000-0000933A0000}"/>
    <cellStyle name="Normal 2 3 2 11 2 2 3 2" xfId="31906" xr:uid="{00000000-0005-0000-0000-0000943A0000}"/>
    <cellStyle name="Normal 2 3 2 11 2 2 4" xfId="22876" xr:uid="{00000000-0005-0000-0000-0000953A0000}"/>
    <cellStyle name="Normal 2 3 2 11 2 3" xfId="4318" xr:uid="{00000000-0005-0000-0000-0000963A0000}"/>
    <cellStyle name="Normal 2 3 2 11 2 3 2" xfId="8800" xr:uid="{00000000-0005-0000-0000-0000973A0000}"/>
    <cellStyle name="Normal 2 3 2 11 2 3 2 2" xfId="17830" xr:uid="{00000000-0005-0000-0000-0000983A0000}"/>
    <cellStyle name="Normal 2 3 2 11 2 3 2 2 2" xfId="37882" xr:uid="{00000000-0005-0000-0000-0000993A0000}"/>
    <cellStyle name="Normal 2 3 2 11 2 3 2 3" xfId="28852" xr:uid="{00000000-0005-0000-0000-00009A3A0000}"/>
    <cellStyle name="Normal 2 3 2 11 2 3 3" xfId="13348" xr:uid="{00000000-0005-0000-0000-00009B3A0000}"/>
    <cellStyle name="Normal 2 3 2 11 2 3 3 2" xfId="33400" xr:uid="{00000000-0005-0000-0000-00009C3A0000}"/>
    <cellStyle name="Normal 2 3 2 11 2 3 4" xfId="24370" xr:uid="{00000000-0005-0000-0000-00009D3A0000}"/>
    <cellStyle name="Normal 2 3 2 11 2 4" xfId="5812" xr:uid="{00000000-0005-0000-0000-00009E3A0000}"/>
    <cellStyle name="Normal 2 3 2 11 2 4 2" xfId="14842" xr:uid="{00000000-0005-0000-0000-00009F3A0000}"/>
    <cellStyle name="Normal 2 3 2 11 2 4 2 2" xfId="34894" xr:uid="{00000000-0005-0000-0000-0000A03A0000}"/>
    <cellStyle name="Normal 2 3 2 11 2 4 3" xfId="25864" xr:uid="{00000000-0005-0000-0000-0000A13A0000}"/>
    <cellStyle name="Normal 2 3 2 11 2 5" xfId="10360" xr:uid="{00000000-0005-0000-0000-0000A23A0000}"/>
    <cellStyle name="Normal 2 3 2 11 2 5 2" xfId="30412" xr:uid="{00000000-0005-0000-0000-0000A33A0000}"/>
    <cellStyle name="Normal 2 3 2 11 2 6" xfId="21382" xr:uid="{00000000-0005-0000-0000-0000A43A0000}"/>
    <cellStyle name="Normal 2 3 2 11 3" xfId="2077" xr:uid="{00000000-0005-0000-0000-0000A53A0000}"/>
    <cellStyle name="Normal 2 3 2 11 3 2" xfId="6559" xr:uid="{00000000-0005-0000-0000-0000A63A0000}"/>
    <cellStyle name="Normal 2 3 2 11 3 2 2" xfId="15589" xr:uid="{00000000-0005-0000-0000-0000A73A0000}"/>
    <cellStyle name="Normal 2 3 2 11 3 2 2 2" xfId="35641" xr:uid="{00000000-0005-0000-0000-0000A83A0000}"/>
    <cellStyle name="Normal 2 3 2 11 3 2 3" xfId="26611" xr:uid="{00000000-0005-0000-0000-0000A93A0000}"/>
    <cellStyle name="Normal 2 3 2 11 3 3" xfId="11107" xr:uid="{00000000-0005-0000-0000-0000AA3A0000}"/>
    <cellStyle name="Normal 2 3 2 11 3 3 2" xfId="31159" xr:uid="{00000000-0005-0000-0000-0000AB3A0000}"/>
    <cellStyle name="Normal 2 3 2 11 3 4" xfId="22129" xr:uid="{00000000-0005-0000-0000-0000AC3A0000}"/>
    <cellStyle name="Normal 2 3 2 11 4" xfId="3571" xr:uid="{00000000-0005-0000-0000-0000AD3A0000}"/>
    <cellStyle name="Normal 2 3 2 11 4 2" xfId="8053" xr:uid="{00000000-0005-0000-0000-0000AE3A0000}"/>
    <cellStyle name="Normal 2 3 2 11 4 2 2" xfId="17083" xr:uid="{00000000-0005-0000-0000-0000AF3A0000}"/>
    <cellStyle name="Normal 2 3 2 11 4 2 2 2" xfId="37135" xr:uid="{00000000-0005-0000-0000-0000B03A0000}"/>
    <cellStyle name="Normal 2 3 2 11 4 2 3" xfId="28105" xr:uid="{00000000-0005-0000-0000-0000B13A0000}"/>
    <cellStyle name="Normal 2 3 2 11 4 3" xfId="12601" xr:uid="{00000000-0005-0000-0000-0000B23A0000}"/>
    <cellStyle name="Normal 2 3 2 11 4 3 2" xfId="32653" xr:uid="{00000000-0005-0000-0000-0000B33A0000}"/>
    <cellStyle name="Normal 2 3 2 11 4 4" xfId="23623" xr:uid="{00000000-0005-0000-0000-0000B43A0000}"/>
    <cellStyle name="Normal 2 3 2 11 5" xfId="5065" xr:uid="{00000000-0005-0000-0000-0000B53A0000}"/>
    <cellStyle name="Normal 2 3 2 11 5 2" xfId="14095" xr:uid="{00000000-0005-0000-0000-0000B63A0000}"/>
    <cellStyle name="Normal 2 3 2 11 5 2 2" xfId="34147" xr:uid="{00000000-0005-0000-0000-0000B73A0000}"/>
    <cellStyle name="Normal 2 3 2 11 5 3" xfId="25117" xr:uid="{00000000-0005-0000-0000-0000B83A0000}"/>
    <cellStyle name="Normal 2 3 2 11 6" xfId="9613" xr:uid="{00000000-0005-0000-0000-0000B93A0000}"/>
    <cellStyle name="Normal 2 3 2 11 6 2" xfId="29665" xr:uid="{00000000-0005-0000-0000-0000BA3A0000}"/>
    <cellStyle name="Normal 2 3 2 11 7" xfId="20635" xr:uid="{00000000-0005-0000-0000-0000BB3A0000}"/>
    <cellStyle name="Normal 2 3 2 12" xfId="770" xr:uid="{00000000-0005-0000-0000-0000BC3A0000}"/>
    <cellStyle name="Normal 2 3 2 12 2" xfId="2264" xr:uid="{00000000-0005-0000-0000-0000BD3A0000}"/>
    <cellStyle name="Normal 2 3 2 12 2 2" xfId="6746" xr:uid="{00000000-0005-0000-0000-0000BE3A0000}"/>
    <cellStyle name="Normal 2 3 2 12 2 2 2" xfId="15776" xr:uid="{00000000-0005-0000-0000-0000BF3A0000}"/>
    <cellStyle name="Normal 2 3 2 12 2 2 2 2" xfId="35828" xr:uid="{00000000-0005-0000-0000-0000C03A0000}"/>
    <cellStyle name="Normal 2 3 2 12 2 2 3" xfId="26798" xr:uid="{00000000-0005-0000-0000-0000C13A0000}"/>
    <cellStyle name="Normal 2 3 2 12 2 3" xfId="11294" xr:uid="{00000000-0005-0000-0000-0000C23A0000}"/>
    <cellStyle name="Normal 2 3 2 12 2 3 2" xfId="31346" xr:uid="{00000000-0005-0000-0000-0000C33A0000}"/>
    <cellStyle name="Normal 2 3 2 12 2 4" xfId="22316" xr:uid="{00000000-0005-0000-0000-0000C43A0000}"/>
    <cellStyle name="Normal 2 3 2 12 3" xfId="3758" xr:uid="{00000000-0005-0000-0000-0000C53A0000}"/>
    <cellStyle name="Normal 2 3 2 12 3 2" xfId="8240" xr:uid="{00000000-0005-0000-0000-0000C63A0000}"/>
    <cellStyle name="Normal 2 3 2 12 3 2 2" xfId="17270" xr:uid="{00000000-0005-0000-0000-0000C73A0000}"/>
    <cellStyle name="Normal 2 3 2 12 3 2 2 2" xfId="37322" xr:uid="{00000000-0005-0000-0000-0000C83A0000}"/>
    <cellStyle name="Normal 2 3 2 12 3 2 3" xfId="28292" xr:uid="{00000000-0005-0000-0000-0000C93A0000}"/>
    <cellStyle name="Normal 2 3 2 12 3 3" xfId="12788" xr:uid="{00000000-0005-0000-0000-0000CA3A0000}"/>
    <cellStyle name="Normal 2 3 2 12 3 3 2" xfId="32840" xr:uid="{00000000-0005-0000-0000-0000CB3A0000}"/>
    <cellStyle name="Normal 2 3 2 12 3 4" xfId="23810" xr:uid="{00000000-0005-0000-0000-0000CC3A0000}"/>
    <cellStyle name="Normal 2 3 2 12 4" xfId="5252" xr:uid="{00000000-0005-0000-0000-0000CD3A0000}"/>
    <cellStyle name="Normal 2 3 2 12 4 2" xfId="14282" xr:uid="{00000000-0005-0000-0000-0000CE3A0000}"/>
    <cellStyle name="Normal 2 3 2 12 4 2 2" xfId="34334" xr:uid="{00000000-0005-0000-0000-0000CF3A0000}"/>
    <cellStyle name="Normal 2 3 2 12 4 3" xfId="25304" xr:uid="{00000000-0005-0000-0000-0000D03A0000}"/>
    <cellStyle name="Normal 2 3 2 12 5" xfId="9800" xr:uid="{00000000-0005-0000-0000-0000D13A0000}"/>
    <cellStyle name="Normal 2 3 2 12 5 2" xfId="29852" xr:uid="{00000000-0005-0000-0000-0000D23A0000}"/>
    <cellStyle name="Normal 2 3 2 12 6" xfId="20822" xr:uid="{00000000-0005-0000-0000-0000D33A0000}"/>
    <cellStyle name="Normal 2 3 2 13" xfId="1519" xr:uid="{00000000-0005-0000-0000-0000D43A0000}"/>
    <cellStyle name="Normal 2 3 2 13 2" xfId="6001" xr:uid="{00000000-0005-0000-0000-0000D53A0000}"/>
    <cellStyle name="Normal 2 3 2 13 2 2" xfId="15031" xr:uid="{00000000-0005-0000-0000-0000D63A0000}"/>
    <cellStyle name="Normal 2 3 2 13 2 2 2" xfId="35083" xr:uid="{00000000-0005-0000-0000-0000D73A0000}"/>
    <cellStyle name="Normal 2 3 2 13 2 3" xfId="26053" xr:uid="{00000000-0005-0000-0000-0000D83A0000}"/>
    <cellStyle name="Normal 2 3 2 13 3" xfId="10549" xr:uid="{00000000-0005-0000-0000-0000D93A0000}"/>
    <cellStyle name="Normal 2 3 2 13 3 2" xfId="30601" xr:uid="{00000000-0005-0000-0000-0000DA3A0000}"/>
    <cellStyle name="Normal 2 3 2 13 4" xfId="21571" xr:uid="{00000000-0005-0000-0000-0000DB3A0000}"/>
    <cellStyle name="Normal 2 3 2 14" xfId="3013" xr:uid="{00000000-0005-0000-0000-0000DC3A0000}"/>
    <cellStyle name="Normal 2 3 2 14 2" xfId="7495" xr:uid="{00000000-0005-0000-0000-0000DD3A0000}"/>
    <cellStyle name="Normal 2 3 2 14 2 2" xfId="16525" xr:uid="{00000000-0005-0000-0000-0000DE3A0000}"/>
    <cellStyle name="Normal 2 3 2 14 2 2 2" xfId="36577" xr:uid="{00000000-0005-0000-0000-0000DF3A0000}"/>
    <cellStyle name="Normal 2 3 2 14 2 3" xfId="27547" xr:uid="{00000000-0005-0000-0000-0000E03A0000}"/>
    <cellStyle name="Normal 2 3 2 14 3" xfId="12043" xr:uid="{00000000-0005-0000-0000-0000E13A0000}"/>
    <cellStyle name="Normal 2 3 2 14 3 2" xfId="32095" xr:uid="{00000000-0005-0000-0000-0000E23A0000}"/>
    <cellStyle name="Normal 2 3 2 14 4" xfId="23065" xr:uid="{00000000-0005-0000-0000-0000E33A0000}"/>
    <cellStyle name="Normal 2 3 2 15" xfId="4507" xr:uid="{00000000-0005-0000-0000-0000E43A0000}"/>
    <cellStyle name="Normal 2 3 2 15 2" xfId="13537" xr:uid="{00000000-0005-0000-0000-0000E53A0000}"/>
    <cellStyle name="Normal 2 3 2 15 2 2" xfId="33589" xr:uid="{00000000-0005-0000-0000-0000E63A0000}"/>
    <cellStyle name="Normal 2 3 2 15 3" xfId="24559" xr:uid="{00000000-0005-0000-0000-0000E73A0000}"/>
    <cellStyle name="Normal 2 3 2 16" xfId="9055" xr:uid="{00000000-0005-0000-0000-0000E83A0000}"/>
    <cellStyle name="Normal 2 3 2 16 2" xfId="29107" xr:uid="{00000000-0005-0000-0000-0000E93A0000}"/>
    <cellStyle name="Normal 2 3 2 17" xfId="20077" xr:uid="{00000000-0005-0000-0000-0000EA3A0000}"/>
    <cellStyle name="Normal 2 3 2 2" xfId="48" xr:uid="{00000000-0005-0000-0000-0000EB3A0000}"/>
    <cellStyle name="Normal 2 3 2 2 10" xfId="20100" xr:uid="{00000000-0005-0000-0000-0000EC3A0000}"/>
    <cellStyle name="Normal 2 3 2 2 2" xfId="234" xr:uid="{00000000-0005-0000-0000-0000ED3A0000}"/>
    <cellStyle name="Normal 2 3 2 2 2 2" xfId="979" xr:uid="{00000000-0005-0000-0000-0000EE3A0000}"/>
    <cellStyle name="Normal 2 3 2 2 2 2 2" xfId="2473" xr:uid="{00000000-0005-0000-0000-0000EF3A0000}"/>
    <cellStyle name="Normal 2 3 2 2 2 2 2 2" xfId="6955" xr:uid="{00000000-0005-0000-0000-0000F03A0000}"/>
    <cellStyle name="Normal 2 3 2 2 2 2 2 2 2" xfId="15985" xr:uid="{00000000-0005-0000-0000-0000F13A0000}"/>
    <cellStyle name="Normal 2 3 2 2 2 2 2 2 2 2" xfId="36037" xr:uid="{00000000-0005-0000-0000-0000F23A0000}"/>
    <cellStyle name="Normal 2 3 2 2 2 2 2 2 3" xfId="27007" xr:uid="{00000000-0005-0000-0000-0000F33A0000}"/>
    <cellStyle name="Normal 2 3 2 2 2 2 2 3" xfId="11503" xr:uid="{00000000-0005-0000-0000-0000F43A0000}"/>
    <cellStyle name="Normal 2 3 2 2 2 2 2 3 2" xfId="31555" xr:uid="{00000000-0005-0000-0000-0000F53A0000}"/>
    <cellStyle name="Normal 2 3 2 2 2 2 2 4" xfId="22525" xr:uid="{00000000-0005-0000-0000-0000F63A0000}"/>
    <cellStyle name="Normal 2 3 2 2 2 2 3" xfId="3967" xr:uid="{00000000-0005-0000-0000-0000F73A0000}"/>
    <cellStyle name="Normal 2 3 2 2 2 2 3 2" xfId="8449" xr:uid="{00000000-0005-0000-0000-0000F83A0000}"/>
    <cellStyle name="Normal 2 3 2 2 2 2 3 2 2" xfId="17479" xr:uid="{00000000-0005-0000-0000-0000F93A0000}"/>
    <cellStyle name="Normal 2 3 2 2 2 2 3 2 2 2" xfId="37531" xr:uid="{00000000-0005-0000-0000-0000FA3A0000}"/>
    <cellStyle name="Normal 2 3 2 2 2 2 3 2 3" xfId="28501" xr:uid="{00000000-0005-0000-0000-0000FB3A0000}"/>
    <cellStyle name="Normal 2 3 2 2 2 2 3 3" xfId="12997" xr:uid="{00000000-0005-0000-0000-0000FC3A0000}"/>
    <cellStyle name="Normal 2 3 2 2 2 2 3 3 2" xfId="33049" xr:uid="{00000000-0005-0000-0000-0000FD3A0000}"/>
    <cellStyle name="Normal 2 3 2 2 2 2 3 4" xfId="24019" xr:uid="{00000000-0005-0000-0000-0000FE3A0000}"/>
    <cellStyle name="Normal 2 3 2 2 2 2 4" xfId="5461" xr:uid="{00000000-0005-0000-0000-0000FF3A0000}"/>
    <cellStyle name="Normal 2 3 2 2 2 2 4 2" xfId="14491" xr:uid="{00000000-0005-0000-0000-0000003B0000}"/>
    <cellStyle name="Normal 2 3 2 2 2 2 4 2 2" xfId="34543" xr:uid="{00000000-0005-0000-0000-0000013B0000}"/>
    <cellStyle name="Normal 2 3 2 2 2 2 4 3" xfId="25513" xr:uid="{00000000-0005-0000-0000-0000023B0000}"/>
    <cellStyle name="Normal 2 3 2 2 2 2 5" xfId="10009" xr:uid="{00000000-0005-0000-0000-0000033B0000}"/>
    <cellStyle name="Normal 2 3 2 2 2 2 5 2" xfId="30061" xr:uid="{00000000-0005-0000-0000-0000043B0000}"/>
    <cellStyle name="Normal 2 3 2 2 2 2 6" xfId="21031" xr:uid="{00000000-0005-0000-0000-0000053B0000}"/>
    <cellStyle name="Normal 2 3 2 2 2 3" xfId="1728" xr:uid="{00000000-0005-0000-0000-0000063B0000}"/>
    <cellStyle name="Normal 2 3 2 2 2 3 2" xfId="6210" xr:uid="{00000000-0005-0000-0000-0000073B0000}"/>
    <cellStyle name="Normal 2 3 2 2 2 3 2 2" xfId="15240" xr:uid="{00000000-0005-0000-0000-0000083B0000}"/>
    <cellStyle name="Normal 2 3 2 2 2 3 2 2 2" xfId="35292" xr:uid="{00000000-0005-0000-0000-0000093B0000}"/>
    <cellStyle name="Normal 2 3 2 2 2 3 2 3" xfId="26262" xr:uid="{00000000-0005-0000-0000-00000A3B0000}"/>
    <cellStyle name="Normal 2 3 2 2 2 3 3" xfId="10758" xr:uid="{00000000-0005-0000-0000-00000B3B0000}"/>
    <cellStyle name="Normal 2 3 2 2 2 3 3 2" xfId="30810" xr:uid="{00000000-0005-0000-0000-00000C3B0000}"/>
    <cellStyle name="Normal 2 3 2 2 2 3 4" xfId="21780" xr:uid="{00000000-0005-0000-0000-00000D3B0000}"/>
    <cellStyle name="Normal 2 3 2 2 2 4" xfId="3222" xr:uid="{00000000-0005-0000-0000-00000E3B0000}"/>
    <cellStyle name="Normal 2 3 2 2 2 4 2" xfId="7704" xr:uid="{00000000-0005-0000-0000-00000F3B0000}"/>
    <cellStyle name="Normal 2 3 2 2 2 4 2 2" xfId="16734" xr:uid="{00000000-0005-0000-0000-0000103B0000}"/>
    <cellStyle name="Normal 2 3 2 2 2 4 2 2 2" xfId="36786" xr:uid="{00000000-0005-0000-0000-0000113B0000}"/>
    <cellStyle name="Normal 2 3 2 2 2 4 2 3" xfId="27756" xr:uid="{00000000-0005-0000-0000-0000123B0000}"/>
    <cellStyle name="Normal 2 3 2 2 2 4 3" xfId="12252" xr:uid="{00000000-0005-0000-0000-0000133B0000}"/>
    <cellStyle name="Normal 2 3 2 2 2 4 3 2" xfId="32304" xr:uid="{00000000-0005-0000-0000-0000143B0000}"/>
    <cellStyle name="Normal 2 3 2 2 2 4 4" xfId="23274" xr:uid="{00000000-0005-0000-0000-0000153B0000}"/>
    <cellStyle name="Normal 2 3 2 2 2 5" xfId="4716" xr:uid="{00000000-0005-0000-0000-0000163B0000}"/>
    <cellStyle name="Normal 2 3 2 2 2 5 2" xfId="13746" xr:uid="{00000000-0005-0000-0000-0000173B0000}"/>
    <cellStyle name="Normal 2 3 2 2 2 5 2 2" xfId="33798" xr:uid="{00000000-0005-0000-0000-0000183B0000}"/>
    <cellStyle name="Normal 2 3 2 2 2 5 3" xfId="24768" xr:uid="{00000000-0005-0000-0000-0000193B0000}"/>
    <cellStyle name="Normal 2 3 2 2 2 6" xfId="9264" xr:uid="{00000000-0005-0000-0000-00001A3B0000}"/>
    <cellStyle name="Normal 2 3 2 2 2 6 2" xfId="29316" xr:uid="{00000000-0005-0000-0000-00001B3B0000}"/>
    <cellStyle name="Normal 2 3 2 2 2 7" xfId="20286" xr:uid="{00000000-0005-0000-0000-00001C3B0000}"/>
    <cellStyle name="Normal 2 3 2 2 3" xfId="420" xr:uid="{00000000-0005-0000-0000-00001D3B0000}"/>
    <cellStyle name="Normal 2 3 2 2 3 2" xfId="1167" xr:uid="{00000000-0005-0000-0000-00001E3B0000}"/>
    <cellStyle name="Normal 2 3 2 2 3 2 2" xfId="2661" xr:uid="{00000000-0005-0000-0000-00001F3B0000}"/>
    <cellStyle name="Normal 2 3 2 2 3 2 2 2" xfId="7143" xr:uid="{00000000-0005-0000-0000-0000203B0000}"/>
    <cellStyle name="Normal 2 3 2 2 3 2 2 2 2" xfId="16173" xr:uid="{00000000-0005-0000-0000-0000213B0000}"/>
    <cellStyle name="Normal 2 3 2 2 3 2 2 2 2 2" xfId="36225" xr:uid="{00000000-0005-0000-0000-0000223B0000}"/>
    <cellStyle name="Normal 2 3 2 2 3 2 2 2 3" xfId="27195" xr:uid="{00000000-0005-0000-0000-0000233B0000}"/>
    <cellStyle name="Normal 2 3 2 2 3 2 2 3" xfId="11691" xr:uid="{00000000-0005-0000-0000-0000243B0000}"/>
    <cellStyle name="Normal 2 3 2 2 3 2 2 3 2" xfId="31743" xr:uid="{00000000-0005-0000-0000-0000253B0000}"/>
    <cellStyle name="Normal 2 3 2 2 3 2 2 4" xfId="22713" xr:uid="{00000000-0005-0000-0000-0000263B0000}"/>
    <cellStyle name="Normal 2 3 2 2 3 2 3" xfId="4155" xr:uid="{00000000-0005-0000-0000-0000273B0000}"/>
    <cellStyle name="Normal 2 3 2 2 3 2 3 2" xfId="8637" xr:uid="{00000000-0005-0000-0000-0000283B0000}"/>
    <cellStyle name="Normal 2 3 2 2 3 2 3 2 2" xfId="17667" xr:uid="{00000000-0005-0000-0000-0000293B0000}"/>
    <cellStyle name="Normal 2 3 2 2 3 2 3 2 2 2" xfId="37719" xr:uid="{00000000-0005-0000-0000-00002A3B0000}"/>
    <cellStyle name="Normal 2 3 2 2 3 2 3 2 3" xfId="28689" xr:uid="{00000000-0005-0000-0000-00002B3B0000}"/>
    <cellStyle name="Normal 2 3 2 2 3 2 3 3" xfId="13185" xr:uid="{00000000-0005-0000-0000-00002C3B0000}"/>
    <cellStyle name="Normal 2 3 2 2 3 2 3 3 2" xfId="33237" xr:uid="{00000000-0005-0000-0000-00002D3B0000}"/>
    <cellStyle name="Normal 2 3 2 2 3 2 3 4" xfId="24207" xr:uid="{00000000-0005-0000-0000-00002E3B0000}"/>
    <cellStyle name="Normal 2 3 2 2 3 2 4" xfId="5649" xr:uid="{00000000-0005-0000-0000-00002F3B0000}"/>
    <cellStyle name="Normal 2 3 2 2 3 2 4 2" xfId="14679" xr:uid="{00000000-0005-0000-0000-0000303B0000}"/>
    <cellStyle name="Normal 2 3 2 2 3 2 4 2 2" xfId="34731" xr:uid="{00000000-0005-0000-0000-0000313B0000}"/>
    <cellStyle name="Normal 2 3 2 2 3 2 4 3" xfId="25701" xr:uid="{00000000-0005-0000-0000-0000323B0000}"/>
    <cellStyle name="Normal 2 3 2 2 3 2 5" xfId="10197" xr:uid="{00000000-0005-0000-0000-0000333B0000}"/>
    <cellStyle name="Normal 2 3 2 2 3 2 5 2" xfId="30249" xr:uid="{00000000-0005-0000-0000-0000343B0000}"/>
    <cellStyle name="Normal 2 3 2 2 3 2 6" xfId="21219" xr:uid="{00000000-0005-0000-0000-0000353B0000}"/>
    <cellStyle name="Normal 2 3 2 2 3 3" xfId="1914" xr:uid="{00000000-0005-0000-0000-0000363B0000}"/>
    <cellStyle name="Normal 2 3 2 2 3 3 2" xfId="6396" xr:uid="{00000000-0005-0000-0000-0000373B0000}"/>
    <cellStyle name="Normal 2 3 2 2 3 3 2 2" xfId="15426" xr:uid="{00000000-0005-0000-0000-0000383B0000}"/>
    <cellStyle name="Normal 2 3 2 2 3 3 2 2 2" xfId="35478" xr:uid="{00000000-0005-0000-0000-0000393B0000}"/>
    <cellStyle name="Normal 2 3 2 2 3 3 2 3" xfId="26448" xr:uid="{00000000-0005-0000-0000-00003A3B0000}"/>
    <cellStyle name="Normal 2 3 2 2 3 3 3" xfId="10944" xr:uid="{00000000-0005-0000-0000-00003B3B0000}"/>
    <cellStyle name="Normal 2 3 2 2 3 3 3 2" xfId="30996" xr:uid="{00000000-0005-0000-0000-00003C3B0000}"/>
    <cellStyle name="Normal 2 3 2 2 3 3 4" xfId="21966" xr:uid="{00000000-0005-0000-0000-00003D3B0000}"/>
    <cellStyle name="Normal 2 3 2 2 3 4" xfId="3408" xr:uid="{00000000-0005-0000-0000-00003E3B0000}"/>
    <cellStyle name="Normal 2 3 2 2 3 4 2" xfId="7890" xr:uid="{00000000-0005-0000-0000-00003F3B0000}"/>
    <cellStyle name="Normal 2 3 2 2 3 4 2 2" xfId="16920" xr:uid="{00000000-0005-0000-0000-0000403B0000}"/>
    <cellStyle name="Normal 2 3 2 2 3 4 2 2 2" xfId="36972" xr:uid="{00000000-0005-0000-0000-0000413B0000}"/>
    <cellStyle name="Normal 2 3 2 2 3 4 2 3" xfId="27942" xr:uid="{00000000-0005-0000-0000-0000423B0000}"/>
    <cellStyle name="Normal 2 3 2 2 3 4 3" xfId="12438" xr:uid="{00000000-0005-0000-0000-0000433B0000}"/>
    <cellStyle name="Normal 2 3 2 2 3 4 3 2" xfId="32490" xr:uid="{00000000-0005-0000-0000-0000443B0000}"/>
    <cellStyle name="Normal 2 3 2 2 3 4 4" xfId="23460" xr:uid="{00000000-0005-0000-0000-0000453B0000}"/>
    <cellStyle name="Normal 2 3 2 2 3 5" xfId="4902" xr:uid="{00000000-0005-0000-0000-0000463B0000}"/>
    <cellStyle name="Normal 2 3 2 2 3 5 2" xfId="13932" xr:uid="{00000000-0005-0000-0000-0000473B0000}"/>
    <cellStyle name="Normal 2 3 2 2 3 5 2 2" xfId="33984" xr:uid="{00000000-0005-0000-0000-0000483B0000}"/>
    <cellStyle name="Normal 2 3 2 2 3 5 3" xfId="24954" xr:uid="{00000000-0005-0000-0000-0000493B0000}"/>
    <cellStyle name="Normal 2 3 2 2 3 6" xfId="9450" xr:uid="{00000000-0005-0000-0000-00004A3B0000}"/>
    <cellStyle name="Normal 2 3 2 2 3 6 2" xfId="29502" xr:uid="{00000000-0005-0000-0000-00004B3B0000}"/>
    <cellStyle name="Normal 2 3 2 2 3 7" xfId="20472" xr:uid="{00000000-0005-0000-0000-00004C3B0000}"/>
    <cellStyle name="Normal 2 3 2 2 4" xfId="606" xr:uid="{00000000-0005-0000-0000-00004D3B0000}"/>
    <cellStyle name="Normal 2 3 2 2 4 2" xfId="1353" xr:uid="{00000000-0005-0000-0000-00004E3B0000}"/>
    <cellStyle name="Normal 2 3 2 2 4 2 2" xfId="2847" xr:uid="{00000000-0005-0000-0000-00004F3B0000}"/>
    <cellStyle name="Normal 2 3 2 2 4 2 2 2" xfId="7329" xr:uid="{00000000-0005-0000-0000-0000503B0000}"/>
    <cellStyle name="Normal 2 3 2 2 4 2 2 2 2" xfId="16359" xr:uid="{00000000-0005-0000-0000-0000513B0000}"/>
    <cellStyle name="Normal 2 3 2 2 4 2 2 2 2 2" xfId="36411" xr:uid="{00000000-0005-0000-0000-0000523B0000}"/>
    <cellStyle name="Normal 2 3 2 2 4 2 2 2 3" xfId="27381" xr:uid="{00000000-0005-0000-0000-0000533B0000}"/>
    <cellStyle name="Normal 2 3 2 2 4 2 2 3" xfId="11877" xr:uid="{00000000-0005-0000-0000-0000543B0000}"/>
    <cellStyle name="Normal 2 3 2 2 4 2 2 3 2" xfId="31929" xr:uid="{00000000-0005-0000-0000-0000553B0000}"/>
    <cellStyle name="Normal 2 3 2 2 4 2 2 4" xfId="22899" xr:uid="{00000000-0005-0000-0000-0000563B0000}"/>
    <cellStyle name="Normal 2 3 2 2 4 2 3" xfId="4341" xr:uid="{00000000-0005-0000-0000-0000573B0000}"/>
    <cellStyle name="Normal 2 3 2 2 4 2 3 2" xfId="8823" xr:uid="{00000000-0005-0000-0000-0000583B0000}"/>
    <cellStyle name="Normal 2 3 2 2 4 2 3 2 2" xfId="17853" xr:uid="{00000000-0005-0000-0000-0000593B0000}"/>
    <cellStyle name="Normal 2 3 2 2 4 2 3 2 2 2" xfId="37905" xr:uid="{00000000-0005-0000-0000-00005A3B0000}"/>
    <cellStyle name="Normal 2 3 2 2 4 2 3 2 3" xfId="28875" xr:uid="{00000000-0005-0000-0000-00005B3B0000}"/>
    <cellStyle name="Normal 2 3 2 2 4 2 3 3" xfId="13371" xr:uid="{00000000-0005-0000-0000-00005C3B0000}"/>
    <cellStyle name="Normal 2 3 2 2 4 2 3 3 2" xfId="33423" xr:uid="{00000000-0005-0000-0000-00005D3B0000}"/>
    <cellStyle name="Normal 2 3 2 2 4 2 3 4" xfId="24393" xr:uid="{00000000-0005-0000-0000-00005E3B0000}"/>
    <cellStyle name="Normal 2 3 2 2 4 2 4" xfId="5835" xr:uid="{00000000-0005-0000-0000-00005F3B0000}"/>
    <cellStyle name="Normal 2 3 2 2 4 2 4 2" xfId="14865" xr:uid="{00000000-0005-0000-0000-0000603B0000}"/>
    <cellStyle name="Normal 2 3 2 2 4 2 4 2 2" xfId="34917" xr:uid="{00000000-0005-0000-0000-0000613B0000}"/>
    <cellStyle name="Normal 2 3 2 2 4 2 4 3" xfId="25887" xr:uid="{00000000-0005-0000-0000-0000623B0000}"/>
    <cellStyle name="Normal 2 3 2 2 4 2 5" xfId="10383" xr:uid="{00000000-0005-0000-0000-0000633B0000}"/>
    <cellStyle name="Normal 2 3 2 2 4 2 5 2" xfId="30435" xr:uid="{00000000-0005-0000-0000-0000643B0000}"/>
    <cellStyle name="Normal 2 3 2 2 4 2 6" xfId="21405" xr:uid="{00000000-0005-0000-0000-0000653B0000}"/>
    <cellStyle name="Normal 2 3 2 2 4 3" xfId="2100" xr:uid="{00000000-0005-0000-0000-0000663B0000}"/>
    <cellStyle name="Normal 2 3 2 2 4 3 2" xfId="6582" xr:uid="{00000000-0005-0000-0000-0000673B0000}"/>
    <cellStyle name="Normal 2 3 2 2 4 3 2 2" xfId="15612" xr:uid="{00000000-0005-0000-0000-0000683B0000}"/>
    <cellStyle name="Normal 2 3 2 2 4 3 2 2 2" xfId="35664" xr:uid="{00000000-0005-0000-0000-0000693B0000}"/>
    <cellStyle name="Normal 2 3 2 2 4 3 2 3" xfId="26634" xr:uid="{00000000-0005-0000-0000-00006A3B0000}"/>
    <cellStyle name="Normal 2 3 2 2 4 3 3" xfId="11130" xr:uid="{00000000-0005-0000-0000-00006B3B0000}"/>
    <cellStyle name="Normal 2 3 2 2 4 3 3 2" xfId="31182" xr:uid="{00000000-0005-0000-0000-00006C3B0000}"/>
    <cellStyle name="Normal 2 3 2 2 4 3 4" xfId="22152" xr:uid="{00000000-0005-0000-0000-00006D3B0000}"/>
    <cellStyle name="Normal 2 3 2 2 4 4" xfId="3594" xr:uid="{00000000-0005-0000-0000-00006E3B0000}"/>
    <cellStyle name="Normal 2 3 2 2 4 4 2" xfId="8076" xr:uid="{00000000-0005-0000-0000-00006F3B0000}"/>
    <cellStyle name="Normal 2 3 2 2 4 4 2 2" xfId="17106" xr:uid="{00000000-0005-0000-0000-0000703B0000}"/>
    <cellStyle name="Normal 2 3 2 2 4 4 2 2 2" xfId="37158" xr:uid="{00000000-0005-0000-0000-0000713B0000}"/>
    <cellStyle name="Normal 2 3 2 2 4 4 2 3" xfId="28128" xr:uid="{00000000-0005-0000-0000-0000723B0000}"/>
    <cellStyle name="Normal 2 3 2 2 4 4 3" xfId="12624" xr:uid="{00000000-0005-0000-0000-0000733B0000}"/>
    <cellStyle name="Normal 2 3 2 2 4 4 3 2" xfId="32676" xr:uid="{00000000-0005-0000-0000-0000743B0000}"/>
    <cellStyle name="Normal 2 3 2 2 4 4 4" xfId="23646" xr:uid="{00000000-0005-0000-0000-0000753B0000}"/>
    <cellStyle name="Normal 2 3 2 2 4 5" xfId="5088" xr:uid="{00000000-0005-0000-0000-0000763B0000}"/>
    <cellStyle name="Normal 2 3 2 2 4 5 2" xfId="14118" xr:uid="{00000000-0005-0000-0000-0000773B0000}"/>
    <cellStyle name="Normal 2 3 2 2 4 5 2 2" xfId="34170" xr:uid="{00000000-0005-0000-0000-0000783B0000}"/>
    <cellStyle name="Normal 2 3 2 2 4 5 3" xfId="25140" xr:uid="{00000000-0005-0000-0000-0000793B0000}"/>
    <cellStyle name="Normal 2 3 2 2 4 6" xfId="9636" xr:uid="{00000000-0005-0000-0000-00007A3B0000}"/>
    <cellStyle name="Normal 2 3 2 2 4 6 2" xfId="29688" xr:uid="{00000000-0005-0000-0000-00007B3B0000}"/>
    <cellStyle name="Normal 2 3 2 2 4 7" xfId="20658" xr:uid="{00000000-0005-0000-0000-00007C3B0000}"/>
    <cellStyle name="Normal 2 3 2 2 5" xfId="793" xr:uid="{00000000-0005-0000-0000-00007D3B0000}"/>
    <cellStyle name="Normal 2 3 2 2 5 2" xfId="2287" xr:uid="{00000000-0005-0000-0000-00007E3B0000}"/>
    <cellStyle name="Normal 2 3 2 2 5 2 2" xfId="6769" xr:uid="{00000000-0005-0000-0000-00007F3B0000}"/>
    <cellStyle name="Normal 2 3 2 2 5 2 2 2" xfId="15799" xr:uid="{00000000-0005-0000-0000-0000803B0000}"/>
    <cellStyle name="Normal 2 3 2 2 5 2 2 2 2" xfId="35851" xr:uid="{00000000-0005-0000-0000-0000813B0000}"/>
    <cellStyle name="Normal 2 3 2 2 5 2 2 3" xfId="26821" xr:uid="{00000000-0005-0000-0000-0000823B0000}"/>
    <cellStyle name="Normal 2 3 2 2 5 2 3" xfId="11317" xr:uid="{00000000-0005-0000-0000-0000833B0000}"/>
    <cellStyle name="Normal 2 3 2 2 5 2 3 2" xfId="31369" xr:uid="{00000000-0005-0000-0000-0000843B0000}"/>
    <cellStyle name="Normal 2 3 2 2 5 2 4" xfId="22339" xr:uid="{00000000-0005-0000-0000-0000853B0000}"/>
    <cellStyle name="Normal 2 3 2 2 5 3" xfId="3781" xr:uid="{00000000-0005-0000-0000-0000863B0000}"/>
    <cellStyle name="Normal 2 3 2 2 5 3 2" xfId="8263" xr:uid="{00000000-0005-0000-0000-0000873B0000}"/>
    <cellStyle name="Normal 2 3 2 2 5 3 2 2" xfId="17293" xr:uid="{00000000-0005-0000-0000-0000883B0000}"/>
    <cellStyle name="Normal 2 3 2 2 5 3 2 2 2" xfId="37345" xr:uid="{00000000-0005-0000-0000-0000893B0000}"/>
    <cellStyle name="Normal 2 3 2 2 5 3 2 3" xfId="28315" xr:uid="{00000000-0005-0000-0000-00008A3B0000}"/>
    <cellStyle name="Normal 2 3 2 2 5 3 3" xfId="12811" xr:uid="{00000000-0005-0000-0000-00008B3B0000}"/>
    <cellStyle name="Normal 2 3 2 2 5 3 3 2" xfId="32863" xr:uid="{00000000-0005-0000-0000-00008C3B0000}"/>
    <cellStyle name="Normal 2 3 2 2 5 3 4" xfId="23833" xr:uid="{00000000-0005-0000-0000-00008D3B0000}"/>
    <cellStyle name="Normal 2 3 2 2 5 4" xfId="5275" xr:uid="{00000000-0005-0000-0000-00008E3B0000}"/>
    <cellStyle name="Normal 2 3 2 2 5 4 2" xfId="14305" xr:uid="{00000000-0005-0000-0000-00008F3B0000}"/>
    <cellStyle name="Normal 2 3 2 2 5 4 2 2" xfId="34357" xr:uid="{00000000-0005-0000-0000-0000903B0000}"/>
    <cellStyle name="Normal 2 3 2 2 5 4 3" xfId="25327" xr:uid="{00000000-0005-0000-0000-0000913B0000}"/>
    <cellStyle name="Normal 2 3 2 2 5 5" xfId="9823" xr:uid="{00000000-0005-0000-0000-0000923B0000}"/>
    <cellStyle name="Normal 2 3 2 2 5 5 2" xfId="29875" xr:uid="{00000000-0005-0000-0000-0000933B0000}"/>
    <cellStyle name="Normal 2 3 2 2 5 6" xfId="20845" xr:uid="{00000000-0005-0000-0000-0000943B0000}"/>
    <cellStyle name="Normal 2 3 2 2 6" xfId="1542" xr:uid="{00000000-0005-0000-0000-0000953B0000}"/>
    <cellStyle name="Normal 2 3 2 2 6 2" xfId="6024" xr:uid="{00000000-0005-0000-0000-0000963B0000}"/>
    <cellStyle name="Normal 2 3 2 2 6 2 2" xfId="15054" xr:uid="{00000000-0005-0000-0000-0000973B0000}"/>
    <cellStyle name="Normal 2 3 2 2 6 2 2 2" xfId="35106" xr:uid="{00000000-0005-0000-0000-0000983B0000}"/>
    <cellStyle name="Normal 2 3 2 2 6 2 3" xfId="26076" xr:uid="{00000000-0005-0000-0000-0000993B0000}"/>
    <cellStyle name="Normal 2 3 2 2 6 3" xfId="10572" xr:uid="{00000000-0005-0000-0000-00009A3B0000}"/>
    <cellStyle name="Normal 2 3 2 2 6 3 2" xfId="30624" xr:uid="{00000000-0005-0000-0000-00009B3B0000}"/>
    <cellStyle name="Normal 2 3 2 2 6 4" xfId="21594" xr:uid="{00000000-0005-0000-0000-00009C3B0000}"/>
    <cellStyle name="Normal 2 3 2 2 7" xfId="3036" xr:uid="{00000000-0005-0000-0000-00009D3B0000}"/>
    <cellStyle name="Normal 2 3 2 2 7 2" xfId="7518" xr:uid="{00000000-0005-0000-0000-00009E3B0000}"/>
    <cellStyle name="Normal 2 3 2 2 7 2 2" xfId="16548" xr:uid="{00000000-0005-0000-0000-00009F3B0000}"/>
    <cellStyle name="Normal 2 3 2 2 7 2 2 2" xfId="36600" xr:uid="{00000000-0005-0000-0000-0000A03B0000}"/>
    <cellStyle name="Normal 2 3 2 2 7 2 3" xfId="27570" xr:uid="{00000000-0005-0000-0000-0000A13B0000}"/>
    <cellStyle name="Normal 2 3 2 2 7 3" xfId="12066" xr:uid="{00000000-0005-0000-0000-0000A23B0000}"/>
    <cellStyle name="Normal 2 3 2 2 7 3 2" xfId="32118" xr:uid="{00000000-0005-0000-0000-0000A33B0000}"/>
    <cellStyle name="Normal 2 3 2 2 7 4" xfId="23088" xr:uid="{00000000-0005-0000-0000-0000A43B0000}"/>
    <cellStyle name="Normal 2 3 2 2 8" xfId="4530" xr:uid="{00000000-0005-0000-0000-0000A53B0000}"/>
    <cellStyle name="Normal 2 3 2 2 8 2" xfId="13560" xr:uid="{00000000-0005-0000-0000-0000A63B0000}"/>
    <cellStyle name="Normal 2 3 2 2 8 2 2" xfId="33612" xr:uid="{00000000-0005-0000-0000-0000A73B0000}"/>
    <cellStyle name="Normal 2 3 2 2 8 3" xfId="24582" xr:uid="{00000000-0005-0000-0000-0000A83B0000}"/>
    <cellStyle name="Normal 2 3 2 2 9" xfId="9078" xr:uid="{00000000-0005-0000-0000-0000A93B0000}"/>
    <cellStyle name="Normal 2 3 2 2 9 2" xfId="29130" xr:uid="{00000000-0005-0000-0000-0000AA3B0000}"/>
    <cellStyle name="Normal 2 3 2 3" xfId="71" xr:uid="{00000000-0005-0000-0000-0000AB3B0000}"/>
    <cellStyle name="Normal 2 3 2 3 10" xfId="20123" xr:uid="{00000000-0005-0000-0000-0000AC3B0000}"/>
    <cellStyle name="Normal 2 3 2 3 2" xfId="257" xr:uid="{00000000-0005-0000-0000-0000AD3B0000}"/>
    <cellStyle name="Normal 2 3 2 3 2 2" xfId="1002" xr:uid="{00000000-0005-0000-0000-0000AE3B0000}"/>
    <cellStyle name="Normal 2 3 2 3 2 2 2" xfId="2496" xr:uid="{00000000-0005-0000-0000-0000AF3B0000}"/>
    <cellStyle name="Normal 2 3 2 3 2 2 2 2" xfId="6978" xr:uid="{00000000-0005-0000-0000-0000B03B0000}"/>
    <cellStyle name="Normal 2 3 2 3 2 2 2 2 2" xfId="16008" xr:uid="{00000000-0005-0000-0000-0000B13B0000}"/>
    <cellStyle name="Normal 2 3 2 3 2 2 2 2 2 2" xfId="36060" xr:uid="{00000000-0005-0000-0000-0000B23B0000}"/>
    <cellStyle name="Normal 2 3 2 3 2 2 2 2 3" xfId="27030" xr:uid="{00000000-0005-0000-0000-0000B33B0000}"/>
    <cellStyle name="Normal 2 3 2 3 2 2 2 3" xfId="11526" xr:uid="{00000000-0005-0000-0000-0000B43B0000}"/>
    <cellStyle name="Normal 2 3 2 3 2 2 2 3 2" xfId="31578" xr:uid="{00000000-0005-0000-0000-0000B53B0000}"/>
    <cellStyle name="Normal 2 3 2 3 2 2 2 4" xfId="22548" xr:uid="{00000000-0005-0000-0000-0000B63B0000}"/>
    <cellStyle name="Normal 2 3 2 3 2 2 3" xfId="3990" xr:uid="{00000000-0005-0000-0000-0000B73B0000}"/>
    <cellStyle name="Normal 2 3 2 3 2 2 3 2" xfId="8472" xr:uid="{00000000-0005-0000-0000-0000B83B0000}"/>
    <cellStyle name="Normal 2 3 2 3 2 2 3 2 2" xfId="17502" xr:uid="{00000000-0005-0000-0000-0000B93B0000}"/>
    <cellStyle name="Normal 2 3 2 3 2 2 3 2 2 2" xfId="37554" xr:uid="{00000000-0005-0000-0000-0000BA3B0000}"/>
    <cellStyle name="Normal 2 3 2 3 2 2 3 2 3" xfId="28524" xr:uid="{00000000-0005-0000-0000-0000BB3B0000}"/>
    <cellStyle name="Normal 2 3 2 3 2 2 3 3" xfId="13020" xr:uid="{00000000-0005-0000-0000-0000BC3B0000}"/>
    <cellStyle name="Normal 2 3 2 3 2 2 3 3 2" xfId="33072" xr:uid="{00000000-0005-0000-0000-0000BD3B0000}"/>
    <cellStyle name="Normal 2 3 2 3 2 2 3 4" xfId="24042" xr:uid="{00000000-0005-0000-0000-0000BE3B0000}"/>
    <cellStyle name="Normal 2 3 2 3 2 2 4" xfId="5484" xr:uid="{00000000-0005-0000-0000-0000BF3B0000}"/>
    <cellStyle name="Normal 2 3 2 3 2 2 4 2" xfId="14514" xr:uid="{00000000-0005-0000-0000-0000C03B0000}"/>
    <cellStyle name="Normal 2 3 2 3 2 2 4 2 2" xfId="34566" xr:uid="{00000000-0005-0000-0000-0000C13B0000}"/>
    <cellStyle name="Normal 2 3 2 3 2 2 4 3" xfId="25536" xr:uid="{00000000-0005-0000-0000-0000C23B0000}"/>
    <cellStyle name="Normal 2 3 2 3 2 2 5" xfId="10032" xr:uid="{00000000-0005-0000-0000-0000C33B0000}"/>
    <cellStyle name="Normal 2 3 2 3 2 2 5 2" xfId="30084" xr:uid="{00000000-0005-0000-0000-0000C43B0000}"/>
    <cellStyle name="Normal 2 3 2 3 2 2 6" xfId="21054" xr:uid="{00000000-0005-0000-0000-0000C53B0000}"/>
    <cellStyle name="Normal 2 3 2 3 2 3" xfId="1751" xr:uid="{00000000-0005-0000-0000-0000C63B0000}"/>
    <cellStyle name="Normal 2 3 2 3 2 3 2" xfId="6233" xr:uid="{00000000-0005-0000-0000-0000C73B0000}"/>
    <cellStyle name="Normal 2 3 2 3 2 3 2 2" xfId="15263" xr:uid="{00000000-0005-0000-0000-0000C83B0000}"/>
    <cellStyle name="Normal 2 3 2 3 2 3 2 2 2" xfId="35315" xr:uid="{00000000-0005-0000-0000-0000C93B0000}"/>
    <cellStyle name="Normal 2 3 2 3 2 3 2 3" xfId="26285" xr:uid="{00000000-0005-0000-0000-0000CA3B0000}"/>
    <cellStyle name="Normal 2 3 2 3 2 3 3" xfId="10781" xr:uid="{00000000-0005-0000-0000-0000CB3B0000}"/>
    <cellStyle name="Normal 2 3 2 3 2 3 3 2" xfId="30833" xr:uid="{00000000-0005-0000-0000-0000CC3B0000}"/>
    <cellStyle name="Normal 2 3 2 3 2 3 4" xfId="21803" xr:uid="{00000000-0005-0000-0000-0000CD3B0000}"/>
    <cellStyle name="Normal 2 3 2 3 2 4" xfId="3245" xr:uid="{00000000-0005-0000-0000-0000CE3B0000}"/>
    <cellStyle name="Normal 2 3 2 3 2 4 2" xfId="7727" xr:uid="{00000000-0005-0000-0000-0000CF3B0000}"/>
    <cellStyle name="Normal 2 3 2 3 2 4 2 2" xfId="16757" xr:uid="{00000000-0005-0000-0000-0000D03B0000}"/>
    <cellStyle name="Normal 2 3 2 3 2 4 2 2 2" xfId="36809" xr:uid="{00000000-0005-0000-0000-0000D13B0000}"/>
    <cellStyle name="Normal 2 3 2 3 2 4 2 3" xfId="27779" xr:uid="{00000000-0005-0000-0000-0000D23B0000}"/>
    <cellStyle name="Normal 2 3 2 3 2 4 3" xfId="12275" xr:uid="{00000000-0005-0000-0000-0000D33B0000}"/>
    <cellStyle name="Normal 2 3 2 3 2 4 3 2" xfId="32327" xr:uid="{00000000-0005-0000-0000-0000D43B0000}"/>
    <cellStyle name="Normal 2 3 2 3 2 4 4" xfId="23297" xr:uid="{00000000-0005-0000-0000-0000D53B0000}"/>
    <cellStyle name="Normal 2 3 2 3 2 5" xfId="4739" xr:uid="{00000000-0005-0000-0000-0000D63B0000}"/>
    <cellStyle name="Normal 2 3 2 3 2 5 2" xfId="13769" xr:uid="{00000000-0005-0000-0000-0000D73B0000}"/>
    <cellStyle name="Normal 2 3 2 3 2 5 2 2" xfId="33821" xr:uid="{00000000-0005-0000-0000-0000D83B0000}"/>
    <cellStyle name="Normal 2 3 2 3 2 5 3" xfId="24791" xr:uid="{00000000-0005-0000-0000-0000D93B0000}"/>
    <cellStyle name="Normal 2 3 2 3 2 6" xfId="9287" xr:uid="{00000000-0005-0000-0000-0000DA3B0000}"/>
    <cellStyle name="Normal 2 3 2 3 2 6 2" xfId="29339" xr:uid="{00000000-0005-0000-0000-0000DB3B0000}"/>
    <cellStyle name="Normal 2 3 2 3 2 7" xfId="20309" xr:uid="{00000000-0005-0000-0000-0000DC3B0000}"/>
    <cellStyle name="Normal 2 3 2 3 3" xfId="443" xr:uid="{00000000-0005-0000-0000-0000DD3B0000}"/>
    <cellStyle name="Normal 2 3 2 3 3 2" xfId="1190" xr:uid="{00000000-0005-0000-0000-0000DE3B0000}"/>
    <cellStyle name="Normal 2 3 2 3 3 2 2" xfId="2684" xr:uid="{00000000-0005-0000-0000-0000DF3B0000}"/>
    <cellStyle name="Normal 2 3 2 3 3 2 2 2" xfId="7166" xr:uid="{00000000-0005-0000-0000-0000E03B0000}"/>
    <cellStyle name="Normal 2 3 2 3 3 2 2 2 2" xfId="16196" xr:uid="{00000000-0005-0000-0000-0000E13B0000}"/>
    <cellStyle name="Normal 2 3 2 3 3 2 2 2 2 2" xfId="36248" xr:uid="{00000000-0005-0000-0000-0000E23B0000}"/>
    <cellStyle name="Normal 2 3 2 3 3 2 2 2 3" xfId="27218" xr:uid="{00000000-0005-0000-0000-0000E33B0000}"/>
    <cellStyle name="Normal 2 3 2 3 3 2 2 3" xfId="11714" xr:uid="{00000000-0005-0000-0000-0000E43B0000}"/>
    <cellStyle name="Normal 2 3 2 3 3 2 2 3 2" xfId="31766" xr:uid="{00000000-0005-0000-0000-0000E53B0000}"/>
    <cellStyle name="Normal 2 3 2 3 3 2 2 4" xfId="22736" xr:uid="{00000000-0005-0000-0000-0000E63B0000}"/>
    <cellStyle name="Normal 2 3 2 3 3 2 3" xfId="4178" xr:uid="{00000000-0005-0000-0000-0000E73B0000}"/>
    <cellStyle name="Normal 2 3 2 3 3 2 3 2" xfId="8660" xr:uid="{00000000-0005-0000-0000-0000E83B0000}"/>
    <cellStyle name="Normal 2 3 2 3 3 2 3 2 2" xfId="17690" xr:uid="{00000000-0005-0000-0000-0000E93B0000}"/>
    <cellStyle name="Normal 2 3 2 3 3 2 3 2 2 2" xfId="37742" xr:uid="{00000000-0005-0000-0000-0000EA3B0000}"/>
    <cellStyle name="Normal 2 3 2 3 3 2 3 2 3" xfId="28712" xr:uid="{00000000-0005-0000-0000-0000EB3B0000}"/>
    <cellStyle name="Normal 2 3 2 3 3 2 3 3" xfId="13208" xr:uid="{00000000-0005-0000-0000-0000EC3B0000}"/>
    <cellStyle name="Normal 2 3 2 3 3 2 3 3 2" xfId="33260" xr:uid="{00000000-0005-0000-0000-0000ED3B0000}"/>
    <cellStyle name="Normal 2 3 2 3 3 2 3 4" xfId="24230" xr:uid="{00000000-0005-0000-0000-0000EE3B0000}"/>
    <cellStyle name="Normal 2 3 2 3 3 2 4" xfId="5672" xr:uid="{00000000-0005-0000-0000-0000EF3B0000}"/>
    <cellStyle name="Normal 2 3 2 3 3 2 4 2" xfId="14702" xr:uid="{00000000-0005-0000-0000-0000F03B0000}"/>
    <cellStyle name="Normal 2 3 2 3 3 2 4 2 2" xfId="34754" xr:uid="{00000000-0005-0000-0000-0000F13B0000}"/>
    <cellStyle name="Normal 2 3 2 3 3 2 4 3" xfId="25724" xr:uid="{00000000-0005-0000-0000-0000F23B0000}"/>
    <cellStyle name="Normal 2 3 2 3 3 2 5" xfId="10220" xr:uid="{00000000-0005-0000-0000-0000F33B0000}"/>
    <cellStyle name="Normal 2 3 2 3 3 2 5 2" xfId="30272" xr:uid="{00000000-0005-0000-0000-0000F43B0000}"/>
    <cellStyle name="Normal 2 3 2 3 3 2 6" xfId="21242" xr:uid="{00000000-0005-0000-0000-0000F53B0000}"/>
    <cellStyle name="Normal 2 3 2 3 3 3" xfId="1937" xr:uid="{00000000-0005-0000-0000-0000F63B0000}"/>
    <cellStyle name="Normal 2 3 2 3 3 3 2" xfId="6419" xr:uid="{00000000-0005-0000-0000-0000F73B0000}"/>
    <cellStyle name="Normal 2 3 2 3 3 3 2 2" xfId="15449" xr:uid="{00000000-0005-0000-0000-0000F83B0000}"/>
    <cellStyle name="Normal 2 3 2 3 3 3 2 2 2" xfId="35501" xr:uid="{00000000-0005-0000-0000-0000F93B0000}"/>
    <cellStyle name="Normal 2 3 2 3 3 3 2 3" xfId="26471" xr:uid="{00000000-0005-0000-0000-0000FA3B0000}"/>
    <cellStyle name="Normal 2 3 2 3 3 3 3" xfId="10967" xr:uid="{00000000-0005-0000-0000-0000FB3B0000}"/>
    <cellStyle name="Normal 2 3 2 3 3 3 3 2" xfId="31019" xr:uid="{00000000-0005-0000-0000-0000FC3B0000}"/>
    <cellStyle name="Normal 2 3 2 3 3 3 4" xfId="21989" xr:uid="{00000000-0005-0000-0000-0000FD3B0000}"/>
    <cellStyle name="Normal 2 3 2 3 3 4" xfId="3431" xr:uid="{00000000-0005-0000-0000-0000FE3B0000}"/>
    <cellStyle name="Normal 2 3 2 3 3 4 2" xfId="7913" xr:uid="{00000000-0005-0000-0000-0000FF3B0000}"/>
    <cellStyle name="Normal 2 3 2 3 3 4 2 2" xfId="16943" xr:uid="{00000000-0005-0000-0000-0000003C0000}"/>
    <cellStyle name="Normal 2 3 2 3 3 4 2 2 2" xfId="36995" xr:uid="{00000000-0005-0000-0000-0000013C0000}"/>
    <cellStyle name="Normal 2 3 2 3 3 4 2 3" xfId="27965" xr:uid="{00000000-0005-0000-0000-0000023C0000}"/>
    <cellStyle name="Normal 2 3 2 3 3 4 3" xfId="12461" xr:uid="{00000000-0005-0000-0000-0000033C0000}"/>
    <cellStyle name="Normal 2 3 2 3 3 4 3 2" xfId="32513" xr:uid="{00000000-0005-0000-0000-0000043C0000}"/>
    <cellStyle name="Normal 2 3 2 3 3 4 4" xfId="23483" xr:uid="{00000000-0005-0000-0000-0000053C0000}"/>
    <cellStyle name="Normal 2 3 2 3 3 5" xfId="4925" xr:uid="{00000000-0005-0000-0000-0000063C0000}"/>
    <cellStyle name="Normal 2 3 2 3 3 5 2" xfId="13955" xr:uid="{00000000-0005-0000-0000-0000073C0000}"/>
    <cellStyle name="Normal 2 3 2 3 3 5 2 2" xfId="34007" xr:uid="{00000000-0005-0000-0000-0000083C0000}"/>
    <cellStyle name="Normal 2 3 2 3 3 5 3" xfId="24977" xr:uid="{00000000-0005-0000-0000-0000093C0000}"/>
    <cellStyle name="Normal 2 3 2 3 3 6" xfId="9473" xr:uid="{00000000-0005-0000-0000-00000A3C0000}"/>
    <cellStyle name="Normal 2 3 2 3 3 6 2" xfId="29525" xr:uid="{00000000-0005-0000-0000-00000B3C0000}"/>
    <cellStyle name="Normal 2 3 2 3 3 7" xfId="20495" xr:uid="{00000000-0005-0000-0000-00000C3C0000}"/>
    <cellStyle name="Normal 2 3 2 3 4" xfId="629" xr:uid="{00000000-0005-0000-0000-00000D3C0000}"/>
    <cellStyle name="Normal 2 3 2 3 4 2" xfId="1376" xr:uid="{00000000-0005-0000-0000-00000E3C0000}"/>
    <cellStyle name="Normal 2 3 2 3 4 2 2" xfId="2870" xr:uid="{00000000-0005-0000-0000-00000F3C0000}"/>
    <cellStyle name="Normal 2 3 2 3 4 2 2 2" xfId="7352" xr:uid="{00000000-0005-0000-0000-0000103C0000}"/>
    <cellStyle name="Normal 2 3 2 3 4 2 2 2 2" xfId="16382" xr:uid="{00000000-0005-0000-0000-0000113C0000}"/>
    <cellStyle name="Normal 2 3 2 3 4 2 2 2 2 2" xfId="36434" xr:uid="{00000000-0005-0000-0000-0000123C0000}"/>
    <cellStyle name="Normal 2 3 2 3 4 2 2 2 3" xfId="27404" xr:uid="{00000000-0005-0000-0000-0000133C0000}"/>
    <cellStyle name="Normal 2 3 2 3 4 2 2 3" xfId="11900" xr:uid="{00000000-0005-0000-0000-0000143C0000}"/>
    <cellStyle name="Normal 2 3 2 3 4 2 2 3 2" xfId="31952" xr:uid="{00000000-0005-0000-0000-0000153C0000}"/>
    <cellStyle name="Normal 2 3 2 3 4 2 2 4" xfId="22922" xr:uid="{00000000-0005-0000-0000-0000163C0000}"/>
    <cellStyle name="Normal 2 3 2 3 4 2 3" xfId="4364" xr:uid="{00000000-0005-0000-0000-0000173C0000}"/>
    <cellStyle name="Normal 2 3 2 3 4 2 3 2" xfId="8846" xr:uid="{00000000-0005-0000-0000-0000183C0000}"/>
    <cellStyle name="Normal 2 3 2 3 4 2 3 2 2" xfId="17876" xr:uid="{00000000-0005-0000-0000-0000193C0000}"/>
    <cellStyle name="Normal 2 3 2 3 4 2 3 2 2 2" xfId="37928" xr:uid="{00000000-0005-0000-0000-00001A3C0000}"/>
    <cellStyle name="Normal 2 3 2 3 4 2 3 2 3" xfId="28898" xr:uid="{00000000-0005-0000-0000-00001B3C0000}"/>
    <cellStyle name="Normal 2 3 2 3 4 2 3 3" xfId="13394" xr:uid="{00000000-0005-0000-0000-00001C3C0000}"/>
    <cellStyle name="Normal 2 3 2 3 4 2 3 3 2" xfId="33446" xr:uid="{00000000-0005-0000-0000-00001D3C0000}"/>
    <cellStyle name="Normal 2 3 2 3 4 2 3 4" xfId="24416" xr:uid="{00000000-0005-0000-0000-00001E3C0000}"/>
    <cellStyle name="Normal 2 3 2 3 4 2 4" xfId="5858" xr:uid="{00000000-0005-0000-0000-00001F3C0000}"/>
    <cellStyle name="Normal 2 3 2 3 4 2 4 2" xfId="14888" xr:uid="{00000000-0005-0000-0000-0000203C0000}"/>
    <cellStyle name="Normal 2 3 2 3 4 2 4 2 2" xfId="34940" xr:uid="{00000000-0005-0000-0000-0000213C0000}"/>
    <cellStyle name="Normal 2 3 2 3 4 2 4 3" xfId="25910" xr:uid="{00000000-0005-0000-0000-0000223C0000}"/>
    <cellStyle name="Normal 2 3 2 3 4 2 5" xfId="10406" xr:uid="{00000000-0005-0000-0000-0000233C0000}"/>
    <cellStyle name="Normal 2 3 2 3 4 2 5 2" xfId="30458" xr:uid="{00000000-0005-0000-0000-0000243C0000}"/>
    <cellStyle name="Normal 2 3 2 3 4 2 6" xfId="21428" xr:uid="{00000000-0005-0000-0000-0000253C0000}"/>
    <cellStyle name="Normal 2 3 2 3 4 3" xfId="2123" xr:uid="{00000000-0005-0000-0000-0000263C0000}"/>
    <cellStyle name="Normal 2 3 2 3 4 3 2" xfId="6605" xr:uid="{00000000-0005-0000-0000-0000273C0000}"/>
    <cellStyle name="Normal 2 3 2 3 4 3 2 2" xfId="15635" xr:uid="{00000000-0005-0000-0000-0000283C0000}"/>
    <cellStyle name="Normal 2 3 2 3 4 3 2 2 2" xfId="35687" xr:uid="{00000000-0005-0000-0000-0000293C0000}"/>
    <cellStyle name="Normal 2 3 2 3 4 3 2 3" xfId="26657" xr:uid="{00000000-0005-0000-0000-00002A3C0000}"/>
    <cellStyle name="Normal 2 3 2 3 4 3 3" xfId="11153" xr:uid="{00000000-0005-0000-0000-00002B3C0000}"/>
    <cellStyle name="Normal 2 3 2 3 4 3 3 2" xfId="31205" xr:uid="{00000000-0005-0000-0000-00002C3C0000}"/>
    <cellStyle name="Normal 2 3 2 3 4 3 4" xfId="22175" xr:uid="{00000000-0005-0000-0000-00002D3C0000}"/>
    <cellStyle name="Normal 2 3 2 3 4 4" xfId="3617" xr:uid="{00000000-0005-0000-0000-00002E3C0000}"/>
    <cellStyle name="Normal 2 3 2 3 4 4 2" xfId="8099" xr:uid="{00000000-0005-0000-0000-00002F3C0000}"/>
    <cellStyle name="Normal 2 3 2 3 4 4 2 2" xfId="17129" xr:uid="{00000000-0005-0000-0000-0000303C0000}"/>
    <cellStyle name="Normal 2 3 2 3 4 4 2 2 2" xfId="37181" xr:uid="{00000000-0005-0000-0000-0000313C0000}"/>
    <cellStyle name="Normal 2 3 2 3 4 4 2 3" xfId="28151" xr:uid="{00000000-0005-0000-0000-0000323C0000}"/>
    <cellStyle name="Normal 2 3 2 3 4 4 3" xfId="12647" xr:uid="{00000000-0005-0000-0000-0000333C0000}"/>
    <cellStyle name="Normal 2 3 2 3 4 4 3 2" xfId="32699" xr:uid="{00000000-0005-0000-0000-0000343C0000}"/>
    <cellStyle name="Normal 2 3 2 3 4 4 4" xfId="23669" xr:uid="{00000000-0005-0000-0000-0000353C0000}"/>
    <cellStyle name="Normal 2 3 2 3 4 5" xfId="5111" xr:uid="{00000000-0005-0000-0000-0000363C0000}"/>
    <cellStyle name="Normal 2 3 2 3 4 5 2" xfId="14141" xr:uid="{00000000-0005-0000-0000-0000373C0000}"/>
    <cellStyle name="Normal 2 3 2 3 4 5 2 2" xfId="34193" xr:uid="{00000000-0005-0000-0000-0000383C0000}"/>
    <cellStyle name="Normal 2 3 2 3 4 5 3" xfId="25163" xr:uid="{00000000-0005-0000-0000-0000393C0000}"/>
    <cellStyle name="Normal 2 3 2 3 4 6" xfId="9659" xr:uid="{00000000-0005-0000-0000-00003A3C0000}"/>
    <cellStyle name="Normal 2 3 2 3 4 6 2" xfId="29711" xr:uid="{00000000-0005-0000-0000-00003B3C0000}"/>
    <cellStyle name="Normal 2 3 2 3 4 7" xfId="20681" xr:uid="{00000000-0005-0000-0000-00003C3C0000}"/>
    <cellStyle name="Normal 2 3 2 3 5" xfId="816" xr:uid="{00000000-0005-0000-0000-00003D3C0000}"/>
    <cellStyle name="Normal 2 3 2 3 5 2" xfId="2310" xr:uid="{00000000-0005-0000-0000-00003E3C0000}"/>
    <cellStyle name="Normal 2 3 2 3 5 2 2" xfId="6792" xr:uid="{00000000-0005-0000-0000-00003F3C0000}"/>
    <cellStyle name="Normal 2 3 2 3 5 2 2 2" xfId="15822" xr:uid="{00000000-0005-0000-0000-0000403C0000}"/>
    <cellStyle name="Normal 2 3 2 3 5 2 2 2 2" xfId="35874" xr:uid="{00000000-0005-0000-0000-0000413C0000}"/>
    <cellStyle name="Normal 2 3 2 3 5 2 2 3" xfId="26844" xr:uid="{00000000-0005-0000-0000-0000423C0000}"/>
    <cellStyle name="Normal 2 3 2 3 5 2 3" xfId="11340" xr:uid="{00000000-0005-0000-0000-0000433C0000}"/>
    <cellStyle name="Normal 2 3 2 3 5 2 3 2" xfId="31392" xr:uid="{00000000-0005-0000-0000-0000443C0000}"/>
    <cellStyle name="Normal 2 3 2 3 5 2 4" xfId="22362" xr:uid="{00000000-0005-0000-0000-0000453C0000}"/>
    <cellStyle name="Normal 2 3 2 3 5 3" xfId="3804" xr:uid="{00000000-0005-0000-0000-0000463C0000}"/>
    <cellStyle name="Normal 2 3 2 3 5 3 2" xfId="8286" xr:uid="{00000000-0005-0000-0000-0000473C0000}"/>
    <cellStyle name="Normal 2 3 2 3 5 3 2 2" xfId="17316" xr:uid="{00000000-0005-0000-0000-0000483C0000}"/>
    <cellStyle name="Normal 2 3 2 3 5 3 2 2 2" xfId="37368" xr:uid="{00000000-0005-0000-0000-0000493C0000}"/>
    <cellStyle name="Normal 2 3 2 3 5 3 2 3" xfId="28338" xr:uid="{00000000-0005-0000-0000-00004A3C0000}"/>
    <cellStyle name="Normal 2 3 2 3 5 3 3" xfId="12834" xr:uid="{00000000-0005-0000-0000-00004B3C0000}"/>
    <cellStyle name="Normal 2 3 2 3 5 3 3 2" xfId="32886" xr:uid="{00000000-0005-0000-0000-00004C3C0000}"/>
    <cellStyle name="Normal 2 3 2 3 5 3 4" xfId="23856" xr:uid="{00000000-0005-0000-0000-00004D3C0000}"/>
    <cellStyle name="Normal 2 3 2 3 5 4" xfId="5298" xr:uid="{00000000-0005-0000-0000-00004E3C0000}"/>
    <cellStyle name="Normal 2 3 2 3 5 4 2" xfId="14328" xr:uid="{00000000-0005-0000-0000-00004F3C0000}"/>
    <cellStyle name="Normal 2 3 2 3 5 4 2 2" xfId="34380" xr:uid="{00000000-0005-0000-0000-0000503C0000}"/>
    <cellStyle name="Normal 2 3 2 3 5 4 3" xfId="25350" xr:uid="{00000000-0005-0000-0000-0000513C0000}"/>
    <cellStyle name="Normal 2 3 2 3 5 5" xfId="9846" xr:uid="{00000000-0005-0000-0000-0000523C0000}"/>
    <cellStyle name="Normal 2 3 2 3 5 5 2" xfId="29898" xr:uid="{00000000-0005-0000-0000-0000533C0000}"/>
    <cellStyle name="Normal 2 3 2 3 5 6" xfId="20868" xr:uid="{00000000-0005-0000-0000-0000543C0000}"/>
    <cellStyle name="Normal 2 3 2 3 6" xfId="1565" xr:uid="{00000000-0005-0000-0000-0000553C0000}"/>
    <cellStyle name="Normal 2 3 2 3 6 2" xfId="6047" xr:uid="{00000000-0005-0000-0000-0000563C0000}"/>
    <cellStyle name="Normal 2 3 2 3 6 2 2" xfId="15077" xr:uid="{00000000-0005-0000-0000-0000573C0000}"/>
    <cellStyle name="Normal 2 3 2 3 6 2 2 2" xfId="35129" xr:uid="{00000000-0005-0000-0000-0000583C0000}"/>
    <cellStyle name="Normal 2 3 2 3 6 2 3" xfId="26099" xr:uid="{00000000-0005-0000-0000-0000593C0000}"/>
    <cellStyle name="Normal 2 3 2 3 6 3" xfId="10595" xr:uid="{00000000-0005-0000-0000-00005A3C0000}"/>
    <cellStyle name="Normal 2 3 2 3 6 3 2" xfId="30647" xr:uid="{00000000-0005-0000-0000-00005B3C0000}"/>
    <cellStyle name="Normal 2 3 2 3 6 4" xfId="21617" xr:uid="{00000000-0005-0000-0000-00005C3C0000}"/>
    <cellStyle name="Normal 2 3 2 3 7" xfId="3059" xr:uid="{00000000-0005-0000-0000-00005D3C0000}"/>
    <cellStyle name="Normal 2 3 2 3 7 2" xfId="7541" xr:uid="{00000000-0005-0000-0000-00005E3C0000}"/>
    <cellStyle name="Normal 2 3 2 3 7 2 2" xfId="16571" xr:uid="{00000000-0005-0000-0000-00005F3C0000}"/>
    <cellStyle name="Normal 2 3 2 3 7 2 2 2" xfId="36623" xr:uid="{00000000-0005-0000-0000-0000603C0000}"/>
    <cellStyle name="Normal 2 3 2 3 7 2 3" xfId="27593" xr:uid="{00000000-0005-0000-0000-0000613C0000}"/>
    <cellStyle name="Normal 2 3 2 3 7 3" xfId="12089" xr:uid="{00000000-0005-0000-0000-0000623C0000}"/>
    <cellStyle name="Normal 2 3 2 3 7 3 2" xfId="32141" xr:uid="{00000000-0005-0000-0000-0000633C0000}"/>
    <cellStyle name="Normal 2 3 2 3 7 4" xfId="23111" xr:uid="{00000000-0005-0000-0000-0000643C0000}"/>
    <cellStyle name="Normal 2 3 2 3 8" xfId="4553" xr:uid="{00000000-0005-0000-0000-0000653C0000}"/>
    <cellStyle name="Normal 2 3 2 3 8 2" xfId="13583" xr:uid="{00000000-0005-0000-0000-0000663C0000}"/>
    <cellStyle name="Normal 2 3 2 3 8 2 2" xfId="33635" xr:uid="{00000000-0005-0000-0000-0000673C0000}"/>
    <cellStyle name="Normal 2 3 2 3 8 3" xfId="24605" xr:uid="{00000000-0005-0000-0000-0000683C0000}"/>
    <cellStyle name="Normal 2 3 2 3 9" xfId="9101" xr:uid="{00000000-0005-0000-0000-0000693C0000}"/>
    <cellStyle name="Normal 2 3 2 3 9 2" xfId="29153" xr:uid="{00000000-0005-0000-0000-00006A3C0000}"/>
    <cellStyle name="Normal 2 3 2 4" xfId="95" xr:uid="{00000000-0005-0000-0000-00006B3C0000}"/>
    <cellStyle name="Normal 2 3 2 4 10" xfId="20147" xr:uid="{00000000-0005-0000-0000-00006C3C0000}"/>
    <cellStyle name="Normal 2 3 2 4 2" xfId="281" xr:uid="{00000000-0005-0000-0000-00006D3C0000}"/>
    <cellStyle name="Normal 2 3 2 4 2 2" xfId="1025" xr:uid="{00000000-0005-0000-0000-00006E3C0000}"/>
    <cellStyle name="Normal 2 3 2 4 2 2 2" xfId="2519" xr:uid="{00000000-0005-0000-0000-00006F3C0000}"/>
    <cellStyle name="Normal 2 3 2 4 2 2 2 2" xfId="7001" xr:uid="{00000000-0005-0000-0000-0000703C0000}"/>
    <cellStyle name="Normal 2 3 2 4 2 2 2 2 2" xfId="16031" xr:uid="{00000000-0005-0000-0000-0000713C0000}"/>
    <cellStyle name="Normal 2 3 2 4 2 2 2 2 2 2" xfId="36083" xr:uid="{00000000-0005-0000-0000-0000723C0000}"/>
    <cellStyle name="Normal 2 3 2 4 2 2 2 2 3" xfId="27053" xr:uid="{00000000-0005-0000-0000-0000733C0000}"/>
    <cellStyle name="Normal 2 3 2 4 2 2 2 3" xfId="11549" xr:uid="{00000000-0005-0000-0000-0000743C0000}"/>
    <cellStyle name="Normal 2 3 2 4 2 2 2 3 2" xfId="31601" xr:uid="{00000000-0005-0000-0000-0000753C0000}"/>
    <cellStyle name="Normal 2 3 2 4 2 2 2 4" xfId="22571" xr:uid="{00000000-0005-0000-0000-0000763C0000}"/>
    <cellStyle name="Normal 2 3 2 4 2 2 3" xfId="4013" xr:uid="{00000000-0005-0000-0000-0000773C0000}"/>
    <cellStyle name="Normal 2 3 2 4 2 2 3 2" xfId="8495" xr:uid="{00000000-0005-0000-0000-0000783C0000}"/>
    <cellStyle name="Normal 2 3 2 4 2 2 3 2 2" xfId="17525" xr:uid="{00000000-0005-0000-0000-0000793C0000}"/>
    <cellStyle name="Normal 2 3 2 4 2 2 3 2 2 2" xfId="37577" xr:uid="{00000000-0005-0000-0000-00007A3C0000}"/>
    <cellStyle name="Normal 2 3 2 4 2 2 3 2 3" xfId="28547" xr:uid="{00000000-0005-0000-0000-00007B3C0000}"/>
    <cellStyle name="Normal 2 3 2 4 2 2 3 3" xfId="13043" xr:uid="{00000000-0005-0000-0000-00007C3C0000}"/>
    <cellStyle name="Normal 2 3 2 4 2 2 3 3 2" xfId="33095" xr:uid="{00000000-0005-0000-0000-00007D3C0000}"/>
    <cellStyle name="Normal 2 3 2 4 2 2 3 4" xfId="24065" xr:uid="{00000000-0005-0000-0000-00007E3C0000}"/>
    <cellStyle name="Normal 2 3 2 4 2 2 4" xfId="5507" xr:uid="{00000000-0005-0000-0000-00007F3C0000}"/>
    <cellStyle name="Normal 2 3 2 4 2 2 4 2" xfId="14537" xr:uid="{00000000-0005-0000-0000-0000803C0000}"/>
    <cellStyle name="Normal 2 3 2 4 2 2 4 2 2" xfId="34589" xr:uid="{00000000-0005-0000-0000-0000813C0000}"/>
    <cellStyle name="Normal 2 3 2 4 2 2 4 3" xfId="25559" xr:uid="{00000000-0005-0000-0000-0000823C0000}"/>
    <cellStyle name="Normal 2 3 2 4 2 2 5" xfId="10055" xr:uid="{00000000-0005-0000-0000-0000833C0000}"/>
    <cellStyle name="Normal 2 3 2 4 2 2 5 2" xfId="30107" xr:uid="{00000000-0005-0000-0000-0000843C0000}"/>
    <cellStyle name="Normal 2 3 2 4 2 2 6" xfId="21077" xr:uid="{00000000-0005-0000-0000-0000853C0000}"/>
    <cellStyle name="Normal 2 3 2 4 2 3" xfId="1775" xr:uid="{00000000-0005-0000-0000-0000863C0000}"/>
    <cellStyle name="Normal 2 3 2 4 2 3 2" xfId="6257" xr:uid="{00000000-0005-0000-0000-0000873C0000}"/>
    <cellStyle name="Normal 2 3 2 4 2 3 2 2" xfId="15287" xr:uid="{00000000-0005-0000-0000-0000883C0000}"/>
    <cellStyle name="Normal 2 3 2 4 2 3 2 2 2" xfId="35339" xr:uid="{00000000-0005-0000-0000-0000893C0000}"/>
    <cellStyle name="Normal 2 3 2 4 2 3 2 3" xfId="26309" xr:uid="{00000000-0005-0000-0000-00008A3C0000}"/>
    <cellStyle name="Normal 2 3 2 4 2 3 3" xfId="10805" xr:uid="{00000000-0005-0000-0000-00008B3C0000}"/>
    <cellStyle name="Normal 2 3 2 4 2 3 3 2" xfId="30857" xr:uid="{00000000-0005-0000-0000-00008C3C0000}"/>
    <cellStyle name="Normal 2 3 2 4 2 3 4" xfId="21827" xr:uid="{00000000-0005-0000-0000-00008D3C0000}"/>
    <cellStyle name="Normal 2 3 2 4 2 4" xfId="3269" xr:uid="{00000000-0005-0000-0000-00008E3C0000}"/>
    <cellStyle name="Normal 2 3 2 4 2 4 2" xfId="7751" xr:uid="{00000000-0005-0000-0000-00008F3C0000}"/>
    <cellStyle name="Normal 2 3 2 4 2 4 2 2" xfId="16781" xr:uid="{00000000-0005-0000-0000-0000903C0000}"/>
    <cellStyle name="Normal 2 3 2 4 2 4 2 2 2" xfId="36833" xr:uid="{00000000-0005-0000-0000-0000913C0000}"/>
    <cellStyle name="Normal 2 3 2 4 2 4 2 3" xfId="27803" xr:uid="{00000000-0005-0000-0000-0000923C0000}"/>
    <cellStyle name="Normal 2 3 2 4 2 4 3" xfId="12299" xr:uid="{00000000-0005-0000-0000-0000933C0000}"/>
    <cellStyle name="Normal 2 3 2 4 2 4 3 2" xfId="32351" xr:uid="{00000000-0005-0000-0000-0000943C0000}"/>
    <cellStyle name="Normal 2 3 2 4 2 4 4" xfId="23321" xr:uid="{00000000-0005-0000-0000-0000953C0000}"/>
    <cellStyle name="Normal 2 3 2 4 2 5" xfId="4763" xr:uid="{00000000-0005-0000-0000-0000963C0000}"/>
    <cellStyle name="Normal 2 3 2 4 2 5 2" xfId="13793" xr:uid="{00000000-0005-0000-0000-0000973C0000}"/>
    <cellStyle name="Normal 2 3 2 4 2 5 2 2" xfId="33845" xr:uid="{00000000-0005-0000-0000-0000983C0000}"/>
    <cellStyle name="Normal 2 3 2 4 2 5 3" xfId="24815" xr:uid="{00000000-0005-0000-0000-0000993C0000}"/>
    <cellStyle name="Normal 2 3 2 4 2 6" xfId="9311" xr:uid="{00000000-0005-0000-0000-00009A3C0000}"/>
    <cellStyle name="Normal 2 3 2 4 2 6 2" xfId="29363" xr:uid="{00000000-0005-0000-0000-00009B3C0000}"/>
    <cellStyle name="Normal 2 3 2 4 2 7" xfId="20333" xr:uid="{00000000-0005-0000-0000-00009C3C0000}"/>
    <cellStyle name="Normal 2 3 2 4 3" xfId="467" xr:uid="{00000000-0005-0000-0000-00009D3C0000}"/>
    <cellStyle name="Normal 2 3 2 4 3 2" xfId="1214" xr:uid="{00000000-0005-0000-0000-00009E3C0000}"/>
    <cellStyle name="Normal 2 3 2 4 3 2 2" xfId="2708" xr:uid="{00000000-0005-0000-0000-00009F3C0000}"/>
    <cellStyle name="Normal 2 3 2 4 3 2 2 2" xfId="7190" xr:uid="{00000000-0005-0000-0000-0000A03C0000}"/>
    <cellStyle name="Normal 2 3 2 4 3 2 2 2 2" xfId="16220" xr:uid="{00000000-0005-0000-0000-0000A13C0000}"/>
    <cellStyle name="Normal 2 3 2 4 3 2 2 2 2 2" xfId="36272" xr:uid="{00000000-0005-0000-0000-0000A23C0000}"/>
    <cellStyle name="Normal 2 3 2 4 3 2 2 2 3" xfId="27242" xr:uid="{00000000-0005-0000-0000-0000A33C0000}"/>
    <cellStyle name="Normal 2 3 2 4 3 2 2 3" xfId="11738" xr:uid="{00000000-0005-0000-0000-0000A43C0000}"/>
    <cellStyle name="Normal 2 3 2 4 3 2 2 3 2" xfId="31790" xr:uid="{00000000-0005-0000-0000-0000A53C0000}"/>
    <cellStyle name="Normal 2 3 2 4 3 2 2 4" xfId="22760" xr:uid="{00000000-0005-0000-0000-0000A63C0000}"/>
    <cellStyle name="Normal 2 3 2 4 3 2 3" xfId="4202" xr:uid="{00000000-0005-0000-0000-0000A73C0000}"/>
    <cellStyle name="Normal 2 3 2 4 3 2 3 2" xfId="8684" xr:uid="{00000000-0005-0000-0000-0000A83C0000}"/>
    <cellStyle name="Normal 2 3 2 4 3 2 3 2 2" xfId="17714" xr:uid="{00000000-0005-0000-0000-0000A93C0000}"/>
    <cellStyle name="Normal 2 3 2 4 3 2 3 2 2 2" xfId="37766" xr:uid="{00000000-0005-0000-0000-0000AA3C0000}"/>
    <cellStyle name="Normal 2 3 2 4 3 2 3 2 3" xfId="28736" xr:uid="{00000000-0005-0000-0000-0000AB3C0000}"/>
    <cellStyle name="Normal 2 3 2 4 3 2 3 3" xfId="13232" xr:uid="{00000000-0005-0000-0000-0000AC3C0000}"/>
    <cellStyle name="Normal 2 3 2 4 3 2 3 3 2" xfId="33284" xr:uid="{00000000-0005-0000-0000-0000AD3C0000}"/>
    <cellStyle name="Normal 2 3 2 4 3 2 3 4" xfId="24254" xr:uid="{00000000-0005-0000-0000-0000AE3C0000}"/>
    <cellStyle name="Normal 2 3 2 4 3 2 4" xfId="5696" xr:uid="{00000000-0005-0000-0000-0000AF3C0000}"/>
    <cellStyle name="Normal 2 3 2 4 3 2 4 2" xfId="14726" xr:uid="{00000000-0005-0000-0000-0000B03C0000}"/>
    <cellStyle name="Normal 2 3 2 4 3 2 4 2 2" xfId="34778" xr:uid="{00000000-0005-0000-0000-0000B13C0000}"/>
    <cellStyle name="Normal 2 3 2 4 3 2 4 3" xfId="25748" xr:uid="{00000000-0005-0000-0000-0000B23C0000}"/>
    <cellStyle name="Normal 2 3 2 4 3 2 5" xfId="10244" xr:uid="{00000000-0005-0000-0000-0000B33C0000}"/>
    <cellStyle name="Normal 2 3 2 4 3 2 5 2" xfId="30296" xr:uid="{00000000-0005-0000-0000-0000B43C0000}"/>
    <cellStyle name="Normal 2 3 2 4 3 2 6" xfId="21266" xr:uid="{00000000-0005-0000-0000-0000B53C0000}"/>
    <cellStyle name="Normal 2 3 2 4 3 3" xfId="1961" xr:uid="{00000000-0005-0000-0000-0000B63C0000}"/>
    <cellStyle name="Normal 2 3 2 4 3 3 2" xfId="6443" xr:uid="{00000000-0005-0000-0000-0000B73C0000}"/>
    <cellStyle name="Normal 2 3 2 4 3 3 2 2" xfId="15473" xr:uid="{00000000-0005-0000-0000-0000B83C0000}"/>
    <cellStyle name="Normal 2 3 2 4 3 3 2 2 2" xfId="35525" xr:uid="{00000000-0005-0000-0000-0000B93C0000}"/>
    <cellStyle name="Normal 2 3 2 4 3 3 2 3" xfId="26495" xr:uid="{00000000-0005-0000-0000-0000BA3C0000}"/>
    <cellStyle name="Normal 2 3 2 4 3 3 3" xfId="10991" xr:uid="{00000000-0005-0000-0000-0000BB3C0000}"/>
    <cellStyle name="Normal 2 3 2 4 3 3 3 2" xfId="31043" xr:uid="{00000000-0005-0000-0000-0000BC3C0000}"/>
    <cellStyle name="Normal 2 3 2 4 3 3 4" xfId="22013" xr:uid="{00000000-0005-0000-0000-0000BD3C0000}"/>
    <cellStyle name="Normal 2 3 2 4 3 4" xfId="3455" xr:uid="{00000000-0005-0000-0000-0000BE3C0000}"/>
    <cellStyle name="Normal 2 3 2 4 3 4 2" xfId="7937" xr:uid="{00000000-0005-0000-0000-0000BF3C0000}"/>
    <cellStyle name="Normal 2 3 2 4 3 4 2 2" xfId="16967" xr:uid="{00000000-0005-0000-0000-0000C03C0000}"/>
    <cellStyle name="Normal 2 3 2 4 3 4 2 2 2" xfId="37019" xr:uid="{00000000-0005-0000-0000-0000C13C0000}"/>
    <cellStyle name="Normal 2 3 2 4 3 4 2 3" xfId="27989" xr:uid="{00000000-0005-0000-0000-0000C23C0000}"/>
    <cellStyle name="Normal 2 3 2 4 3 4 3" xfId="12485" xr:uid="{00000000-0005-0000-0000-0000C33C0000}"/>
    <cellStyle name="Normal 2 3 2 4 3 4 3 2" xfId="32537" xr:uid="{00000000-0005-0000-0000-0000C43C0000}"/>
    <cellStyle name="Normal 2 3 2 4 3 4 4" xfId="23507" xr:uid="{00000000-0005-0000-0000-0000C53C0000}"/>
    <cellStyle name="Normal 2 3 2 4 3 5" xfId="4949" xr:uid="{00000000-0005-0000-0000-0000C63C0000}"/>
    <cellStyle name="Normal 2 3 2 4 3 5 2" xfId="13979" xr:uid="{00000000-0005-0000-0000-0000C73C0000}"/>
    <cellStyle name="Normal 2 3 2 4 3 5 2 2" xfId="34031" xr:uid="{00000000-0005-0000-0000-0000C83C0000}"/>
    <cellStyle name="Normal 2 3 2 4 3 5 3" xfId="25001" xr:uid="{00000000-0005-0000-0000-0000C93C0000}"/>
    <cellStyle name="Normal 2 3 2 4 3 6" xfId="9497" xr:uid="{00000000-0005-0000-0000-0000CA3C0000}"/>
    <cellStyle name="Normal 2 3 2 4 3 6 2" xfId="29549" xr:uid="{00000000-0005-0000-0000-0000CB3C0000}"/>
    <cellStyle name="Normal 2 3 2 4 3 7" xfId="20519" xr:uid="{00000000-0005-0000-0000-0000CC3C0000}"/>
    <cellStyle name="Normal 2 3 2 4 4" xfId="653" xr:uid="{00000000-0005-0000-0000-0000CD3C0000}"/>
    <cellStyle name="Normal 2 3 2 4 4 2" xfId="1400" xr:uid="{00000000-0005-0000-0000-0000CE3C0000}"/>
    <cellStyle name="Normal 2 3 2 4 4 2 2" xfId="2894" xr:uid="{00000000-0005-0000-0000-0000CF3C0000}"/>
    <cellStyle name="Normal 2 3 2 4 4 2 2 2" xfId="7376" xr:uid="{00000000-0005-0000-0000-0000D03C0000}"/>
    <cellStyle name="Normal 2 3 2 4 4 2 2 2 2" xfId="16406" xr:uid="{00000000-0005-0000-0000-0000D13C0000}"/>
    <cellStyle name="Normal 2 3 2 4 4 2 2 2 2 2" xfId="36458" xr:uid="{00000000-0005-0000-0000-0000D23C0000}"/>
    <cellStyle name="Normal 2 3 2 4 4 2 2 2 3" xfId="27428" xr:uid="{00000000-0005-0000-0000-0000D33C0000}"/>
    <cellStyle name="Normal 2 3 2 4 4 2 2 3" xfId="11924" xr:uid="{00000000-0005-0000-0000-0000D43C0000}"/>
    <cellStyle name="Normal 2 3 2 4 4 2 2 3 2" xfId="31976" xr:uid="{00000000-0005-0000-0000-0000D53C0000}"/>
    <cellStyle name="Normal 2 3 2 4 4 2 2 4" xfId="22946" xr:uid="{00000000-0005-0000-0000-0000D63C0000}"/>
    <cellStyle name="Normal 2 3 2 4 4 2 3" xfId="4388" xr:uid="{00000000-0005-0000-0000-0000D73C0000}"/>
    <cellStyle name="Normal 2 3 2 4 4 2 3 2" xfId="8870" xr:uid="{00000000-0005-0000-0000-0000D83C0000}"/>
    <cellStyle name="Normal 2 3 2 4 4 2 3 2 2" xfId="17900" xr:uid="{00000000-0005-0000-0000-0000D93C0000}"/>
    <cellStyle name="Normal 2 3 2 4 4 2 3 2 2 2" xfId="37952" xr:uid="{00000000-0005-0000-0000-0000DA3C0000}"/>
    <cellStyle name="Normal 2 3 2 4 4 2 3 2 3" xfId="28922" xr:uid="{00000000-0005-0000-0000-0000DB3C0000}"/>
    <cellStyle name="Normal 2 3 2 4 4 2 3 3" xfId="13418" xr:uid="{00000000-0005-0000-0000-0000DC3C0000}"/>
    <cellStyle name="Normal 2 3 2 4 4 2 3 3 2" xfId="33470" xr:uid="{00000000-0005-0000-0000-0000DD3C0000}"/>
    <cellStyle name="Normal 2 3 2 4 4 2 3 4" xfId="24440" xr:uid="{00000000-0005-0000-0000-0000DE3C0000}"/>
    <cellStyle name="Normal 2 3 2 4 4 2 4" xfId="5882" xr:uid="{00000000-0005-0000-0000-0000DF3C0000}"/>
    <cellStyle name="Normal 2 3 2 4 4 2 4 2" xfId="14912" xr:uid="{00000000-0005-0000-0000-0000E03C0000}"/>
    <cellStyle name="Normal 2 3 2 4 4 2 4 2 2" xfId="34964" xr:uid="{00000000-0005-0000-0000-0000E13C0000}"/>
    <cellStyle name="Normal 2 3 2 4 4 2 4 3" xfId="25934" xr:uid="{00000000-0005-0000-0000-0000E23C0000}"/>
    <cellStyle name="Normal 2 3 2 4 4 2 5" xfId="10430" xr:uid="{00000000-0005-0000-0000-0000E33C0000}"/>
    <cellStyle name="Normal 2 3 2 4 4 2 5 2" xfId="30482" xr:uid="{00000000-0005-0000-0000-0000E43C0000}"/>
    <cellStyle name="Normal 2 3 2 4 4 2 6" xfId="21452" xr:uid="{00000000-0005-0000-0000-0000E53C0000}"/>
    <cellStyle name="Normal 2 3 2 4 4 3" xfId="2147" xr:uid="{00000000-0005-0000-0000-0000E63C0000}"/>
    <cellStyle name="Normal 2 3 2 4 4 3 2" xfId="6629" xr:uid="{00000000-0005-0000-0000-0000E73C0000}"/>
    <cellStyle name="Normal 2 3 2 4 4 3 2 2" xfId="15659" xr:uid="{00000000-0005-0000-0000-0000E83C0000}"/>
    <cellStyle name="Normal 2 3 2 4 4 3 2 2 2" xfId="35711" xr:uid="{00000000-0005-0000-0000-0000E93C0000}"/>
    <cellStyle name="Normal 2 3 2 4 4 3 2 3" xfId="26681" xr:uid="{00000000-0005-0000-0000-0000EA3C0000}"/>
    <cellStyle name="Normal 2 3 2 4 4 3 3" xfId="11177" xr:uid="{00000000-0005-0000-0000-0000EB3C0000}"/>
    <cellStyle name="Normal 2 3 2 4 4 3 3 2" xfId="31229" xr:uid="{00000000-0005-0000-0000-0000EC3C0000}"/>
    <cellStyle name="Normal 2 3 2 4 4 3 4" xfId="22199" xr:uid="{00000000-0005-0000-0000-0000ED3C0000}"/>
    <cellStyle name="Normal 2 3 2 4 4 4" xfId="3641" xr:uid="{00000000-0005-0000-0000-0000EE3C0000}"/>
    <cellStyle name="Normal 2 3 2 4 4 4 2" xfId="8123" xr:uid="{00000000-0005-0000-0000-0000EF3C0000}"/>
    <cellStyle name="Normal 2 3 2 4 4 4 2 2" xfId="17153" xr:uid="{00000000-0005-0000-0000-0000F03C0000}"/>
    <cellStyle name="Normal 2 3 2 4 4 4 2 2 2" xfId="37205" xr:uid="{00000000-0005-0000-0000-0000F13C0000}"/>
    <cellStyle name="Normal 2 3 2 4 4 4 2 3" xfId="28175" xr:uid="{00000000-0005-0000-0000-0000F23C0000}"/>
    <cellStyle name="Normal 2 3 2 4 4 4 3" xfId="12671" xr:uid="{00000000-0005-0000-0000-0000F33C0000}"/>
    <cellStyle name="Normal 2 3 2 4 4 4 3 2" xfId="32723" xr:uid="{00000000-0005-0000-0000-0000F43C0000}"/>
    <cellStyle name="Normal 2 3 2 4 4 4 4" xfId="23693" xr:uid="{00000000-0005-0000-0000-0000F53C0000}"/>
    <cellStyle name="Normal 2 3 2 4 4 5" xfId="5135" xr:uid="{00000000-0005-0000-0000-0000F63C0000}"/>
    <cellStyle name="Normal 2 3 2 4 4 5 2" xfId="14165" xr:uid="{00000000-0005-0000-0000-0000F73C0000}"/>
    <cellStyle name="Normal 2 3 2 4 4 5 2 2" xfId="34217" xr:uid="{00000000-0005-0000-0000-0000F83C0000}"/>
    <cellStyle name="Normal 2 3 2 4 4 5 3" xfId="25187" xr:uid="{00000000-0005-0000-0000-0000F93C0000}"/>
    <cellStyle name="Normal 2 3 2 4 4 6" xfId="9683" xr:uid="{00000000-0005-0000-0000-0000FA3C0000}"/>
    <cellStyle name="Normal 2 3 2 4 4 6 2" xfId="29735" xr:uid="{00000000-0005-0000-0000-0000FB3C0000}"/>
    <cellStyle name="Normal 2 3 2 4 4 7" xfId="20705" xr:uid="{00000000-0005-0000-0000-0000FC3C0000}"/>
    <cellStyle name="Normal 2 3 2 4 5" xfId="840" xr:uid="{00000000-0005-0000-0000-0000FD3C0000}"/>
    <cellStyle name="Normal 2 3 2 4 5 2" xfId="2334" xr:uid="{00000000-0005-0000-0000-0000FE3C0000}"/>
    <cellStyle name="Normal 2 3 2 4 5 2 2" xfId="6816" xr:uid="{00000000-0005-0000-0000-0000FF3C0000}"/>
    <cellStyle name="Normal 2 3 2 4 5 2 2 2" xfId="15846" xr:uid="{00000000-0005-0000-0000-0000003D0000}"/>
    <cellStyle name="Normal 2 3 2 4 5 2 2 2 2" xfId="35898" xr:uid="{00000000-0005-0000-0000-0000013D0000}"/>
    <cellStyle name="Normal 2 3 2 4 5 2 2 3" xfId="26868" xr:uid="{00000000-0005-0000-0000-0000023D0000}"/>
    <cellStyle name="Normal 2 3 2 4 5 2 3" xfId="11364" xr:uid="{00000000-0005-0000-0000-0000033D0000}"/>
    <cellStyle name="Normal 2 3 2 4 5 2 3 2" xfId="31416" xr:uid="{00000000-0005-0000-0000-0000043D0000}"/>
    <cellStyle name="Normal 2 3 2 4 5 2 4" xfId="22386" xr:uid="{00000000-0005-0000-0000-0000053D0000}"/>
    <cellStyle name="Normal 2 3 2 4 5 3" xfId="3828" xr:uid="{00000000-0005-0000-0000-0000063D0000}"/>
    <cellStyle name="Normal 2 3 2 4 5 3 2" xfId="8310" xr:uid="{00000000-0005-0000-0000-0000073D0000}"/>
    <cellStyle name="Normal 2 3 2 4 5 3 2 2" xfId="17340" xr:uid="{00000000-0005-0000-0000-0000083D0000}"/>
    <cellStyle name="Normal 2 3 2 4 5 3 2 2 2" xfId="37392" xr:uid="{00000000-0005-0000-0000-0000093D0000}"/>
    <cellStyle name="Normal 2 3 2 4 5 3 2 3" xfId="28362" xr:uid="{00000000-0005-0000-0000-00000A3D0000}"/>
    <cellStyle name="Normal 2 3 2 4 5 3 3" xfId="12858" xr:uid="{00000000-0005-0000-0000-00000B3D0000}"/>
    <cellStyle name="Normal 2 3 2 4 5 3 3 2" xfId="32910" xr:uid="{00000000-0005-0000-0000-00000C3D0000}"/>
    <cellStyle name="Normal 2 3 2 4 5 3 4" xfId="23880" xr:uid="{00000000-0005-0000-0000-00000D3D0000}"/>
    <cellStyle name="Normal 2 3 2 4 5 4" xfId="5322" xr:uid="{00000000-0005-0000-0000-00000E3D0000}"/>
    <cellStyle name="Normal 2 3 2 4 5 4 2" xfId="14352" xr:uid="{00000000-0005-0000-0000-00000F3D0000}"/>
    <cellStyle name="Normal 2 3 2 4 5 4 2 2" xfId="34404" xr:uid="{00000000-0005-0000-0000-0000103D0000}"/>
    <cellStyle name="Normal 2 3 2 4 5 4 3" xfId="25374" xr:uid="{00000000-0005-0000-0000-0000113D0000}"/>
    <cellStyle name="Normal 2 3 2 4 5 5" xfId="9870" xr:uid="{00000000-0005-0000-0000-0000123D0000}"/>
    <cellStyle name="Normal 2 3 2 4 5 5 2" xfId="29922" xr:uid="{00000000-0005-0000-0000-0000133D0000}"/>
    <cellStyle name="Normal 2 3 2 4 5 6" xfId="20892" xr:uid="{00000000-0005-0000-0000-0000143D0000}"/>
    <cellStyle name="Normal 2 3 2 4 6" xfId="1589" xr:uid="{00000000-0005-0000-0000-0000153D0000}"/>
    <cellStyle name="Normal 2 3 2 4 6 2" xfId="6071" xr:uid="{00000000-0005-0000-0000-0000163D0000}"/>
    <cellStyle name="Normal 2 3 2 4 6 2 2" xfId="15101" xr:uid="{00000000-0005-0000-0000-0000173D0000}"/>
    <cellStyle name="Normal 2 3 2 4 6 2 2 2" xfId="35153" xr:uid="{00000000-0005-0000-0000-0000183D0000}"/>
    <cellStyle name="Normal 2 3 2 4 6 2 3" xfId="26123" xr:uid="{00000000-0005-0000-0000-0000193D0000}"/>
    <cellStyle name="Normal 2 3 2 4 6 3" xfId="10619" xr:uid="{00000000-0005-0000-0000-00001A3D0000}"/>
    <cellStyle name="Normal 2 3 2 4 6 3 2" xfId="30671" xr:uid="{00000000-0005-0000-0000-00001B3D0000}"/>
    <cellStyle name="Normal 2 3 2 4 6 4" xfId="21641" xr:uid="{00000000-0005-0000-0000-00001C3D0000}"/>
    <cellStyle name="Normal 2 3 2 4 7" xfId="3083" xr:uid="{00000000-0005-0000-0000-00001D3D0000}"/>
    <cellStyle name="Normal 2 3 2 4 7 2" xfId="7565" xr:uid="{00000000-0005-0000-0000-00001E3D0000}"/>
    <cellStyle name="Normal 2 3 2 4 7 2 2" xfId="16595" xr:uid="{00000000-0005-0000-0000-00001F3D0000}"/>
    <cellStyle name="Normal 2 3 2 4 7 2 2 2" xfId="36647" xr:uid="{00000000-0005-0000-0000-0000203D0000}"/>
    <cellStyle name="Normal 2 3 2 4 7 2 3" xfId="27617" xr:uid="{00000000-0005-0000-0000-0000213D0000}"/>
    <cellStyle name="Normal 2 3 2 4 7 3" xfId="12113" xr:uid="{00000000-0005-0000-0000-0000223D0000}"/>
    <cellStyle name="Normal 2 3 2 4 7 3 2" xfId="32165" xr:uid="{00000000-0005-0000-0000-0000233D0000}"/>
    <cellStyle name="Normal 2 3 2 4 7 4" xfId="23135" xr:uid="{00000000-0005-0000-0000-0000243D0000}"/>
    <cellStyle name="Normal 2 3 2 4 8" xfId="4577" xr:uid="{00000000-0005-0000-0000-0000253D0000}"/>
    <cellStyle name="Normal 2 3 2 4 8 2" xfId="13607" xr:uid="{00000000-0005-0000-0000-0000263D0000}"/>
    <cellStyle name="Normal 2 3 2 4 8 2 2" xfId="33659" xr:uid="{00000000-0005-0000-0000-0000273D0000}"/>
    <cellStyle name="Normal 2 3 2 4 8 3" xfId="24629" xr:uid="{00000000-0005-0000-0000-0000283D0000}"/>
    <cellStyle name="Normal 2 3 2 4 9" xfId="9125" xr:uid="{00000000-0005-0000-0000-0000293D0000}"/>
    <cellStyle name="Normal 2 3 2 4 9 2" xfId="29177" xr:uid="{00000000-0005-0000-0000-00002A3D0000}"/>
    <cellStyle name="Normal 2 3 2 5" xfId="110" xr:uid="{00000000-0005-0000-0000-00002B3D0000}"/>
    <cellStyle name="Normal 2 3 2 5 10" xfId="20162" xr:uid="{00000000-0005-0000-0000-00002C3D0000}"/>
    <cellStyle name="Normal 2 3 2 5 2" xfId="296" xr:uid="{00000000-0005-0000-0000-00002D3D0000}"/>
    <cellStyle name="Normal 2 3 2 5 2 2" xfId="1039" xr:uid="{00000000-0005-0000-0000-00002E3D0000}"/>
    <cellStyle name="Normal 2 3 2 5 2 2 2" xfId="2533" xr:uid="{00000000-0005-0000-0000-00002F3D0000}"/>
    <cellStyle name="Normal 2 3 2 5 2 2 2 2" xfId="7015" xr:uid="{00000000-0005-0000-0000-0000303D0000}"/>
    <cellStyle name="Normal 2 3 2 5 2 2 2 2 2" xfId="16045" xr:uid="{00000000-0005-0000-0000-0000313D0000}"/>
    <cellStyle name="Normal 2 3 2 5 2 2 2 2 2 2" xfId="36097" xr:uid="{00000000-0005-0000-0000-0000323D0000}"/>
    <cellStyle name="Normal 2 3 2 5 2 2 2 2 3" xfId="27067" xr:uid="{00000000-0005-0000-0000-0000333D0000}"/>
    <cellStyle name="Normal 2 3 2 5 2 2 2 3" xfId="11563" xr:uid="{00000000-0005-0000-0000-0000343D0000}"/>
    <cellStyle name="Normal 2 3 2 5 2 2 2 3 2" xfId="31615" xr:uid="{00000000-0005-0000-0000-0000353D0000}"/>
    <cellStyle name="Normal 2 3 2 5 2 2 2 4" xfId="22585" xr:uid="{00000000-0005-0000-0000-0000363D0000}"/>
    <cellStyle name="Normal 2 3 2 5 2 2 3" xfId="4027" xr:uid="{00000000-0005-0000-0000-0000373D0000}"/>
    <cellStyle name="Normal 2 3 2 5 2 2 3 2" xfId="8509" xr:uid="{00000000-0005-0000-0000-0000383D0000}"/>
    <cellStyle name="Normal 2 3 2 5 2 2 3 2 2" xfId="17539" xr:uid="{00000000-0005-0000-0000-0000393D0000}"/>
    <cellStyle name="Normal 2 3 2 5 2 2 3 2 2 2" xfId="37591" xr:uid="{00000000-0005-0000-0000-00003A3D0000}"/>
    <cellStyle name="Normal 2 3 2 5 2 2 3 2 3" xfId="28561" xr:uid="{00000000-0005-0000-0000-00003B3D0000}"/>
    <cellStyle name="Normal 2 3 2 5 2 2 3 3" xfId="13057" xr:uid="{00000000-0005-0000-0000-00003C3D0000}"/>
    <cellStyle name="Normal 2 3 2 5 2 2 3 3 2" xfId="33109" xr:uid="{00000000-0005-0000-0000-00003D3D0000}"/>
    <cellStyle name="Normal 2 3 2 5 2 2 3 4" xfId="24079" xr:uid="{00000000-0005-0000-0000-00003E3D0000}"/>
    <cellStyle name="Normal 2 3 2 5 2 2 4" xfId="5521" xr:uid="{00000000-0005-0000-0000-00003F3D0000}"/>
    <cellStyle name="Normal 2 3 2 5 2 2 4 2" xfId="14551" xr:uid="{00000000-0005-0000-0000-0000403D0000}"/>
    <cellStyle name="Normal 2 3 2 5 2 2 4 2 2" xfId="34603" xr:uid="{00000000-0005-0000-0000-0000413D0000}"/>
    <cellStyle name="Normal 2 3 2 5 2 2 4 3" xfId="25573" xr:uid="{00000000-0005-0000-0000-0000423D0000}"/>
    <cellStyle name="Normal 2 3 2 5 2 2 5" xfId="10069" xr:uid="{00000000-0005-0000-0000-0000433D0000}"/>
    <cellStyle name="Normal 2 3 2 5 2 2 5 2" xfId="30121" xr:uid="{00000000-0005-0000-0000-0000443D0000}"/>
    <cellStyle name="Normal 2 3 2 5 2 2 6" xfId="21091" xr:uid="{00000000-0005-0000-0000-0000453D0000}"/>
    <cellStyle name="Normal 2 3 2 5 2 3" xfId="1790" xr:uid="{00000000-0005-0000-0000-0000463D0000}"/>
    <cellStyle name="Normal 2 3 2 5 2 3 2" xfId="6272" xr:uid="{00000000-0005-0000-0000-0000473D0000}"/>
    <cellStyle name="Normal 2 3 2 5 2 3 2 2" xfId="15302" xr:uid="{00000000-0005-0000-0000-0000483D0000}"/>
    <cellStyle name="Normal 2 3 2 5 2 3 2 2 2" xfId="35354" xr:uid="{00000000-0005-0000-0000-0000493D0000}"/>
    <cellStyle name="Normal 2 3 2 5 2 3 2 3" xfId="26324" xr:uid="{00000000-0005-0000-0000-00004A3D0000}"/>
    <cellStyle name="Normal 2 3 2 5 2 3 3" xfId="10820" xr:uid="{00000000-0005-0000-0000-00004B3D0000}"/>
    <cellStyle name="Normal 2 3 2 5 2 3 3 2" xfId="30872" xr:uid="{00000000-0005-0000-0000-00004C3D0000}"/>
    <cellStyle name="Normal 2 3 2 5 2 3 4" xfId="21842" xr:uid="{00000000-0005-0000-0000-00004D3D0000}"/>
    <cellStyle name="Normal 2 3 2 5 2 4" xfId="3284" xr:uid="{00000000-0005-0000-0000-00004E3D0000}"/>
    <cellStyle name="Normal 2 3 2 5 2 4 2" xfId="7766" xr:uid="{00000000-0005-0000-0000-00004F3D0000}"/>
    <cellStyle name="Normal 2 3 2 5 2 4 2 2" xfId="16796" xr:uid="{00000000-0005-0000-0000-0000503D0000}"/>
    <cellStyle name="Normal 2 3 2 5 2 4 2 2 2" xfId="36848" xr:uid="{00000000-0005-0000-0000-0000513D0000}"/>
    <cellStyle name="Normal 2 3 2 5 2 4 2 3" xfId="27818" xr:uid="{00000000-0005-0000-0000-0000523D0000}"/>
    <cellStyle name="Normal 2 3 2 5 2 4 3" xfId="12314" xr:uid="{00000000-0005-0000-0000-0000533D0000}"/>
    <cellStyle name="Normal 2 3 2 5 2 4 3 2" xfId="32366" xr:uid="{00000000-0005-0000-0000-0000543D0000}"/>
    <cellStyle name="Normal 2 3 2 5 2 4 4" xfId="23336" xr:uid="{00000000-0005-0000-0000-0000553D0000}"/>
    <cellStyle name="Normal 2 3 2 5 2 5" xfId="4778" xr:uid="{00000000-0005-0000-0000-0000563D0000}"/>
    <cellStyle name="Normal 2 3 2 5 2 5 2" xfId="13808" xr:uid="{00000000-0005-0000-0000-0000573D0000}"/>
    <cellStyle name="Normal 2 3 2 5 2 5 2 2" xfId="33860" xr:uid="{00000000-0005-0000-0000-0000583D0000}"/>
    <cellStyle name="Normal 2 3 2 5 2 5 3" xfId="24830" xr:uid="{00000000-0005-0000-0000-0000593D0000}"/>
    <cellStyle name="Normal 2 3 2 5 2 6" xfId="9326" xr:uid="{00000000-0005-0000-0000-00005A3D0000}"/>
    <cellStyle name="Normal 2 3 2 5 2 6 2" xfId="29378" xr:uid="{00000000-0005-0000-0000-00005B3D0000}"/>
    <cellStyle name="Normal 2 3 2 5 2 7" xfId="20348" xr:uid="{00000000-0005-0000-0000-00005C3D0000}"/>
    <cellStyle name="Normal 2 3 2 5 3" xfId="482" xr:uid="{00000000-0005-0000-0000-00005D3D0000}"/>
    <cellStyle name="Normal 2 3 2 5 3 2" xfId="1229" xr:uid="{00000000-0005-0000-0000-00005E3D0000}"/>
    <cellStyle name="Normal 2 3 2 5 3 2 2" xfId="2723" xr:uid="{00000000-0005-0000-0000-00005F3D0000}"/>
    <cellStyle name="Normal 2 3 2 5 3 2 2 2" xfId="7205" xr:uid="{00000000-0005-0000-0000-0000603D0000}"/>
    <cellStyle name="Normal 2 3 2 5 3 2 2 2 2" xfId="16235" xr:uid="{00000000-0005-0000-0000-0000613D0000}"/>
    <cellStyle name="Normal 2 3 2 5 3 2 2 2 2 2" xfId="36287" xr:uid="{00000000-0005-0000-0000-0000623D0000}"/>
    <cellStyle name="Normal 2 3 2 5 3 2 2 2 3" xfId="27257" xr:uid="{00000000-0005-0000-0000-0000633D0000}"/>
    <cellStyle name="Normal 2 3 2 5 3 2 2 3" xfId="11753" xr:uid="{00000000-0005-0000-0000-0000643D0000}"/>
    <cellStyle name="Normal 2 3 2 5 3 2 2 3 2" xfId="31805" xr:uid="{00000000-0005-0000-0000-0000653D0000}"/>
    <cellStyle name="Normal 2 3 2 5 3 2 2 4" xfId="22775" xr:uid="{00000000-0005-0000-0000-0000663D0000}"/>
    <cellStyle name="Normal 2 3 2 5 3 2 3" xfId="4217" xr:uid="{00000000-0005-0000-0000-0000673D0000}"/>
    <cellStyle name="Normal 2 3 2 5 3 2 3 2" xfId="8699" xr:uid="{00000000-0005-0000-0000-0000683D0000}"/>
    <cellStyle name="Normal 2 3 2 5 3 2 3 2 2" xfId="17729" xr:uid="{00000000-0005-0000-0000-0000693D0000}"/>
    <cellStyle name="Normal 2 3 2 5 3 2 3 2 2 2" xfId="37781" xr:uid="{00000000-0005-0000-0000-00006A3D0000}"/>
    <cellStyle name="Normal 2 3 2 5 3 2 3 2 3" xfId="28751" xr:uid="{00000000-0005-0000-0000-00006B3D0000}"/>
    <cellStyle name="Normal 2 3 2 5 3 2 3 3" xfId="13247" xr:uid="{00000000-0005-0000-0000-00006C3D0000}"/>
    <cellStyle name="Normal 2 3 2 5 3 2 3 3 2" xfId="33299" xr:uid="{00000000-0005-0000-0000-00006D3D0000}"/>
    <cellStyle name="Normal 2 3 2 5 3 2 3 4" xfId="24269" xr:uid="{00000000-0005-0000-0000-00006E3D0000}"/>
    <cellStyle name="Normal 2 3 2 5 3 2 4" xfId="5711" xr:uid="{00000000-0005-0000-0000-00006F3D0000}"/>
    <cellStyle name="Normal 2 3 2 5 3 2 4 2" xfId="14741" xr:uid="{00000000-0005-0000-0000-0000703D0000}"/>
    <cellStyle name="Normal 2 3 2 5 3 2 4 2 2" xfId="34793" xr:uid="{00000000-0005-0000-0000-0000713D0000}"/>
    <cellStyle name="Normal 2 3 2 5 3 2 4 3" xfId="25763" xr:uid="{00000000-0005-0000-0000-0000723D0000}"/>
    <cellStyle name="Normal 2 3 2 5 3 2 5" xfId="10259" xr:uid="{00000000-0005-0000-0000-0000733D0000}"/>
    <cellStyle name="Normal 2 3 2 5 3 2 5 2" xfId="30311" xr:uid="{00000000-0005-0000-0000-0000743D0000}"/>
    <cellStyle name="Normal 2 3 2 5 3 2 6" xfId="21281" xr:uid="{00000000-0005-0000-0000-0000753D0000}"/>
    <cellStyle name="Normal 2 3 2 5 3 3" xfId="1976" xr:uid="{00000000-0005-0000-0000-0000763D0000}"/>
    <cellStyle name="Normal 2 3 2 5 3 3 2" xfId="6458" xr:uid="{00000000-0005-0000-0000-0000773D0000}"/>
    <cellStyle name="Normal 2 3 2 5 3 3 2 2" xfId="15488" xr:uid="{00000000-0005-0000-0000-0000783D0000}"/>
    <cellStyle name="Normal 2 3 2 5 3 3 2 2 2" xfId="35540" xr:uid="{00000000-0005-0000-0000-0000793D0000}"/>
    <cellStyle name="Normal 2 3 2 5 3 3 2 3" xfId="26510" xr:uid="{00000000-0005-0000-0000-00007A3D0000}"/>
    <cellStyle name="Normal 2 3 2 5 3 3 3" xfId="11006" xr:uid="{00000000-0005-0000-0000-00007B3D0000}"/>
    <cellStyle name="Normal 2 3 2 5 3 3 3 2" xfId="31058" xr:uid="{00000000-0005-0000-0000-00007C3D0000}"/>
    <cellStyle name="Normal 2 3 2 5 3 3 4" xfId="22028" xr:uid="{00000000-0005-0000-0000-00007D3D0000}"/>
    <cellStyle name="Normal 2 3 2 5 3 4" xfId="3470" xr:uid="{00000000-0005-0000-0000-00007E3D0000}"/>
    <cellStyle name="Normal 2 3 2 5 3 4 2" xfId="7952" xr:uid="{00000000-0005-0000-0000-00007F3D0000}"/>
    <cellStyle name="Normal 2 3 2 5 3 4 2 2" xfId="16982" xr:uid="{00000000-0005-0000-0000-0000803D0000}"/>
    <cellStyle name="Normal 2 3 2 5 3 4 2 2 2" xfId="37034" xr:uid="{00000000-0005-0000-0000-0000813D0000}"/>
    <cellStyle name="Normal 2 3 2 5 3 4 2 3" xfId="28004" xr:uid="{00000000-0005-0000-0000-0000823D0000}"/>
    <cellStyle name="Normal 2 3 2 5 3 4 3" xfId="12500" xr:uid="{00000000-0005-0000-0000-0000833D0000}"/>
    <cellStyle name="Normal 2 3 2 5 3 4 3 2" xfId="32552" xr:uid="{00000000-0005-0000-0000-0000843D0000}"/>
    <cellStyle name="Normal 2 3 2 5 3 4 4" xfId="23522" xr:uid="{00000000-0005-0000-0000-0000853D0000}"/>
    <cellStyle name="Normal 2 3 2 5 3 5" xfId="4964" xr:uid="{00000000-0005-0000-0000-0000863D0000}"/>
    <cellStyle name="Normal 2 3 2 5 3 5 2" xfId="13994" xr:uid="{00000000-0005-0000-0000-0000873D0000}"/>
    <cellStyle name="Normal 2 3 2 5 3 5 2 2" xfId="34046" xr:uid="{00000000-0005-0000-0000-0000883D0000}"/>
    <cellStyle name="Normal 2 3 2 5 3 5 3" xfId="25016" xr:uid="{00000000-0005-0000-0000-0000893D0000}"/>
    <cellStyle name="Normal 2 3 2 5 3 6" xfId="9512" xr:uid="{00000000-0005-0000-0000-00008A3D0000}"/>
    <cellStyle name="Normal 2 3 2 5 3 6 2" xfId="29564" xr:uid="{00000000-0005-0000-0000-00008B3D0000}"/>
    <cellStyle name="Normal 2 3 2 5 3 7" xfId="20534" xr:uid="{00000000-0005-0000-0000-00008C3D0000}"/>
    <cellStyle name="Normal 2 3 2 5 4" xfId="668" xr:uid="{00000000-0005-0000-0000-00008D3D0000}"/>
    <cellStyle name="Normal 2 3 2 5 4 2" xfId="1415" xr:uid="{00000000-0005-0000-0000-00008E3D0000}"/>
    <cellStyle name="Normal 2 3 2 5 4 2 2" xfId="2909" xr:uid="{00000000-0005-0000-0000-00008F3D0000}"/>
    <cellStyle name="Normal 2 3 2 5 4 2 2 2" xfId="7391" xr:uid="{00000000-0005-0000-0000-0000903D0000}"/>
    <cellStyle name="Normal 2 3 2 5 4 2 2 2 2" xfId="16421" xr:uid="{00000000-0005-0000-0000-0000913D0000}"/>
    <cellStyle name="Normal 2 3 2 5 4 2 2 2 2 2" xfId="36473" xr:uid="{00000000-0005-0000-0000-0000923D0000}"/>
    <cellStyle name="Normal 2 3 2 5 4 2 2 2 3" xfId="27443" xr:uid="{00000000-0005-0000-0000-0000933D0000}"/>
    <cellStyle name="Normal 2 3 2 5 4 2 2 3" xfId="11939" xr:uid="{00000000-0005-0000-0000-0000943D0000}"/>
    <cellStyle name="Normal 2 3 2 5 4 2 2 3 2" xfId="31991" xr:uid="{00000000-0005-0000-0000-0000953D0000}"/>
    <cellStyle name="Normal 2 3 2 5 4 2 2 4" xfId="22961" xr:uid="{00000000-0005-0000-0000-0000963D0000}"/>
    <cellStyle name="Normal 2 3 2 5 4 2 3" xfId="4403" xr:uid="{00000000-0005-0000-0000-0000973D0000}"/>
    <cellStyle name="Normal 2 3 2 5 4 2 3 2" xfId="8885" xr:uid="{00000000-0005-0000-0000-0000983D0000}"/>
    <cellStyle name="Normal 2 3 2 5 4 2 3 2 2" xfId="17915" xr:uid="{00000000-0005-0000-0000-0000993D0000}"/>
    <cellStyle name="Normal 2 3 2 5 4 2 3 2 2 2" xfId="37967" xr:uid="{00000000-0005-0000-0000-00009A3D0000}"/>
    <cellStyle name="Normal 2 3 2 5 4 2 3 2 3" xfId="28937" xr:uid="{00000000-0005-0000-0000-00009B3D0000}"/>
    <cellStyle name="Normal 2 3 2 5 4 2 3 3" xfId="13433" xr:uid="{00000000-0005-0000-0000-00009C3D0000}"/>
    <cellStyle name="Normal 2 3 2 5 4 2 3 3 2" xfId="33485" xr:uid="{00000000-0005-0000-0000-00009D3D0000}"/>
    <cellStyle name="Normal 2 3 2 5 4 2 3 4" xfId="24455" xr:uid="{00000000-0005-0000-0000-00009E3D0000}"/>
    <cellStyle name="Normal 2 3 2 5 4 2 4" xfId="5897" xr:uid="{00000000-0005-0000-0000-00009F3D0000}"/>
    <cellStyle name="Normal 2 3 2 5 4 2 4 2" xfId="14927" xr:uid="{00000000-0005-0000-0000-0000A03D0000}"/>
    <cellStyle name="Normal 2 3 2 5 4 2 4 2 2" xfId="34979" xr:uid="{00000000-0005-0000-0000-0000A13D0000}"/>
    <cellStyle name="Normal 2 3 2 5 4 2 4 3" xfId="25949" xr:uid="{00000000-0005-0000-0000-0000A23D0000}"/>
    <cellStyle name="Normal 2 3 2 5 4 2 5" xfId="10445" xr:uid="{00000000-0005-0000-0000-0000A33D0000}"/>
    <cellStyle name="Normal 2 3 2 5 4 2 5 2" xfId="30497" xr:uid="{00000000-0005-0000-0000-0000A43D0000}"/>
    <cellStyle name="Normal 2 3 2 5 4 2 6" xfId="21467" xr:uid="{00000000-0005-0000-0000-0000A53D0000}"/>
    <cellStyle name="Normal 2 3 2 5 4 3" xfId="2162" xr:uid="{00000000-0005-0000-0000-0000A63D0000}"/>
    <cellStyle name="Normal 2 3 2 5 4 3 2" xfId="6644" xr:uid="{00000000-0005-0000-0000-0000A73D0000}"/>
    <cellStyle name="Normal 2 3 2 5 4 3 2 2" xfId="15674" xr:uid="{00000000-0005-0000-0000-0000A83D0000}"/>
    <cellStyle name="Normal 2 3 2 5 4 3 2 2 2" xfId="35726" xr:uid="{00000000-0005-0000-0000-0000A93D0000}"/>
    <cellStyle name="Normal 2 3 2 5 4 3 2 3" xfId="26696" xr:uid="{00000000-0005-0000-0000-0000AA3D0000}"/>
    <cellStyle name="Normal 2 3 2 5 4 3 3" xfId="11192" xr:uid="{00000000-0005-0000-0000-0000AB3D0000}"/>
    <cellStyle name="Normal 2 3 2 5 4 3 3 2" xfId="31244" xr:uid="{00000000-0005-0000-0000-0000AC3D0000}"/>
    <cellStyle name="Normal 2 3 2 5 4 3 4" xfId="22214" xr:uid="{00000000-0005-0000-0000-0000AD3D0000}"/>
    <cellStyle name="Normal 2 3 2 5 4 4" xfId="3656" xr:uid="{00000000-0005-0000-0000-0000AE3D0000}"/>
    <cellStyle name="Normal 2 3 2 5 4 4 2" xfId="8138" xr:uid="{00000000-0005-0000-0000-0000AF3D0000}"/>
    <cellStyle name="Normal 2 3 2 5 4 4 2 2" xfId="17168" xr:uid="{00000000-0005-0000-0000-0000B03D0000}"/>
    <cellStyle name="Normal 2 3 2 5 4 4 2 2 2" xfId="37220" xr:uid="{00000000-0005-0000-0000-0000B13D0000}"/>
    <cellStyle name="Normal 2 3 2 5 4 4 2 3" xfId="28190" xr:uid="{00000000-0005-0000-0000-0000B23D0000}"/>
    <cellStyle name="Normal 2 3 2 5 4 4 3" xfId="12686" xr:uid="{00000000-0005-0000-0000-0000B33D0000}"/>
    <cellStyle name="Normal 2 3 2 5 4 4 3 2" xfId="32738" xr:uid="{00000000-0005-0000-0000-0000B43D0000}"/>
    <cellStyle name="Normal 2 3 2 5 4 4 4" xfId="23708" xr:uid="{00000000-0005-0000-0000-0000B53D0000}"/>
    <cellStyle name="Normal 2 3 2 5 4 5" xfId="5150" xr:uid="{00000000-0005-0000-0000-0000B63D0000}"/>
    <cellStyle name="Normal 2 3 2 5 4 5 2" xfId="14180" xr:uid="{00000000-0005-0000-0000-0000B73D0000}"/>
    <cellStyle name="Normal 2 3 2 5 4 5 2 2" xfId="34232" xr:uid="{00000000-0005-0000-0000-0000B83D0000}"/>
    <cellStyle name="Normal 2 3 2 5 4 5 3" xfId="25202" xr:uid="{00000000-0005-0000-0000-0000B93D0000}"/>
    <cellStyle name="Normal 2 3 2 5 4 6" xfId="9698" xr:uid="{00000000-0005-0000-0000-0000BA3D0000}"/>
    <cellStyle name="Normal 2 3 2 5 4 6 2" xfId="29750" xr:uid="{00000000-0005-0000-0000-0000BB3D0000}"/>
    <cellStyle name="Normal 2 3 2 5 4 7" xfId="20720" xr:uid="{00000000-0005-0000-0000-0000BC3D0000}"/>
    <cellStyle name="Normal 2 3 2 5 5" xfId="855" xr:uid="{00000000-0005-0000-0000-0000BD3D0000}"/>
    <cellStyle name="Normal 2 3 2 5 5 2" xfId="2349" xr:uid="{00000000-0005-0000-0000-0000BE3D0000}"/>
    <cellStyle name="Normal 2 3 2 5 5 2 2" xfId="6831" xr:uid="{00000000-0005-0000-0000-0000BF3D0000}"/>
    <cellStyle name="Normal 2 3 2 5 5 2 2 2" xfId="15861" xr:uid="{00000000-0005-0000-0000-0000C03D0000}"/>
    <cellStyle name="Normal 2 3 2 5 5 2 2 2 2" xfId="35913" xr:uid="{00000000-0005-0000-0000-0000C13D0000}"/>
    <cellStyle name="Normal 2 3 2 5 5 2 2 3" xfId="26883" xr:uid="{00000000-0005-0000-0000-0000C23D0000}"/>
    <cellStyle name="Normal 2 3 2 5 5 2 3" xfId="11379" xr:uid="{00000000-0005-0000-0000-0000C33D0000}"/>
    <cellStyle name="Normal 2 3 2 5 5 2 3 2" xfId="31431" xr:uid="{00000000-0005-0000-0000-0000C43D0000}"/>
    <cellStyle name="Normal 2 3 2 5 5 2 4" xfId="22401" xr:uid="{00000000-0005-0000-0000-0000C53D0000}"/>
    <cellStyle name="Normal 2 3 2 5 5 3" xfId="3843" xr:uid="{00000000-0005-0000-0000-0000C63D0000}"/>
    <cellStyle name="Normal 2 3 2 5 5 3 2" xfId="8325" xr:uid="{00000000-0005-0000-0000-0000C73D0000}"/>
    <cellStyle name="Normal 2 3 2 5 5 3 2 2" xfId="17355" xr:uid="{00000000-0005-0000-0000-0000C83D0000}"/>
    <cellStyle name="Normal 2 3 2 5 5 3 2 2 2" xfId="37407" xr:uid="{00000000-0005-0000-0000-0000C93D0000}"/>
    <cellStyle name="Normal 2 3 2 5 5 3 2 3" xfId="28377" xr:uid="{00000000-0005-0000-0000-0000CA3D0000}"/>
    <cellStyle name="Normal 2 3 2 5 5 3 3" xfId="12873" xr:uid="{00000000-0005-0000-0000-0000CB3D0000}"/>
    <cellStyle name="Normal 2 3 2 5 5 3 3 2" xfId="32925" xr:uid="{00000000-0005-0000-0000-0000CC3D0000}"/>
    <cellStyle name="Normal 2 3 2 5 5 3 4" xfId="23895" xr:uid="{00000000-0005-0000-0000-0000CD3D0000}"/>
    <cellStyle name="Normal 2 3 2 5 5 4" xfId="5337" xr:uid="{00000000-0005-0000-0000-0000CE3D0000}"/>
    <cellStyle name="Normal 2 3 2 5 5 4 2" xfId="14367" xr:uid="{00000000-0005-0000-0000-0000CF3D0000}"/>
    <cellStyle name="Normal 2 3 2 5 5 4 2 2" xfId="34419" xr:uid="{00000000-0005-0000-0000-0000D03D0000}"/>
    <cellStyle name="Normal 2 3 2 5 5 4 3" xfId="25389" xr:uid="{00000000-0005-0000-0000-0000D13D0000}"/>
    <cellStyle name="Normal 2 3 2 5 5 5" xfId="9885" xr:uid="{00000000-0005-0000-0000-0000D23D0000}"/>
    <cellStyle name="Normal 2 3 2 5 5 5 2" xfId="29937" xr:uid="{00000000-0005-0000-0000-0000D33D0000}"/>
    <cellStyle name="Normal 2 3 2 5 5 6" xfId="20907" xr:uid="{00000000-0005-0000-0000-0000D43D0000}"/>
    <cellStyle name="Normal 2 3 2 5 6" xfId="1604" xr:uid="{00000000-0005-0000-0000-0000D53D0000}"/>
    <cellStyle name="Normal 2 3 2 5 6 2" xfId="6086" xr:uid="{00000000-0005-0000-0000-0000D63D0000}"/>
    <cellStyle name="Normal 2 3 2 5 6 2 2" xfId="15116" xr:uid="{00000000-0005-0000-0000-0000D73D0000}"/>
    <cellStyle name="Normal 2 3 2 5 6 2 2 2" xfId="35168" xr:uid="{00000000-0005-0000-0000-0000D83D0000}"/>
    <cellStyle name="Normal 2 3 2 5 6 2 3" xfId="26138" xr:uid="{00000000-0005-0000-0000-0000D93D0000}"/>
    <cellStyle name="Normal 2 3 2 5 6 3" xfId="10634" xr:uid="{00000000-0005-0000-0000-0000DA3D0000}"/>
    <cellStyle name="Normal 2 3 2 5 6 3 2" xfId="30686" xr:uid="{00000000-0005-0000-0000-0000DB3D0000}"/>
    <cellStyle name="Normal 2 3 2 5 6 4" xfId="21656" xr:uid="{00000000-0005-0000-0000-0000DC3D0000}"/>
    <cellStyle name="Normal 2 3 2 5 7" xfId="3098" xr:uid="{00000000-0005-0000-0000-0000DD3D0000}"/>
    <cellStyle name="Normal 2 3 2 5 7 2" xfId="7580" xr:uid="{00000000-0005-0000-0000-0000DE3D0000}"/>
    <cellStyle name="Normal 2 3 2 5 7 2 2" xfId="16610" xr:uid="{00000000-0005-0000-0000-0000DF3D0000}"/>
    <cellStyle name="Normal 2 3 2 5 7 2 2 2" xfId="36662" xr:uid="{00000000-0005-0000-0000-0000E03D0000}"/>
    <cellStyle name="Normal 2 3 2 5 7 2 3" xfId="27632" xr:uid="{00000000-0005-0000-0000-0000E13D0000}"/>
    <cellStyle name="Normal 2 3 2 5 7 3" xfId="12128" xr:uid="{00000000-0005-0000-0000-0000E23D0000}"/>
    <cellStyle name="Normal 2 3 2 5 7 3 2" xfId="32180" xr:uid="{00000000-0005-0000-0000-0000E33D0000}"/>
    <cellStyle name="Normal 2 3 2 5 7 4" xfId="23150" xr:uid="{00000000-0005-0000-0000-0000E43D0000}"/>
    <cellStyle name="Normal 2 3 2 5 8" xfId="4592" xr:uid="{00000000-0005-0000-0000-0000E53D0000}"/>
    <cellStyle name="Normal 2 3 2 5 8 2" xfId="13622" xr:uid="{00000000-0005-0000-0000-0000E63D0000}"/>
    <cellStyle name="Normal 2 3 2 5 8 2 2" xfId="33674" xr:uid="{00000000-0005-0000-0000-0000E73D0000}"/>
    <cellStyle name="Normal 2 3 2 5 8 3" xfId="24644" xr:uid="{00000000-0005-0000-0000-0000E83D0000}"/>
    <cellStyle name="Normal 2 3 2 5 9" xfId="9140" xr:uid="{00000000-0005-0000-0000-0000E93D0000}"/>
    <cellStyle name="Normal 2 3 2 5 9 2" xfId="29192" xr:uid="{00000000-0005-0000-0000-0000EA3D0000}"/>
    <cellStyle name="Normal 2 3 2 6" xfId="142" xr:uid="{00000000-0005-0000-0000-0000EB3D0000}"/>
    <cellStyle name="Normal 2 3 2 6 10" xfId="20194" xr:uid="{00000000-0005-0000-0000-0000EC3D0000}"/>
    <cellStyle name="Normal 2 3 2 6 2" xfId="328" xr:uid="{00000000-0005-0000-0000-0000ED3D0000}"/>
    <cellStyle name="Normal 2 3 2 6 2 2" xfId="1071" xr:uid="{00000000-0005-0000-0000-0000EE3D0000}"/>
    <cellStyle name="Normal 2 3 2 6 2 2 2" xfId="2565" xr:uid="{00000000-0005-0000-0000-0000EF3D0000}"/>
    <cellStyle name="Normal 2 3 2 6 2 2 2 2" xfId="7047" xr:uid="{00000000-0005-0000-0000-0000F03D0000}"/>
    <cellStyle name="Normal 2 3 2 6 2 2 2 2 2" xfId="16077" xr:uid="{00000000-0005-0000-0000-0000F13D0000}"/>
    <cellStyle name="Normal 2 3 2 6 2 2 2 2 2 2" xfId="36129" xr:uid="{00000000-0005-0000-0000-0000F23D0000}"/>
    <cellStyle name="Normal 2 3 2 6 2 2 2 2 3" xfId="27099" xr:uid="{00000000-0005-0000-0000-0000F33D0000}"/>
    <cellStyle name="Normal 2 3 2 6 2 2 2 3" xfId="11595" xr:uid="{00000000-0005-0000-0000-0000F43D0000}"/>
    <cellStyle name="Normal 2 3 2 6 2 2 2 3 2" xfId="31647" xr:uid="{00000000-0005-0000-0000-0000F53D0000}"/>
    <cellStyle name="Normal 2 3 2 6 2 2 2 4" xfId="22617" xr:uid="{00000000-0005-0000-0000-0000F63D0000}"/>
    <cellStyle name="Normal 2 3 2 6 2 2 3" xfId="4059" xr:uid="{00000000-0005-0000-0000-0000F73D0000}"/>
    <cellStyle name="Normal 2 3 2 6 2 2 3 2" xfId="8541" xr:uid="{00000000-0005-0000-0000-0000F83D0000}"/>
    <cellStyle name="Normal 2 3 2 6 2 2 3 2 2" xfId="17571" xr:uid="{00000000-0005-0000-0000-0000F93D0000}"/>
    <cellStyle name="Normal 2 3 2 6 2 2 3 2 2 2" xfId="37623" xr:uid="{00000000-0005-0000-0000-0000FA3D0000}"/>
    <cellStyle name="Normal 2 3 2 6 2 2 3 2 3" xfId="28593" xr:uid="{00000000-0005-0000-0000-0000FB3D0000}"/>
    <cellStyle name="Normal 2 3 2 6 2 2 3 3" xfId="13089" xr:uid="{00000000-0005-0000-0000-0000FC3D0000}"/>
    <cellStyle name="Normal 2 3 2 6 2 2 3 3 2" xfId="33141" xr:uid="{00000000-0005-0000-0000-0000FD3D0000}"/>
    <cellStyle name="Normal 2 3 2 6 2 2 3 4" xfId="24111" xr:uid="{00000000-0005-0000-0000-0000FE3D0000}"/>
    <cellStyle name="Normal 2 3 2 6 2 2 4" xfId="5553" xr:uid="{00000000-0005-0000-0000-0000FF3D0000}"/>
    <cellStyle name="Normal 2 3 2 6 2 2 4 2" xfId="14583" xr:uid="{00000000-0005-0000-0000-0000003E0000}"/>
    <cellStyle name="Normal 2 3 2 6 2 2 4 2 2" xfId="34635" xr:uid="{00000000-0005-0000-0000-0000013E0000}"/>
    <cellStyle name="Normal 2 3 2 6 2 2 4 3" xfId="25605" xr:uid="{00000000-0005-0000-0000-0000023E0000}"/>
    <cellStyle name="Normal 2 3 2 6 2 2 5" xfId="10101" xr:uid="{00000000-0005-0000-0000-0000033E0000}"/>
    <cellStyle name="Normal 2 3 2 6 2 2 5 2" xfId="30153" xr:uid="{00000000-0005-0000-0000-0000043E0000}"/>
    <cellStyle name="Normal 2 3 2 6 2 2 6" xfId="21123" xr:uid="{00000000-0005-0000-0000-0000053E0000}"/>
    <cellStyle name="Normal 2 3 2 6 2 3" xfId="1822" xr:uid="{00000000-0005-0000-0000-0000063E0000}"/>
    <cellStyle name="Normal 2 3 2 6 2 3 2" xfId="6304" xr:uid="{00000000-0005-0000-0000-0000073E0000}"/>
    <cellStyle name="Normal 2 3 2 6 2 3 2 2" xfId="15334" xr:uid="{00000000-0005-0000-0000-0000083E0000}"/>
    <cellStyle name="Normal 2 3 2 6 2 3 2 2 2" xfId="35386" xr:uid="{00000000-0005-0000-0000-0000093E0000}"/>
    <cellStyle name="Normal 2 3 2 6 2 3 2 3" xfId="26356" xr:uid="{00000000-0005-0000-0000-00000A3E0000}"/>
    <cellStyle name="Normal 2 3 2 6 2 3 3" xfId="10852" xr:uid="{00000000-0005-0000-0000-00000B3E0000}"/>
    <cellStyle name="Normal 2 3 2 6 2 3 3 2" xfId="30904" xr:uid="{00000000-0005-0000-0000-00000C3E0000}"/>
    <cellStyle name="Normal 2 3 2 6 2 3 4" xfId="21874" xr:uid="{00000000-0005-0000-0000-00000D3E0000}"/>
    <cellStyle name="Normal 2 3 2 6 2 4" xfId="3316" xr:uid="{00000000-0005-0000-0000-00000E3E0000}"/>
    <cellStyle name="Normal 2 3 2 6 2 4 2" xfId="7798" xr:uid="{00000000-0005-0000-0000-00000F3E0000}"/>
    <cellStyle name="Normal 2 3 2 6 2 4 2 2" xfId="16828" xr:uid="{00000000-0005-0000-0000-0000103E0000}"/>
    <cellStyle name="Normal 2 3 2 6 2 4 2 2 2" xfId="36880" xr:uid="{00000000-0005-0000-0000-0000113E0000}"/>
    <cellStyle name="Normal 2 3 2 6 2 4 2 3" xfId="27850" xr:uid="{00000000-0005-0000-0000-0000123E0000}"/>
    <cellStyle name="Normal 2 3 2 6 2 4 3" xfId="12346" xr:uid="{00000000-0005-0000-0000-0000133E0000}"/>
    <cellStyle name="Normal 2 3 2 6 2 4 3 2" xfId="32398" xr:uid="{00000000-0005-0000-0000-0000143E0000}"/>
    <cellStyle name="Normal 2 3 2 6 2 4 4" xfId="23368" xr:uid="{00000000-0005-0000-0000-0000153E0000}"/>
    <cellStyle name="Normal 2 3 2 6 2 5" xfId="4810" xr:uid="{00000000-0005-0000-0000-0000163E0000}"/>
    <cellStyle name="Normal 2 3 2 6 2 5 2" xfId="13840" xr:uid="{00000000-0005-0000-0000-0000173E0000}"/>
    <cellStyle name="Normal 2 3 2 6 2 5 2 2" xfId="33892" xr:uid="{00000000-0005-0000-0000-0000183E0000}"/>
    <cellStyle name="Normal 2 3 2 6 2 5 3" xfId="24862" xr:uid="{00000000-0005-0000-0000-0000193E0000}"/>
    <cellStyle name="Normal 2 3 2 6 2 6" xfId="9358" xr:uid="{00000000-0005-0000-0000-00001A3E0000}"/>
    <cellStyle name="Normal 2 3 2 6 2 6 2" xfId="29410" xr:uid="{00000000-0005-0000-0000-00001B3E0000}"/>
    <cellStyle name="Normal 2 3 2 6 2 7" xfId="20380" xr:uid="{00000000-0005-0000-0000-00001C3E0000}"/>
    <cellStyle name="Normal 2 3 2 6 3" xfId="514" xr:uid="{00000000-0005-0000-0000-00001D3E0000}"/>
    <cellStyle name="Normal 2 3 2 6 3 2" xfId="1261" xr:uid="{00000000-0005-0000-0000-00001E3E0000}"/>
    <cellStyle name="Normal 2 3 2 6 3 2 2" xfId="2755" xr:uid="{00000000-0005-0000-0000-00001F3E0000}"/>
    <cellStyle name="Normal 2 3 2 6 3 2 2 2" xfId="7237" xr:uid="{00000000-0005-0000-0000-0000203E0000}"/>
    <cellStyle name="Normal 2 3 2 6 3 2 2 2 2" xfId="16267" xr:uid="{00000000-0005-0000-0000-0000213E0000}"/>
    <cellStyle name="Normal 2 3 2 6 3 2 2 2 2 2" xfId="36319" xr:uid="{00000000-0005-0000-0000-0000223E0000}"/>
    <cellStyle name="Normal 2 3 2 6 3 2 2 2 3" xfId="27289" xr:uid="{00000000-0005-0000-0000-0000233E0000}"/>
    <cellStyle name="Normal 2 3 2 6 3 2 2 3" xfId="11785" xr:uid="{00000000-0005-0000-0000-0000243E0000}"/>
    <cellStyle name="Normal 2 3 2 6 3 2 2 3 2" xfId="31837" xr:uid="{00000000-0005-0000-0000-0000253E0000}"/>
    <cellStyle name="Normal 2 3 2 6 3 2 2 4" xfId="22807" xr:uid="{00000000-0005-0000-0000-0000263E0000}"/>
    <cellStyle name="Normal 2 3 2 6 3 2 3" xfId="4249" xr:uid="{00000000-0005-0000-0000-0000273E0000}"/>
    <cellStyle name="Normal 2 3 2 6 3 2 3 2" xfId="8731" xr:uid="{00000000-0005-0000-0000-0000283E0000}"/>
    <cellStyle name="Normal 2 3 2 6 3 2 3 2 2" xfId="17761" xr:uid="{00000000-0005-0000-0000-0000293E0000}"/>
    <cellStyle name="Normal 2 3 2 6 3 2 3 2 2 2" xfId="37813" xr:uid="{00000000-0005-0000-0000-00002A3E0000}"/>
    <cellStyle name="Normal 2 3 2 6 3 2 3 2 3" xfId="28783" xr:uid="{00000000-0005-0000-0000-00002B3E0000}"/>
    <cellStyle name="Normal 2 3 2 6 3 2 3 3" xfId="13279" xr:uid="{00000000-0005-0000-0000-00002C3E0000}"/>
    <cellStyle name="Normal 2 3 2 6 3 2 3 3 2" xfId="33331" xr:uid="{00000000-0005-0000-0000-00002D3E0000}"/>
    <cellStyle name="Normal 2 3 2 6 3 2 3 4" xfId="24301" xr:uid="{00000000-0005-0000-0000-00002E3E0000}"/>
    <cellStyle name="Normal 2 3 2 6 3 2 4" xfId="5743" xr:uid="{00000000-0005-0000-0000-00002F3E0000}"/>
    <cellStyle name="Normal 2 3 2 6 3 2 4 2" xfId="14773" xr:uid="{00000000-0005-0000-0000-0000303E0000}"/>
    <cellStyle name="Normal 2 3 2 6 3 2 4 2 2" xfId="34825" xr:uid="{00000000-0005-0000-0000-0000313E0000}"/>
    <cellStyle name="Normal 2 3 2 6 3 2 4 3" xfId="25795" xr:uid="{00000000-0005-0000-0000-0000323E0000}"/>
    <cellStyle name="Normal 2 3 2 6 3 2 5" xfId="10291" xr:uid="{00000000-0005-0000-0000-0000333E0000}"/>
    <cellStyle name="Normal 2 3 2 6 3 2 5 2" xfId="30343" xr:uid="{00000000-0005-0000-0000-0000343E0000}"/>
    <cellStyle name="Normal 2 3 2 6 3 2 6" xfId="21313" xr:uid="{00000000-0005-0000-0000-0000353E0000}"/>
    <cellStyle name="Normal 2 3 2 6 3 3" xfId="2008" xr:uid="{00000000-0005-0000-0000-0000363E0000}"/>
    <cellStyle name="Normal 2 3 2 6 3 3 2" xfId="6490" xr:uid="{00000000-0005-0000-0000-0000373E0000}"/>
    <cellStyle name="Normal 2 3 2 6 3 3 2 2" xfId="15520" xr:uid="{00000000-0005-0000-0000-0000383E0000}"/>
    <cellStyle name="Normal 2 3 2 6 3 3 2 2 2" xfId="35572" xr:uid="{00000000-0005-0000-0000-0000393E0000}"/>
    <cellStyle name="Normal 2 3 2 6 3 3 2 3" xfId="26542" xr:uid="{00000000-0005-0000-0000-00003A3E0000}"/>
    <cellStyle name="Normal 2 3 2 6 3 3 3" xfId="11038" xr:uid="{00000000-0005-0000-0000-00003B3E0000}"/>
    <cellStyle name="Normal 2 3 2 6 3 3 3 2" xfId="31090" xr:uid="{00000000-0005-0000-0000-00003C3E0000}"/>
    <cellStyle name="Normal 2 3 2 6 3 3 4" xfId="22060" xr:uid="{00000000-0005-0000-0000-00003D3E0000}"/>
    <cellStyle name="Normal 2 3 2 6 3 4" xfId="3502" xr:uid="{00000000-0005-0000-0000-00003E3E0000}"/>
    <cellStyle name="Normal 2 3 2 6 3 4 2" xfId="7984" xr:uid="{00000000-0005-0000-0000-00003F3E0000}"/>
    <cellStyle name="Normal 2 3 2 6 3 4 2 2" xfId="17014" xr:uid="{00000000-0005-0000-0000-0000403E0000}"/>
    <cellStyle name="Normal 2 3 2 6 3 4 2 2 2" xfId="37066" xr:uid="{00000000-0005-0000-0000-0000413E0000}"/>
    <cellStyle name="Normal 2 3 2 6 3 4 2 3" xfId="28036" xr:uid="{00000000-0005-0000-0000-0000423E0000}"/>
    <cellStyle name="Normal 2 3 2 6 3 4 3" xfId="12532" xr:uid="{00000000-0005-0000-0000-0000433E0000}"/>
    <cellStyle name="Normal 2 3 2 6 3 4 3 2" xfId="32584" xr:uid="{00000000-0005-0000-0000-0000443E0000}"/>
    <cellStyle name="Normal 2 3 2 6 3 4 4" xfId="23554" xr:uid="{00000000-0005-0000-0000-0000453E0000}"/>
    <cellStyle name="Normal 2 3 2 6 3 5" xfId="4996" xr:uid="{00000000-0005-0000-0000-0000463E0000}"/>
    <cellStyle name="Normal 2 3 2 6 3 5 2" xfId="14026" xr:uid="{00000000-0005-0000-0000-0000473E0000}"/>
    <cellStyle name="Normal 2 3 2 6 3 5 2 2" xfId="34078" xr:uid="{00000000-0005-0000-0000-0000483E0000}"/>
    <cellStyle name="Normal 2 3 2 6 3 5 3" xfId="25048" xr:uid="{00000000-0005-0000-0000-0000493E0000}"/>
    <cellStyle name="Normal 2 3 2 6 3 6" xfId="9544" xr:uid="{00000000-0005-0000-0000-00004A3E0000}"/>
    <cellStyle name="Normal 2 3 2 6 3 6 2" xfId="29596" xr:uid="{00000000-0005-0000-0000-00004B3E0000}"/>
    <cellStyle name="Normal 2 3 2 6 3 7" xfId="20566" xr:uid="{00000000-0005-0000-0000-00004C3E0000}"/>
    <cellStyle name="Normal 2 3 2 6 4" xfId="700" xr:uid="{00000000-0005-0000-0000-00004D3E0000}"/>
    <cellStyle name="Normal 2 3 2 6 4 2" xfId="1447" xr:uid="{00000000-0005-0000-0000-00004E3E0000}"/>
    <cellStyle name="Normal 2 3 2 6 4 2 2" xfId="2941" xr:uid="{00000000-0005-0000-0000-00004F3E0000}"/>
    <cellStyle name="Normal 2 3 2 6 4 2 2 2" xfId="7423" xr:uid="{00000000-0005-0000-0000-0000503E0000}"/>
    <cellStyle name="Normal 2 3 2 6 4 2 2 2 2" xfId="16453" xr:uid="{00000000-0005-0000-0000-0000513E0000}"/>
    <cellStyle name="Normal 2 3 2 6 4 2 2 2 2 2" xfId="36505" xr:uid="{00000000-0005-0000-0000-0000523E0000}"/>
    <cellStyle name="Normal 2 3 2 6 4 2 2 2 3" xfId="27475" xr:uid="{00000000-0005-0000-0000-0000533E0000}"/>
    <cellStyle name="Normal 2 3 2 6 4 2 2 3" xfId="11971" xr:uid="{00000000-0005-0000-0000-0000543E0000}"/>
    <cellStyle name="Normal 2 3 2 6 4 2 2 3 2" xfId="32023" xr:uid="{00000000-0005-0000-0000-0000553E0000}"/>
    <cellStyle name="Normal 2 3 2 6 4 2 2 4" xfId="22993" xr:uid="{00000000-0005-0000-0000-0000563E0000}"/>
    <cellStyle name="Normal 2 3 2 6 4 2 3" xfId="4435" xr:uid="{00000000-0005-0000-0000-0000573E0000}"/>
    <cellStyle name="Normal 2 3 2 6 4 2 3 2" xfId="8917" xr:uid="{00000000-0005-0000-0000-0000583E0000}"/>
    <cellStyle name="Normal 2 3 2 6 4 2 3 2 2" xfId="17947" xr:uid="{00000000-0005-0000-0000-0000593E0000}"/>
    <cellStyle name="Normal 2 3 2 6 4 2 3 2 2 2" xfId="37999" xr:uid="{00000000-0005-0000-0000-00005A3E0000}"/>
    <cellStyle name="Normal 2 3 2 6 4 2 3 2 3" xfId="28969" xr:uid="{00000000-0005-0000-0000-00005B3E0000}"/>
    <cellStyle name="Normal 2 3 2 6 4 2 3 3" xfId="13465" xr:uid="{00000000-0005-0000-0000-00005C3E0000}"/>
    <cellStyle name="Normal 2 3 2 6 4 2 3 3 2" xfId="33517" xr:uid="{00000000-0005-0000-0000-00005D3E0000}"/>
    <cellStyle name="Normal 2 3 2 6 4 2 3 4" xfId="24487" xr:uid="{00000000-0005-0000-0000-00005E3E0000}"/>
    <cellStyle name="Normal 2 3 2 6 4 2 4" xfId="5929" xr:uid="{00000000-0005-0000-0000-00005F3E0000}"/>
    <cellStyle name="Normal 2 3 2 6 4 2 4 2" xfId="14959" xr:uid="{00000000-0005-0000-0000-0000603E0000}"/>
    <cellStyle name="Normal 2 3 2 6 4 2 4 2 2" xfId="35011" xr:uid="{00000000-0005-0000-0000-0000613E0000}"/>
    <cellStyle name="Normal 2 3 2 6 4 2 4 3" xfId="25981" xr:uid="{00000000-0005-0000-0000-0000623E0000}"/>
    <cellStyle name="Normal 2 3 2 6 4 2 5" xfId="10477" xr:uid="{00000000-0005-0000-0000-0000633E0000}"/>
    <cellStyle name="Normal 2 3 2 6 4 2 5 2" xfId="30529" xr:uid="{00000000-0005-0000-0000-0000643E0000}"/>
    <cellStyle name="Normal 2 3 2 6 4 2 6" xfId="21499" xr:uid="{00000000-0005-0000-0000-0000653E0000}"/>
    <cellStyle name="Normal 2 3 2 6 4 3" xfId="2194" xr:uid="{00000000-0005-0000-0000-0000663E0000}"/>
    <cellStyle name="Normal 2 3 2 6 4 3 2" xfId="6676" xr:uid="{00000000-0005-0000-0000-0000673E0000}"/>
    <cellStyle name="Normal 2 3 2 6 4 3 2 2" xfId="15706" xr:uid="{00000000-0005-0000-0000-0000683E0000}"/>
    <cellStyle name="Normal 2 3 2 6 4 3 2 2 2" xfId="35758" xr:uid="{00000000-0005-0000-0000-0000693E0000}"/>
    <cellStyle name="Normal 2 3 2 6 4 3 2 3" xfId="26728" xr:uid="{00000000-0005-0000-0000-00006A3E0000}"/>
    <cellStyle name="Normal 2 3 2 6 4 3 3" xfId="11224" xr:uid="{00000000-0005-0000-0000-00006B3E0000}"/>
    <cellStyle name="Normal 2 3 2 6 4 3 3 2" xfId="31276" xr:uid="{00000000-0005-0000-0000-00006C3E0000}"/>
    <cellStyle name="Normal 2 3 2 6 4 3 4" xfId="22246" xr:uid="{00000000-0005-0000-0000-00006D3E0000}"/>
    <cellStyle name="Normal 2 3 2 6 4 4" xfId="3688" xr:uid="{00000000-0005-0000-0000-00006E3E0000}"/>
    <cellStyle name="Normal 2 3 2 6 4 4 2" xfId="8170" xr:uid="{00000000-0005-0000-0000-00006F3E0000}"/>
    <cellStyle name="Normal 2 3 2 6 4 4 2 2" xfId="17200" xr:uid="{00000000-0005-0000-0000-0000703E0000}"/>
    <cellStyle name="Normal 2 3 2 6 4 4 2 2 2" xfId="37252" xr:uid="{00000000-0005-0000-0000-0000713E0000}"/>
    <cellStyle name="Normal 2 3 2 6 4 4 2 3" xfId="28222" xr:uid="{00000000-0005-0000-0000-0000723E0000}"/>
    <cellStyle name="Normal 2 3 2 6 4 4 3" xfId="12718" xr:uid="{00000000-0005-0000-0000-0000733E0000}"/>
    <cellStyle name="Normal 2 3 2 6 4 4 3 2" xfId="32770" xr:uid="{00000000-0005-0000-0000-0000743E0000}"/>
    <cellStyle name="Normal 2 3 2 6 4 4 4" xfId="23740" xr:uid="{00000000-0005-0000-0000-0000753E0000}"/>
    <cellStyle name="Normal 2 3 2 6 4 5" xfId="5182" xr:uid="{00000000-0005-0000-0000-0000763E0000}"/>
    <cellStyle name="Normal 2 3 2 6 4 5 2" xfId="14212" xr:uid="{00000000-0005-0000-0000-0000773E0000}"/>
    <cellStyle name="Normal 2 3 2 6 4 5 2 2" xfId="34264" xr:uid="{00000000-0005-0000-0000-0000783E0000}"/>
    <cellStyle name="Normal 2 3 2 6 4 5 3" xfId="25234" xr:uid="{00000000-0005-0000-0000-0000793E0000}"/>
    <cellStyle name="Normal 2 3 2 6 4 6" xfId="9730" xr:uid="{00000000-0005-0000-0000-00007A3E0000}"/>
    <cellStyle name="Normal 2 3 2 6 4 6 2" xfId="29782" xr:uid="{00000000-0005-0000-0000-00007B3E0000}"/>
    <cellStyle name="Normal 2 3 2 6 4 7" xfId="20752" xr:uid="{00000000-0005-0000-0000-00007C3E0000}"/>
    <cellStyle name="Normal 2 3 2 6 5" xfId="887" xr:uid="{00000000-0005-0000-0000-00007D3E0000}"/>
    <cellStyle name="Normal 2 3 2 6 5 2" xfId="2381" xr:uid="{00000000-0005-0000-0000-00007E3E0000}"/>
    <cellStyle name="Normal 2 3 2 6 5 2 2" xfId="6863" xr:uid="{00000000-0005-0000-0000-00007F3E0000}"/>
    <cellStyle name="Normal 2 3 2 6 5 2 2 2" xfId="15893" xr:uid="{00000000-0005-0000-0000-0000803E0000}"/>
    <cellStyle name="Normal 2 3 2 6 5 2 2 2 2" xfId="35945" xr:uid="{00000000-0005-0000-0000-0000813E0000}"/>
    <cellStyle name="Normal 2 3 2 6 5 2 2 3" xfId="26915" xr:uid="{00000000-0005-0000-0000-0000823E0000}"/>
    <cellStyle name="Normal 2 3 2 6 5 2 3" xfId="11411" xr:uid="{00000000-0005-0000-0000-0000833E0000}"/>
    <cellStyle name="Normal 2 3 2 6 5 2 3 2" xfId="31463" xr:uid="{00000000-0005-0000-0000-0000843E0000}"/>
    <cellStyle name="Normal 2 3 2 6 5 2 4" xfId="22433" xr:uid="{00000000-0005-0000-0000-0000853E0000}"/>
    <cellStyle name="Normal 2 3 2 6 5 3" xfId="3875" xr:uid="{00000000-0005-0000-0000-0000863E0000}"/>
    <cellStyle name="Normal 2 3 2 6 5 3 2" xfId="8357" xr:uid="{00000000-0005-0000-0000-0000873E0000}"/>
    <cellStyle name="Normal 2 3 2 6 5 3 2 2" xfId="17387" xr:uid="{00000000-0005-0000-0000-0000883E0000}"/>
    <cellStyle name="Normal 2 3 2 6 5 3 2 2 2" xfId="37439" xr:uid="{00000000-0005-0000-0000-0000893E0000}"/>
    <cellStyle name="Normal 2 3 2 6 5 3 2 3" xfId="28409" xr:uid="{00000000-0005-0000-0000-00008A3E0000}"/>
    <cellStyle name="Normal 2 3 2 6 5 3 3" xfId="12905" xr:uid="{00000000-0005-0000-0000-00008B3E0000}"/>
    <cellStyle name="Normal 2 3 2 6 5 3 3 2" xfId="32957" xr:uid="{00000000-0005-0000-0000-00008C3E0000}"/>
    <cellStyle name="Normal 2 3 2 6 5 3 4" xfId="23927" xr:uid="{00000000-0005-0000-0000-00008D3E0000}"/>
    <cellStyle name="Normal 2 3 2 6 5 4" xfId="5369" xr:uid="{00000000-0005-0000-0000-00008E3E0000}"/>
    <cellStyle name="Normal 2 3 2 6 5 4 2" xfId="14399" xr:uid="{00000000-0005-0000-0000-00008F3E0000}"/>
    <cellStyle name="Normal 2 3 2 6 5 4 2 2" xfId="34451" xr:uid="{00000000-0005-0000-0000-0000903E0000}"/>
    <cellStyle name="Normal 2 3 2 6 5 4 3" xfId="25421" xr:uid="{00000000-0005-0000-0000-0000913E0000}"/>
    <cellStyle name="Normal 2 3 2 6 5 5" xfId="9917" xr:uid="{00000000-0005-0000-0000-0000923E0000}"/>
    <cellStyle name="Normal 2 3 2 6 5 5 2" xfId="29969" xr:uid="{00000000-0005-0000-0000-0000933E0000}"/>
    <cellStyle name="Normal 2 3 2 6 5 6" xfId="20939" xr:uid="{00000000-0005-0000-0000-0000943E0000}"/>
    <cellStyle name="Normal 2 3 2 6 6" xfId="1636" xr:uid="{00000000-0005-0000-0000-0000953E0000}"/>
    <cellStyle name="Normal 2 3 2 6 6 2" xfId="6118" xr:uid="{00000000-0005-0000-0000-0000963E0000}"/>
    <cellStyle name="Normal 2 3 2 6 6 2 2" xfId="15148" xr:uid="{00000000-0005-0000-0000-0000973E0000}"/>
    <cellStyle name="Normal 2 3 2 6 6 2 2 2" xfId="35200" xr:uid="{00000000-0005-0000-0000-0000983E0000}"/>
    <cellStyle name="Normal 2 3 2 6 6 2 3" xfId="26170" xr:uid="{00000000-0005-0000-0000-0000993E0000}"/>
    <cellStyle name="Normal 2 3 2 6 6 3" xfId="10666" xr:uid="{00000000-0005-0000-0000-00009A3E0000}"/>
    <cellStyle name="Normal 2 3 2 6 6 3 2" xfId="30718" xr:uid="{00000000-0005-0000-0000-00009B3E0000}"/>
    <cellStyle name="Normal 2 3 2 6 6 4" xfId="21688" xr:uid="{00000000-0005-0000-0000-00009C3E0000}"/>
    <cellStyle name="Normal 2 3 2 6 7" xfId="3130" xr:uid="{00000000-0005-0000-0000-00009D3E0000}"/>
    <cellStyle name="Normal 2 3 2 6 7 2" xfId="7612" xr:uid="{00000000-0005-0000-0000-00009E3E0000}"/>
    <cellStyle name="Normal 2 3 2 6 7 2 2" xfId="16642" xr:uid="{00000000-0005-0000-0000-00009F3E0000}"/>
    <cellStyle name="Normal 2 3 2 6 7 2 2 2" xfId="36694" xr:uid="{00000000-0005-0000-0000-0000A03E0000}"/>
    <cellStyle name="Normal 2 3 2 6 7 2 3" xfId="27664" xr:uid="{00000000-0005-0000-0000-0000A13E0000}"/>
    <cellStyle name="Normal 2 3 2 6 7 3" xfId="12160" xr:uid="{00000000-0005-0000-0000-0000A23E0000}"/>
    <cellStyle name="Normal 2 3 2 6 7 3 2" xfId="32212" xr:uid="{00000000-0005-0000-0000-0000A33E0000}"/>
    <cellStyle name="Normal 2 3 2 6 7 4" xfId="23182" xr:uid="{00000000-0005-0000-0000-0000A43E0000}"/>
    <cellStyle name="Normal 2 3 2 6 8" xfId="4624" xr:uid="{00000000-0005-0000-0000-0000A53E0000}"/>
    <cellStyle name="Normal 2 3 2 6 8 2" xfId="13654" xr:uid="{00000000-0005-0000-0000-0000A63E0000}"/>
    <cellStyle name="Normal 2 3 2 6 8 2 2" xfId="33706" xr:uid="{00000000-0005-0000-0000-0000A73E0000}"/>
    <cellStyle name="Normal 2 3 2 6 8 3" xfId="24676" xr:uid="{00000000-0005-0000-0000-0000A83E0000}"/>
    <cellStyle name="Normal 2 3 2 6 9" xfId="9172" xr:uid="{00000000-0005-0000-0000-0000A93E0000}"/>
    <cellStyle name="Normal 2 3 2 6 9 2" xfId="29224" xr:uid="{00000000-0005-0000-0000-0000AA3E0000}"/>
    <cellStyle name="Normal 2 3 2 7" xfId="165" xr:uid="{00000000-0005-0000-0000-0000AB3E0000}"/>
    <cellStyle name="Normal 2 3 2 7 10" xfId="20217" xr:uid="{00000000-0005-0000-0000-0000AC3E0000}"/>
    <cellStyle name="Normal 2 3 2 7 2" xfId="351" xr:uid="{00000000-0005-0000-0000-0000AD3E0000}"/>
    <cellStyle name="Normal 2 3 2 7 2 2" xfId="1094" xr:uid="{00000000-0005-0000-0000-0000AE3E0000}"/>
    <cellStyle name="Normal 2 3 2 7 2 2 2" xfId="2588" xr:uid="{00000000-0005-0000-0000-0000AF3E0000}"/>
    <cellStyle name="Normal 2 3 2 7 2 2 2 2" xfId="7070" xr:uid="{00000000-0005-0000-0000-0000B03E0000}"/>
    <cellStyle name="Normal 2 3 2 7 2 2 2 2 2" xfId="16100" xr:uid="{00000000-0005-0000-0000-0000B13E0000}"/>
    <cellStyle name="Normal 2 3 2 7 2 2 2 2 2 2" xfId="36152" xr:uid="{00000000-0005-0000-0000-0000B23E0000}"/>
    <cellStyle name="Normal 2 3 2 7 2 2 2 2 3" xfId="27122" xr:uid="{00000000-0005-0000-0000-0000B33E0000}"/>
    <cellStyle name="Normal 2 3 2 7 2 2 2 3" xfId="11618" xr:uid="{00000000-0005-0000-0000-0000B43E0000}"/>
    <cellStyle name="Normal 2 3 2 7 2 2 2 3 2" xfId="31670" xr:uid="{00000000-0005-0000-0000-0000B53E0000}"/>
    <cellStyle name="Normal 2 3 2 7 2 2 2 4" xfId="22640" xr:uid="{00000000-0005-0000-0000-0000B63E0000}"/>
    <cellStyle name="Normal 2 3 2 7 2 2 3" xfId="4082" xr:uid="{00000000-0005-0000-0000-0000B73E0000}"/>
    <cellStyle name="Normal 2 3 2 7 2 2 3 2" xfId="8564" xr:uid="{00000000-0005-0000-0000-0000B83E0000}"/>
    <cellStyle name="Normal 2 3 2 7 2 2 3 2 2" xfId="17594" xr:uid="{00000000-0005-0000-0000-0000B93E0000}"/>
    <cellStyle name="Normal 2 3 2 7 2 2 3 2 2 2" xfId="37646" xr:uid="{00000000-0005-0000-0000-0000BA3E0000}"/>
    <cellStyle name="Normal 2 3 2 7 2 2 3 2 3" xfId="28616" xr:uid="{00000000-0005-0000-0000-0000BB3E0000}"/>
    <cellStyle name="Normal 2 3 2 7 2 2 3 3" xfId="13112" xr:uid="{00000000-0005-0000-0000-0000BC3E0000}"/>
    <cellStyle name="Normal 2 3 2 7 2 2 3 3 2" xfId="33164" xr:uid="{00000000-0005-0000-0000-0000BD3E0000}"/>
    <cellStyle name="Normal 2 3 2 7 2 2 3 4" xfId="24134" xr:uid="{00000000-0005-0000-0000-0000BE3E0000}"/>
    <cellStyle name="Normal 2 3 2 7 2 2 4" xfId="5576" xr:uid="{00000000-0005-0000-0000-0000BF3E0000}"/>
    <cellStyle name="Normal 2 3 2 7 2 2 4 2" xfId="14606" xr:uid="{00000000-0005-0000-0000-0000C03E0000}"/>
    <cellStyle name="Normal 2 3 2 7 2 2 4 2 2" xfId="34658" xr:uid="{00000000-0005-0000-0000-0000C13E0000}"/>
    <cellStyle name="Normal 2 3 2 7 2 2 4 3" xfId="25628" xr:uid="{00000000-0005-0000-0000-0000C23E0000}"/>
    <cellStyle name="Normal 2 3 2 7 2 2 5" xfId="10124" xr:uid="{00000000-0005-0000-0000-0000C33E0000}"/>
    <cellStyle name="Normal 2 3 2 7 2 2 5 2" xfId="30176" xr:uid="{00000000-0005-0000-0000-0000C43E0000}"/>
    <cellStyle name="Normal 2 3 2 7 2 2 6" xfId="21146" xr:uid="{00000000-0005-0000-0000-0000C53E0000}"/>
    <cellStyle name="Normal 2 3 2 7 2 3" xfId="1845" xr:uid="{00000000-0005-0000-0000-0000C63E0000}"/>
    <cellStyle name="Normal 2 3 2 7 2 3 2" xfId="6327" xr:uid="{00000000-0005-0000-0000-0000C73E0000}"/>
    <cellStyle name="Normal 2 3 2 7 2 3 2 2" xfId="15357" xr:uid="{00000000-0005-0000-0000-0000C83E0000}"/>
    <cellStyle name="Normal 2 3 2 7 2 3 2 2 2" xfId="35409" xr:uid="{00000000-0005-0000-0000-0000C93E0000}"/>
    <cellStyle name="Normal 2 3 2 7 2 3 2 3" xfId="26379" xr:uid="{00000000-0005-0000-0000-0000CA3E0000}"/>
    <cellStyle name="Normal 2 3 2 7 2 3 3" xfId="10875" xr:uid="{00000000-0005-0000-0000-0000CB3E0000}"/>
    <cellStyle name="Normal 2 3 2 7 2 3 3 2" xfId="30927" xr:uid="{00000000-0005-0000-0000-0000CC3E0000}"/>
    <cellStyle name="Normal 2 3 2 7 2 3 4" xfId="21897" xr:uid="{00000000-0005-0000-0000-0000CD3E0000}"/>
    <cellStyle name="Normal 2 3 2 7 2 4" xfId="3339" xr:uid="{00000000-0005-0000-0000-0000CE3E0000}"/>
    <cellStyle name="Normal 2 3 2 7 2 4 2" xfId="7821" xr:uid="{00000000-0005-0000-0000-0000CF3E0000}"/>
    <cellStyle name="Normal 2 3 2 7 2 4 2 2" xfId="16851" xr:uid="{00000000-0005-0000-0000-0000D03E0000}"/>
    <cellStyle name="Normal 2 3 2 7 2 4 2 2 2" xfId="36903" xr:uid="{00000000-0005-0000-0000-0000D13E0000}"/>
    <cellStyle name="Normal 2 3 2 7 2 4 2 3" xfId="27873" xr:uid="{00000000-0005-0000-0000-0000D23E0000}"/>
    <cellStyle name="Normal 2 3 2 7 2 4 3" xfId="12369" xr:uid="{00000000-0005-0000-0000-0000D33E0000}"/>
    <cellStyle name="Normal 2 3 2 7 2 4 3 2" xfId="32421" xr:uid="{00000000-0005-0000-0000-0000D43E0000}"/>
    <cellStyle name="Normal 2 3 2 7 2 4 4" xfId="23391" xr:uid="{00000000-0005-0000-0000-0000D53E0000}"/>
    <cellStyle name="Normal 2 3 2 7 2 5" xfId="4833" xr:uid="{00000000-0005-0000-0000-0000D63E0000}"/>
    <cellStyle name="Normal 2 3 2 7 2 5 2" xfId="13863" xr:uid="{00000000-0005-0000-0000-0000D73E0000}"/>
    <cellStyle name="Normal 2 3 2 7 2 5 2 2" xfId="33915" xr:uid="{00000000-0005-0000-0000-0000D83E0000}"/>
    <cellStyle name="Normal 2 3 2 7 2 5 3" xfId="24885" xr:uid="{00000000-0005-0000-0000-0000D93E0000}"/>
    <cellStyle name="Normal 2 3 2 7 2 6" xfId="9381" xr:uid="{00000000-0005-0000-0000-0000DA3E0000}"/>
    <cellStyle name="Normal 2 3 2 7 2 6 2" xfId="29433" xr:uid="{00000000-0005-0000-0000-0000DB3E0000}"/>
    <cellStyle name="Normal 2 3 2 7 2 7" xfId="20403" xr:uid="{00000000-0005-0000-0000-0000DC3E0000}"/>
    <cellStyle name="Normal 2 3 2 7 3" xfId="537" xr:uid="{00000000-0005-0000-0000-0000DD3E0000}"/>
    <cellStyle name="Normal 2 3 2 7 3 2" xfId="1284" xr:uid="{00000000-0005-0000-0000-0000DE3E0000}"/>
    <cellStyle name="Normal 2 3 2 7 3 2 2" xfId="2778" xr:uid="{00000000-0005-0000-0000-0000DF3E0000}"/>
    <cellStyle name="Normal 2 3 2 7 3 2 2 2" xfId="7260" xr:uid="{00000000-0005-0000-0000-0000E03E0000}"/>
    <cellStyle name="Normal 2 3 2 7 3 2 2 2 2" xfId="16290" xr:uid="{00000000-0005-0000-0000-0000E13E0000}"/>
    <cellStyle name="Normal 2 3 2 7 3 2 2 2 2 2" xfId="36342" xr:uid="{00000000-0005-0000-0000-0000E23E0000}"/>
    <cellStyle name="Normal 2 3 2 7 3 2 2 2 3" xfId="27312" xr:uid="{00000000-0005-0000-0000-0000E33E0000}"/>
    <cellStyle name="Normal 2 3 2 7 3 2 2 3" xfId="11808" xr:uid="{00000000-0005-0000-0000-0000E43E0000}"/>
    <cellStyle name="Normal 2 3 2 7 3 2 2 3 2" xfId="31860" xr:uid="{00000000-0005-0000-0000-0000E53E0000}"/>
    <cellStyle name="Normal 2 3 2 7 3 2 2 4" xfId="22830" xr:uid="{00000000-0005-0000-0000-0000E63E0000}"/>
    <cellStyle name="Normal 2 3 2 7 3 2 3" xfId="4272" xr:uid="{00000000-0005-0000-0000-0000E73E0000}"/>
    <cellStyle name="Normal 2 3 2 7 3 2 3 2" xfId="8754" xr:uid="{00000000-0005-0000-0000-0000E83E0000}"/>
    <cellStyle name="Normal 2 3 2 7 3 2 3 2 2" xfId="17784" xr:uid="{00000000-0005-0000-0000-0000E93E0000}"/>
    <cellStyle name="Normal 2 3 2 7 3 2 3 2 2 2" xfId="37836" xr:uid="{00000000-0005-0000-0000-0000EA3E0000}"/>
    <cellStyle name="Normal 2 3 2 7 3 2 3 2 3" xfId="28806" xr:uid="{00000000-0005-0000-0000-0000EB3E0000}"/>
    <cellStyle name="Normal 2 3 2 7 3 2 3 3" xfId="13302" xr:uid="{00000000-0005-0000-0000-0000EC3E0000}"/>
    <cellStyle name="Normal 2 3 2 7 3 2 3 3 2" xfId="33354" xr:uid="{00000000-0005-0000-0000-0000ED3E0000}"/>
    <cellStyle name="Normal 2 3 2 7 3 2 3 4" xfId="24324" xr:uid="{00000000-0005-0000-0000-0000EE3E0000}"/>
    <cellStyle name="Normal 2 3 2 7 3 2 4" xfId="5766" xr:uid="{00000000-0005-0000-0000-0000EF3E0000}"/>
    <cellStyle name="Normal 2 3 2 7 3 2 4 2" xfId="14796" xr:uid="{00000000-0005-0000-0000-0000F03E0000}"/>
    <cellStyle name="Normal 2 3 2 7 3 2 4 2 2" xfId="34848" xr:uid="{00000000-0005-0000-0000-0000F13E0000}"/>
    <cellStyle name="Normal 2 3 2 7 3 2 4 3" xfId="25818" xr:uid="{00000000-0005-0000-0000-0000F23E0000}"/>
    <cellStyle name="Normal 2 3 2 7 3 2 5" xfId="10314" xr:uid="{00000000-0005-0000-0000-0000F33E0000}"/>
    <cellStyle name="Normal 2 3 2 7 3 2 5 2" xfId="30366" xr:uid="{00000000-0005-0000-0000-0000F43E0000}"/>
    <cellStyle name="Normal 2 3 2 7 3 2 6" xfId="21336" xr:uid="{00000000-0005-0000-0000-0000F53E0000}"/>
    <cellStyle name="Normal 2 3 2 7 3 3" xfId="2031" xr:uid="{00000000-0005-0000-0000-0000F63E0000}"/>
    <cellStyle name="Normal 2 3 2 7 3 3 2" xfId="6513" xr:uid="{00000000-0005-0000-0000-0000F73E0000}"/>
    <cellStyle name="Normal 2 3 2 7 3 3 2 2" xfId="15543" xr:uid="{00000000-0005-0000-0000-0000F83E0000}"/>
    <cellStyle name="Normal 2 3 2 7 3 3 2 2 2" xfId="35595" xr:uid="{00000000-0005-0000-0000-0000F93E0000}"/>
    <cellStyle name="Normal 2 3 2 7 3 3 2 3" xfId="26565" xr:uid="{00000000-0005-0000-0000-0000FA3E0000}"/>
    <cellStyle name="Normal 2 3 2 7 3 3 3" xfId="11061" xr:uid="{00000000-0005-0000-0000-0000FB3E0000}"/>
    <cellStyle name="Normal 2 3 2 7 3 3 3 2" xfId="31113" xr:uid="{00000000-0005-0000-0000-0000FC3E0000}"/>
    <cellStyle name="Normal 2 3 2 7 3 3 4" xfId="22083" xr:uid="{00000000-0005-0000-0000-0000FD3E0000}"/>
    <cellStyle name="Normal 2 3 2 7 3 4" xfId="3525" xr:uid="{00000000-0005-0000-0000-0000FE3E0000}"/>
    <cellStyle name="Normal 2 3 2 7 3 4 2" xfId="8007" xr:uid="{00000000-0005-0000-0000-0000FF3E0000}"/>
    <cellStyle name="Normal 2 3 2 7 3 4 2 2" xfId="17037" xr:uid="{00000000-0005-0000-0000-0000003F0000}"/>
    <cellStyle name="Normal 2 3 2 7 3 4 2 2 2" xfId="37089" xr:uid="{00000000-0005-0000-0000-0000013F0000}"/>
    <cellStyle name="Normal 2 3 2 7 3 4 2 3" xfId="28059" xr:uid="{00000000-0005-0000-0000-0000023F0000}"/>
    <cellStyle name="Normal 2 3 2 7 3 4 3" xfId="12555" xr:uid="{00000000-0005-0000-0000-0000033F0000}"/>
    <cellStyle name="Normal 2 3 2 7 3 4 3 2" xfId="32607" xr:uid="{00000000-0005-0000-0000-0000043F0000}"/>
    <cellStyle name="Normal 2 3 2 7 3 4 4" xfId="23577" xr:uid="{00000000-0005-0000-0000-0000053F0000}"/>
    <cellStyle name="Normal 2 3 2 7 3 5" xfId="5019" xr:uid="{00000000-0005-0000-0000-0000063F0000}"/>
    <cellStyle name="Normal 2 3 2 7 3 5 2" xfId="14049" xr:uid="{00000000-0005-0000-0000-0000073F0000}"/>
    <cellStyle name="Normal 2 3 2 7 3 5 2 2" xfId="34101" xr:uid="{00000000-0005-0000-0000-0000083F0000}"/>
    <cellStyle name="Normal 2 3 2 7 3 5 3" xfId="25071" xr:uid="{00000000-0005-0000-0000-0000093F0000}"/>
    <cellStyle name="Normal 2 3 2 7 3 6" xfId="9567" xr:uid="{00000000-0005-0000-0000-00000A3F0000}"/>
    <cellStyle name="Normal 2 3 2 7 3 6 2" xfId="29619" xr:uid="{00000000-0005-0000-0000-00000B3F0000}"/>
    <cellStyle name="Normal 2 3 2 7 3 7" xfId="20589" xr:uid="{00000000-0005-0000-0000-00000C3F0000}"/>
    <cellStyle name="Normal 2 3 2 7 4" xfId="723" xr:uid="{00000000-0005-0000-0000-00000D3F0000}"/>
    <cellStyle name="Normal 2 3 2 7 4 2" xfId="1470" xr:uid="{00000000-0005-0000-0000-00000E3F0000}"/>
    <cellStyle name="Normal 2 3 2 7 4 2 2" xfId="2964" xr:uid="{00000000-0005-0000-0000-00000F3F0000}"/>
    <cellStyle name="Normal 2 3 2 7 4 2 2 2" xfId="7446" xr:uid="{00000000-0005-0000-0000-0000103F0000}"/>
    <cellStyle name="Normal 2 3 2 7 4 2 2 2 2" xfId="16476" xr:uid="{00000000-0005-0000-0000-0000113F0000}"/>
    <cellStyle name="Normal 2 3 2 7 4 2 2 2 2 2" xfId="36528" xr:uid="{00000000-0005-0000-0000-0000123F0000}"/>
    <cellStyle name="Normal 2 3 2 7 4 2 2 2 3" xfId="27498" xr:uid="{00000000-0005-0000-0000-0000133F0000}"/>
    <cellStyle name="Normal 2 3 2 7 4 2 2 3" xfId="11994" xr:uid="{00000000-0005-0000-0000-0000143F0000}"/>
    <cellStyle name="Normal 2 3 2 7 4 2 2 3 2" xfId="32046" xr:uid="{00000000-0005-0000-0000-0000153F0000}"/>
    <cellStyle name="Normal 2 3 2 7 4 2 2 4" xfId="23016" xr:uid="{00000000-0005-0000-0000-0000163F0000}"/>
    <cellStyle name="Normal 2 3 2 7 4 2 3" xfId="4458" xr:uid="{00000000-0005-0000-0000-0000173F0000}"/>
    <cellStyle name="Normal 2 3 2 7 4 2 3 2" xfId="8940" xr:uid="{00000000-0005-0000-0000-0000183F0000}"/>
    <cellStyle name="Normal 2 3 2 7 4 2 3 2 2" xfId="17970" xr:uid="{00000000-0005-0000-0000-0000193F0000}"/>
    <cellStyle name="Normal 2 3 2 7 4 2 3 2 2 2" xfId="38022" xr:uid="{00000000-0005-0000-0000-00001A3F0000}"/>
    <cellStyle name="Normal 2 3 2 7 4 2 3 2 3" xfId="28992" xr:uid="{00000000-0005-0000-0000-00001B3F0000}"/>
    <cellStyle name="Normal 2 3 2 7 4 2 3 3" xfId="13488" xr:uid="{00000000-0005-0000-0000-00001C3F0000}"/>
    <cellStyle name="Normal 2 3 2 7 4 2 3 3 2" xfId="33540" xr:uid="{00000000-0005-0000-0000-00001D3F0000}"/>
    <cellStyle name="Normal 2 3 2 7 4 2 3 4" xfId="24510" xr:uid="{00000000-0005-0000-0000-00001E3F0000}"/>
    <cellStyle name="Normal 2 3 2 7 4 2 4" xfId="5952" xr:uid="{00000000-0005-0000-0000-00001F3F0000}"/>
    <cellStyle name="Normal 2 3 2 7 4 2 4 2" xfId="14982" xr:uid="{00000000-0005-0000-0000-0000203F0000}"/>
    <cellStyle name="Normal 2 3 2 7 4 2 4 2 2" xfId="35034" xr:uid="{00000000-0005-0000-0000-0000213F0000}"/>
    <cellStyle name="Normal 2 3 2 7 4 2 4 3" xfId="26004" xr:uid="{00000000-0005-0000-0000-0000223F0000}"/>
    <cellStyle name="Normal 2 3 2 7 4 2 5" xfId="10500" xr:uid="{00000000-0005-0000-0000-0000233F0000}"/>
    <cellStyle name="Normal 2 3 2 7 4 2 5 2" xfId="30552" xr:uid="{00000000-0005-0000-0000-0000243F0000}"/>
    <cellStyle name="Normal 2 3 2 7 4 2 6" xfId="21522" xr:uid="{00000000-0005-0000-0000-0000253F0000}"/>
    <cellStyle name="Normal 2 3 2 7 4 3" xfId="2217" xr:uid="{00000000-0005-0000-0000-0000263F0000}"/>
    <cellStyle name="Normal 2 3 2 7 4 3 2" xfId="6699" xr:uid="{00000000-0005-0000-0000-0000273F0000}"/>
    <cellStyle name="Normal 2 3 2 7 4 3 2 2" xfId="15729" xr:uid="{00000000-0005-0000-0000-0000283F0000}"/>
    <cellStyle name="Normal 2 3 2 7 4 3 2 2 2" xfId="35781" xr:uid="{00000000-0005-0000-0000-0000293F0000}"/>
    <cellStyle name="Normal 2 3 2 7 4 3 2 3" xfId="26751" xr:uid="{00000000-0005-0000-0000-00002A3F0000}"/>
    <cellStyle name="Normal 2 3 2 7 4 3 3" xfId="11247" xr:uid="{00000000-0005-0000-0000-00002B3F0000}"/>
    <cellStyle name="Normal 2 3 2 7 4 3 3 2" xfId="31299" xr:uid="{00000000-0005-0000-0000-00002C3F0000}"/>
    <cellStyle name="Normal 2 3 2 7 4 3 4" xfId="22269" xr:uid="{00000000-0005-0000-0000-00002D3F0000}"/>
    <cellStyle name="Normal 2 3 2 7 4 4" xfId="3711" xr:uid="{00000000-0005-0000-0000-00002E3F0000}"/>
    <cellStyle name="Normal 2 3 2 7 4 4 2" xfId="8193" xr:uid="{00000000-0005-0000-0000-00002F3F0000}"/>
    <cellStyle name="Normal 2 3 2 7 4 4 2 2" xfId="17223" xr:uid="{00000000-0005-0000-0000-0000303F0000}"/>
    <cellStyle name="Normal 2 3 2 7 4 4 2 2 2" xfId="37275" xr:uid="{00000000-0005-0000-0000-0000313F0000}"/>
    <cellStyle name="Normal 2 3 2 7 4 4 2 3" xfId="28245" xr:uid="{00000000-0005-0000-0000-0000323F0000}"/>
    <cellStyle name="Normal 2 3 2 7 4 4 3" xfId="12741" xr:uid="{00000000-0005-0000-0000-0000333F0000}"/>
    <cellStyle name="Normal 2 3 2 7 4 4 3 2" xfId="32793" xr:uid="{00000000-0005-0000-0000-0000343F0000}"/>
    <cellStyle name="Normal 2 3 2 7 4 4 4" xfId="23763" xr:uid="{00000000-0005-0000-0000-0000353F0000}"/>
    <cellStyle name="Normal 2 3 2 7 4 5" xfId="5205" xr:uid="{00000000-0005-0000-0000-0000363F0000}"/>
    <cellStyle name="Normal 2 3 2 7 4 5 2" xfId="14235" xr:uid="{00000000-0005-0000-0000-0000373F0000}"/>
    <cellStyle name="Normal 2 3 2 7 4 5 2 2" xfId="34287" xr:uid="{00000000-0005-0000-0000-0000383F0000}"/>
    <cellStyle name="Normal 2 3 2 7 4 5 3" xfId="25257" xr:uid="{00000000-0005-0000-0000-0000393F0000}"/>
    <cellStyle name="Normal 2 3 2 7 4 6" xfId="9753" xr:uid="{00000000-0005-0000-0000-00003A3F0000}"/>
    <cellStyle name="Normal 2 3 2 7 4 6 2" xfId="29805" xr:uid="{00000000-0005-0000-0000-00003B3F0000}"/>
    <cellStyle name="Normal 2 3 2 7 4 7" xfId="20775" xr:uid="{00000000-0005-0000-0000-00003C3F0000}"/>
    <cellStyle name="Normal 2 3 2 7 5" xfId="910" xr:uid="{00000000-0005-0000-0000-00003D3F0000}"/>
    <cellStyle name="Normal 2 3 2 7 5 2" xfId="2404" xr:uid="{00000000-0005-0000-0000-00003E3F0000}"/>
    <cellStyle name="Normal 2 3 2 7 5 2 2" xfId="6886" xr:uid="{00000000-0005-0000-0000-00003F3F0000}"/>
    <cellStyle name="Normal 2 3 2 7 5 2 2 2" xfId="15916" xr:uid="{00000000-0005-0000-0000-0000403F0000}"/>
    <cellStyle name="Normal 2 3 2 7 5 2 2 2 2" xfId="35968" xr:uid="{00000000-0005-0000-0000-0000413F0000}"/>
    <cellStyle name="Normal 2 3 2 7 5 2 2 3" xfId="26938" xr:uid="{00000000-0005-0000-0000-0000423F0000}"/>
    <cellStyle name="Normal 2 3 2 7 5 2 3" xfId="11434" xr:uid="{00000000-0005-0000-0000-0000433F0000}"/>
    <cellStyle name="Normal 2 3 2 7 5 2 3 2" xfId="31486" xr:uid="{00000000-0005-0000-0000-0000443F0000}"/>
    <cellStyle name="Normal 2 3 2 7 5 2 4" xfId="22456" xr:uid="{00000000-0005-0000-0000-0000453F0000}"/>
    <cellStyle name="Normal 2 3 2 7 5 3" xfId="3898" xr:uid="{00000000-0005-0000-0000-0000463F0000}"/>
    <cellStyle name="Normal 2 3 2 7 5 3 2" xfId="8380" xr:uid="{00000000-0005-0000-0000-0000473F0000}"/>
    <cellStyle name="Normal 2 3 2 7 5 3 2 2" xfId="17410" xr:uid="{00000000-0005-0000-0000-0000483F0000}"/>
    <cellStyle name="Normal 2 3 2 7 5 3 2 2 2" xfId="37462" xr:uid="{00000000-0005-0000-0000-0000493F0000}"/>
    <cellStyle name="Normal 2 3 2 7 5 3 2 3" xfId="28432" xr:uid="{00000000-0005-0000-0000-00004A3F0000}"/>
    <cellStyle name="Normal 2 3 2 7 5 3 3" xfId="12928" xr:uid="{00000000-0005-0000-0000-00004B3F0000}"/>
    <cellStyle name="Normal 2 3 2 7 5 3 3 2" xfId="32980" xr:uid="{00000000-0005-0000-0000-00004C3F0000}"/>
    <cellStyle name="Normal 2 3 2 7 5 3 4" xfId="23950" xr:uid="{00000000-0005-0000-0000-00004D3F0000}"/>
    <cellStyle name="Normal 2 3 2 7 5 4" xfId="5392" xr:uid="{00000000-0005-0000-0000-00004E3F0000}"/>
    <cellStyle name="Normal 2 3 2 7 5 4 2" xfId="14422" xr:uid="{00000000-0005-0000-0000-00004F3F0000}"/>
    <cellStyle name="Normal 2 3 2 7 5 4 2 2" xfId="34474" xr:uid="{00000000-0005-0000-0000-0000503F0000}"/>
    <cellStyle name="Normal 2 3 2 7 5 4 3" xfId="25444" xr:uid="{00000000-0005-0000-0000-0000513F0000}"/>
    <cellStyle name="Normal 2 3 2 7 5 5" xfId="9940" xr:uid="{00000000-0005-0000-0000-0000523F0000}"/>
    <cellStyle name="Normal 2 3 2 7 5 5 2" xfId="29992" xr:uid="{00000000-0005-0000-0000-0000533F0000}"/>
    <cellStyle name="Normal 2 3 2 7 5 6" xfId="20962" xr:uid="{00000000-0005-0000-0000-0000543F0000}"/>
    <cellStyle name="Normal 2 3 2 7 6" xfId="1659" xr:uid="{00000000-0005-0000-0000-0000553F0000}"/>
    <cellStyle name="Normal 2 3 2 7 6 2" xfId="6141" xr:uid="{00000000-0005-0000-0000-0000563F0000}"/>
    <cellStyle name="Normal 2 3 2 7 6 2 2" xfId="15171" xr:uid="{00000000-0005-0000-0000-0000573F0000}"/>
    <cellStyle name="Normal 2 3 2 7 6 2 2 2" xfId="35223" xr:uid="{00000000-0005-0000-0000-0000583F0000}"/>
    <cellStyle name="Normal 2 3 2 7 6 2 3" xfId="26193" xr:uid="{00000000-0005-0000-0000-0000593F0000}"/>
    <cellStyle name="Normal 2 3 2 7 6 3" xfId="10689" xr:uid="{00000000-0005-0000-0000-00005A3F0000}"/>
    <cellStyle name="Normal 2 3 2 7 6 3 2" xfId="30741" xr:uid="{00000000-0005-0000-0000-00005B3F0000}"/>
    <cellStyle name="Normal 2 3 2 7 6 4" xfId="21711" xr:uid="{00000000-0005-0000-0000-00005C3F0000}"/>
    <cellStyle name="Normal 2 3 2 7 7" xfId="3153" xr:uid="{00000000-0005-0000-0000-00005D3F0000}"/>
    <cellStyle name="Normal 2 3 2 7 7 2" xfId="7635" xr:uid="{00000000-0005-0000-0000-00005E3F0000}"/>
    <cellStyle name="Normal 2 3 2 7 7 2 2" xfId="16665" xr:uid="{00000000-0005-0000-0000-00005F3F0000}"/>
    <cellStyle name="Normal 2 3 2 7 7 2 2 2" xfId="36717" xr:uid="{00000000-0005-0000-0000-0000603F0000}"/>
    <cellStyle name="Normal 2 3 2 7 7 2 3" xfId="27687" xr:uid="{00000000-0005-0000-0000-0000613F0000}"/>
    <cellStyle name="Normal 2 3 2 7 7 3" xfId="12183" xr:uid="{00000000-0005-0000-0000-0000623F0000}"/>
    <cellStyle name="Normal 2 3 2 7 7 3 2" xfId="32235" xr:uid="{00000000-0005-0000-0000-0000633F0000}"/>
    <cellStyle name="Normal 2 3 2 7 7 4" xfId="23205" xr:uid="{00000000-0005-0000-0000-0000643F0000}"/>
    <cellStyle name="Normal 2 3 2 7 8" xfId="4647" xr:uid="{00000000-0005-0000-0000-0000653F0000}"/>
    <cellStyle name="Normal 2 3 2 7 8 2" xfId="13677" xr:uid="{00000000-0005-0000-0000-0000663F0000}"/>
    <cellStyle name="Normal 2 3 2 7 8 2 2" xfId="33729" xr:uid="{00000000-0005-0000-0000-0000673F0000}"/>
    <cellStyle name="Normal 2 3 2 7 8 3" xfId="24699" xr:uid="{00000000-0005-0000-0000-0000683F0000}"/>
    <cellStyle name="Normal 2 3 2 7 9" xfId="9195" xr:uid="{00000000-0005-0000-0000-0000693F0000}"/>
    <cellStyle name="Normal 2 3 2 7 9 2" xfId="29247" xr:uid="{00000000-0005-0000-0000-00006A3F0000}"/>
    <cellStyle name="Normal 2 3 2 8" xfId="188" xr:uid="{00000000-0005-0000-0000-00006B3F0000}"/>
    <cellStyle name="Normal 2 3 2 8 10" xfId="20240" xr:uid="{00000000-0005-0000-0000-00006C3F0000}"/>
    <cellStyle name="Normal 2 3 2 8 2" xfId="374" xr:uid="{00000000-0005-0000-0000-00006D3F0000}"/>
    <cellStyle name="Normal 2 3 2 8 2 2" xfId="1117" xr:uid="{00000000-0005-0000-0000-00006E3F0000}"/>
    <cellStyle name="Normal 2 3 2 8 2 2 2" xfId="2611" xr:uid="{00000000-0005-0000-0000-00006F3F0000}"/>
    <cellStyle name="Normal 2 3 2 8 2 2 2 2" xfId="7093" xr:uid="{00000000-0005-0000-0000-0000703F0000}"/>
    <cellStyle name="Normal 2 3 2 8 2 2 2 2 2" xfId="16123" xr:uid="{00000000-0005-0000-0000-0000713F0000}"/>
    <cellStyle name="Normal 2 3 2 8 2 2 2 2 2 2" xfId="36175" xr:uid="{00000000-0005-0000-0000-0000723F0000}"/>
    <cellStyle name="Normal 2 3 2 8 2 2 2 2 3" xfId="27145" xr:uid="{00000000-0005-0000-0000-0000733F0000}"/>
    <cellStyle name="Normal 2 3 2 8 2 2 2 3" xfId="11641" xr:uid="{00000000-0005-0000-0000-0000743F0000}"/>
    <cellStyle name="Normal 2 3 2 8 2 2 2 3 2" xfId="31693" xr:uid="{00000000-0005-0000-0000-0000753F0000}"/>
    <cellStyle name="Normal 2 3 2 8 2 2 2 4" xfId="22663" xr:uid="{00000000-0005-0000-0000-0000763F0000}"/>
    <cellStyle name="Normal 2 3 2 8 2 2 3" xfId="4105" xr:uid="{00000000-0005-0000-0000-0000773F0000}"/>
    <cellStyle name="Normal 2 3 2 8 2 2 3 2" xfId="8587" xr:uid="{00000000-0005-0000-0000-0000783F0000}"/>
    <cellStyle name="Normal 2 3 2 8 2 2 3 2 2" xfId="17617" xr:uid="{00000000-0005-0000-0000-0000793F0000}"/>
    <cellStyle name="Normal 2 3 2 8 2 2 3 2 2 2" xfId="37669" xr:uid="{00000000-0005-0000-0000-00007A3F0000}"/>
    <cellStyle name="Normal 2 3 2 8 2 2 3 2 3" xfId="28639" xr:uid="{00000000-0005-0000-0000-00007B3F0000}"/>
    <cellStyle name="Normal 2 3 2 8 2 2 3 3" xfId="13135" xr:uid="{00000000-0005-0000-0000-00007C3F0000}"/>
    <cellStyle name="Normal 2 3 2 8 2 2 3 3 2" xfId="33187" xr:uid="{00000000-0005-0000-0000-00007D3F0000}"/>
    <cellStyle name="Normal 2 3 2 8 2 2 3 4" xfId="24157" xr:uid="{00000000-0005-0000-0000-00007E3F0000}"/>
    <cellStyle name="Normal 2 3 2 8 2 2 4" xfId="5599" xr:uid="{00000000-0005-0000-0000-00007F3F0000}"/>
    <cellStyle name="Normal 2 3 2 8 2 2 4 2" xfId="14629" xr:uid="{00000000-0005-0000-0000-0000803F0000}"/>
    <cellStyle name="Normal 2 3 2 8 2 2 4 2 2" xfId="34681" xr:uid="{00000000-0005-0000-0000-0000813F0000}"/>
    <cellStyle name="Normal 2 3 2 8 2 2 4 3" xfId="25651" xr:uid="{00000000-0005-0000-0000-0000823F0000}"/>
    <cellStyle name="Normal 2 3 2 8 2 2 5" xfId="10147" xr:uid="{00000000-0005-0000-0000-0000833F0000}"/>
    <cellStyle name="Normal 2 3 2 8 2 2 5 2" xfId="30199" xr:uid="{00000000-0005-0000-0000-0000843F0000}"/>
    <cellStyle name="Normal 2 3 2 8 2 2 6" xfId="21169" xr:uid="{00000000-0005-0000-0000-0000853F0000}"/>
    <cellStyle name="Normal 2 3 2 8 2 3" xfId="1868" xr:uid="{00000000-0005-0000-0000-0000863F0000}"/>
    <cellStyle name="Normal 2 3 2 8 2 3 2" xfId="6350" xr:uid="{00000000-0005-0000-0000-0000873F0000}"/>
    <cellStyle name="Normal 2 3 2 8 2 3 2 2" xfId="15380" xr:uid="{00000000-0005-0000-0000-0000883F0000}"/>
    <cellStyle name="Normal 2 3 2 8 2 3 2 2 2" xfId="35432" xr:uid="{00000000-0005-0000-0000-0000893F0000}"/>
    <cellStyle name="Normal 2 3 2 8 2 3 2 3" xfId="26402" xr:uid="{00000000-0005-0000-0000-00008A3F0000}"/>
    <cellStyle name="Normal 2 3 2 8 2 3 3" xfId="10898" xr:uid="{00000000-0005-0000-0000-00008B3F0000}"/>
    <cellStyle name="Normal 2 3 2 8 2 3 3 2" xfId="30950" xr:uid="{00000000-0005-0000-0000-00008C3F0000}"/>
    <cellStyle name="Normal 2 3 2 8 2 3 4" xfId="21920" xr:uid="{00000000-0005-0000-0000-00008D3F0000}"/>
    <cellStyle name="Normal 2 3 2 8 2 4" xfId="3362" xr:uid="{00000000-0005-0000-0000-00008E3F0000}"/>
    <cellStyle name="Normal 2 3 2 8 2 4 2" xfId="7844" xr:uid="{00000000-0005-0000-0000-00008F3F0000}"/>
    <cellStyle name="Normal 2 3 2 8 2 4 2 2" xfId="16874" xr:uid="{00000000-0005-0000-0000-0000903F0000}"/>
    <cellStyle name="Normal 2 3 2 8 2 4 2 2 2" xfId="36926" xr:uid="{00000000-0005-0000-0000-0000913F0000}"/>
    <cellStyle name="Normal 2 3 2 8 2 4 2 3" xfId="27896" xr:uid="{00000000-0005-0000-0000-0000923F0000}"/>
    <cellStyle name="Normal 2 3 2 8 2 4 3" xfId="12392" xr:uid="{00000000-0005-0000-0000-0000933F0000}"/>
    <cellStyle name="Normal 2 3 2 8 2 4 3 2" xfId="32444" xr:uid="{00000000-0005-0000-0000-0000943F0000}"/>
    <cellStyle name="Normal 2 3 2 8 2 4 4" xfId="23414" xr:uid="{00000000-0005-0000-0000-0000953F0000}"/>
    <cellStyle name="Normal 2 3 2 8 2 5" xfId="4856" xr:uid="{00000000-0005-0000-0000-0000963F0000}"/>
    <cellStyle name="Normal 2 3 2 8 2 5 2" xfId="13886" xr:uid="{00000000-0005-0000-0000-0000973F0000}"/>
    <cellStyle name="Normal 2 3 2 8 2 5 2 2" xfId="33938" xr:uid="{00000000-0005-0000-0000-0000983F0000}"/>
    <cellStyle name="Normal 2 3 2 8 2 5 3" xfId="24908" xr:uid="{00000000-0005-0000-0000-0000993F0000}"/>
    <cellStyle name="Normal 2 3 2 8 2 6" xfId="9404" xr:uid="{00000000-0005-0000-0000-00009A3F0000}"/>
    <cellStyle name="Normal 2 3 2 8 2 6 2" xfId="29456" xr:uid="{00000000-0005-0000-0000-00009B3F0000}"/>
    <cellStyle name="Normal 2 3 2 8 2 7" xfId="20426" xr:uid="{00000000-0005-0000-0000-00009C3F0000}"/>
    <cellStyle name="Normal 2 3 2 8 3" xfId="560" xr:uid="{00000000-0005-0000-0000-00009D3F0000}"/>
    <cellStyle name="Normal 2 3 2 8 3 2" xfId="1307" xr:uid="{00000000-0005-0000-0000-00009E3F0000}"/>
    <cellStyle name="Normal 2 3 2 8 3 2 2" xfId="2801" xr:uid="{00000000-0005-0000-0000-00009F3F0000}"/>
    <cellStyle name="Normal 2 3 2 8 3 2 2 2" xfId="7283" xr:uid="{00000000-0005-0000-0000-0000A03F0000}"/>
    <cellStyle name="Normal 2 3 2 8 3 2 2 2 2" xfId="16313" xr:uid="{00000000-0005-0000-0000-0000A13F0000}"/>
    <cellStyle name="Normal 2 3 2 8 3 2 2 2 2 2" xfId="36365" xr:uid="{00000000-0005-0000-0000-0000A23F0000}"/>
    <cellStyle name="Normal 2 3 2 8 3 2 2 2 3" xfId="27335" xr:uid="{00000000-0005-0000-0000-0000A33F0000}"/>
    <cellStyle name="Normal 2 3 2 8 3 2 2 3" xfId="11831" xr:uid="{00000000-0005-0000-0000-0000A43F0000}"/>
    <cellStyle name="Normal 2 3 2 8 3 2 2 3 2" xfId="31883" xr:uid="{00000000-0005-0000-0000-0000A53F0000}"/>
    <cellStyle name="Normal 2 3 2 8 3 2 2 4" xfId="22853" xr:uid="{00000000-0005-0000-0000-0000A63F0000}"/>
    <cellStyle name="Normal 2 3 2 8 3 2 3" xfId="4295" xr:uid="{00000000-0005-0000-0000-0000A73F0000}"/>
    <cellStyle name="Normal 2 3 2 8 3 2 3 2" xfId="8777" xr:uid="{00000000-0005-0000-0000-0000A83F0000}"/>
    <cellStyle name="Normal 2 3 2 8 3 2 3 2 2" xfId="17807" xr:uid="{00000000-0005-0000-0000-0000A93F0000}"/>
    <cellStyle name="Normal 2 3 2 8 3 2 3 2 2 2" xfId="37859" xr:uid="{00000000-0005-0000-0000-0000AA3F0000}"/>
    <cellStyle name="Normal 2 3 2 8 3 2 3 2 3" xfId="28829" xr:uid="{00000000-0005-0000-0000-0000AB3F0000}"/>
    <cellStyle name="Normal 2 3 2 8 3 2 3 3" xfId="13325" xr:uid="{00000000-0005-0000-0000-0000AC3F0000}"/>
    <cellStyle name="Normal 2 3 2 8 3 2 3 3 2" xfId="33377" xr:uid="{00000000-0005-0000-0000-0000AD3F0000}"/>
    <cellStyle name="Normal 2 3 2 8 3 2 3 4" xfId="24347" xr:uid="{00000000-0005-0000-0000-0000AE3F0000}"/>
    <cellStyle name="Normal 2 3 2 8 3 2 4" xfId="5789" xr:uid="{00000000-0005-0000-0000-0000AF3F0000}"/>
    <cellStyle name="Normal 2 3 2 8 3 2 4 2" xfId="14819" xr:uid="{00000000-0005-0000-0000-0000B03F0000}"/>
    <cellStyle name="Normal 2 3 2 8 3 2 4 2 2" xfId="34871" xr:uid="{00000000-0005-0000-0000-0000B13F0000}"/>
    <cellStyle name="Normal 2 3 2 8 3 2 4 3" xfId="25841" xr:uid="{00000000-0005-0000-0000-0000B23F0000}"/>
    <cellStyle name="Normal 2 3 2 8 3 2 5" xfId="10337" xr:uid="{00000000-0005-0000-0000-0000B33F0000}"/>
    <cellStyle name="Normal 2 3 2 8 3 2 5 2" xfId="30389" xr:uid="{00000000-0005-0000-0000-0000B43F0000}"/>
    <cellStyle name="Normal 2 3 2 8 3 2 6" xfId="21359" xr:uid="{00000000-0005-0000-0000-0000B53F0000}"/>
    <cellStyle name="Normal 2 3 2 8 3 3" xfId="2054" xr:uid="{00000000-0005-0000-0000-0000B63F0000}"/>
    <cellStyle name="Normal 2 3 2 8 3 3 2" xfId="6536" xr:uid="{00000000-0005-0000-0000-0000B73F0000}"/>
    <cellStyle name="Normal 2 3 2 8 3 3 2 2" xfId="15566" xr:uid="{00000000-0005-0000-0000-0000B83F0000}"/>
    <cellStyle name="Normal 2 3 2 8 3 3 2 2 2" xfId="35618" xr:uid="{00000000-0005-0000-0000-0000B93F0000}"/>
    <cellStyle name="Normal 2 3 2 8 3 3 2 3" xfId="26588" xr:uid="{00000000-0005-0000-0000-0000BA3F0000}"/>
    <cellStyle name="Normal 2 3 2 8 3 3 3" xfId="11084" xr:uid="{00000000-0005-0000-0000-0000BB3F0000}"/>
    <cellStyle name="Normal 2 3 2 8 3 3 3 2" xfId="31136" xr:uid="{00000000-0005-0000-0000-0000BC3F0000}"/>
    <cellStyle name="Normal 2 3 2 8 3 3 4" xfId="22106" xr:uid="{00000000-0005-0000-0000-0000BD3F0000}"/>
    <cellStyle name="Normal 2 3 2 8 3 4" xfId="3548" xr:uid="{00000000-0005-0000-0000-0000BE3F0000}"/>
    <cellStyle name="Normal 2 3 2 8 3 4 2" xfId="8030" xr:uid="{00000000-0005-0000-0000-0000BF3F0000}"/>
    <cellStyle name="Normal 2 3 2 8 3 4 2 2" xfId="17060" xr:uid="{00000000-0005-0000-0000-0000C03F0000}"/>
    <cellStyle name="Normal 2 3 2 8 3 4 2 2 2" xfId="37112" xr:uid="{00000000-0005-0000-0000-0000C13F0000}"/>
    <cellStyle name="Normal 2 3 2 8 3 4 2 3" xfId="28082" xr:uid="{00000000-0005-0000-0000-0000C23F0000}"/>
    <cellStyle name="Normal 2 3 2 8 3 4 3" xfId="12578" xr:uid="{00000000-0005-0000-0000-0000C33F0000}"/>
    <cellStyle name="Normal 2 3 2 8 3 4 3 2" xfId="32630" xr:uid="{00000000-0005-0000-0000-0000C43F0000}"/>
    <cellStyle name="Normal 2 3 2 8 3 4 4" xfId="23600" xr:uid="{00000000-0005-0000-0000-0000C53F0000}"/>
    <cellStyle name="Normal 2 3 2 8 3 5" xfId="5042" xr:uid="{00000000-0005-0000-0000-0000C63F0000}"/>
    <cellStyle name="Normal 2 3 2 8 3 5 2" xfId="14072" xr:uid="{00000000-0005-0000-0000-0000C73F0000}"/>
    <cellStyle name="Normal 2 3 2 8 3 5 2 2" xfId="34124" xr:uid="{00000000-0005-0000-0000-0000C83F0000}"/>
    <cellStyle name="Normal 2 3 2 8 3 5 3" xfId="25094" xr:uid="{00000000-0005-0000-0000-0000C93F0000}"/>
    <cellStyle name="Normal 2 3 2 8 3 6" xfId="9590" xr:uid="{00000000-0005-0000-0000-0000CA3F0000}"/>
    <cellStyle name="Normal 2 3 2 8 3 6 2" xfId="29642" xr:uid="{00000000-0005-0000-0000-0000CB3F0000}"/>
    <cellStyle name="Normal 2 3 2 8 3 7" xfId="20612" xr:uid="{00000000-0005-0000-0000-0000CC3F0000}"/>
    <cellStyle name="Normal 2 3 2 8 4" xfId="746" xr:uid="{00000000-0005-0000-0000-0000CD3F0000}"/>
    <cellStyle name="Normal 2 3 2 8 4 2" xfId="1493" xr:uid="{00000000-0005-0000-0000-0000CE3F0000}"/>
    <cellStyle name="Normal 2 3 2 8 4 2 2" xfId="2987" xr:uid="{00000000-0005-0000-0000-0000CF3F0000}"/>
    <cellStyle name="Normal 2 3 2 8 4 2 2 2" xfId="7469" xr:uid="{00000000-0005-0000-0000-0000D03F0000}"/>
    <cellStyle name="Normal 2 3 2 8 4 2 2 2 2" xfId="16499" xr:uid="{00000000-0005-0000-0000-0000D13F0000}"/>
    <cellStyle name="Normal 2 3 2 8 4 2 2 2 2 2" xfId="36551" xr:uid="{00000000-0005-0000-0000-0000D23F0000}"/>
    <cellStyle name="Normal 2 3 2 8 4 2 2 2 3" xfId="27521" xr:uid="{00000000-0005-0000-0000-0000D33F0000}"/>
    <cellStyle name="Normal 2 3 2 8 4 2 2 3" xfId="12017" xr:uid="{00000000-0005-0000-0000-0000D43F0000}"/>
    <cellStyle name="Normal 2 3 2 8 4 2 2 3 2" xfId="32069" xr:uid="{00000000-0005-0000-0000-0000D53F0000}"/>
    <cellStyle name="Normal 2 3 2 8 4 2 2 4" xfId="23039" xr:uid="{00000000-0005-0000-0000-0000D63F0000}"/>
    <cellStyle name="Normal 2 3 2 8 4 2 3" xfId="4481" xr:uid="{00000000-0005-0000-0000-0000D73F0000}"/>
    <cellStyle name="Normal 2 3 2 8 4 2 3 2" xfId="8963" xr:uid="{00000000-0005-0000-0000-0000D83F0000}"/>
    <cellStyle name="Normal 2 3 2 8 4 2 3 2 2" xfId="17993" xr:uid="{00000000-0005-0000-0000-0000D93F0000}"/>
    <cellStyle name="Normal 2 3 2 8 4 2 3 2 2 2" xfId="38045" xr:uid="{00000000-0005-0000-0000-0000DA3F0000}"/>
    <cellStyle name="Normal 2 3 2 8 4 2 3 2 3" xfId="29015" xr:uid="{00000000-0005-0000-0000-0000DB3F0000}"/>
    <cellStyle name="Normal 2 3 2 8 4 2 3 3" xfId="13511" xr:uid="{00000000-0005-0000-0000-0000DC3F0000}"/>
    <cellStyle name="Normal 2 3 2 8 4 2 3 3 2" xfId="33563" xr:uid="{00000000-0005-0000-0000-0000DD3F0000}"/>
    <cellStyle name="Normal 2 3 2 8 4 2 3 4" xfId="24533" xr:uid="{00000000-0005-0000-0000-0000DE3F0000}"/>
    <cellStyle name="Normal 2 3 2 8 4 2 4" xfId="5975" xr:uid="{00000000-0005-0000-0000-0000DF3F0000}"/>
    <cellStyle name="Normal 2 3 2 8 4 2 4 2" xfId="15005" xr:uid="{00000000-0005-0000-0000-0000E03F0000}"/>
    <cellStyle name="Normal 2 3 2 8 4 2 4 2 2" xfId="35057" xr:uid="{00000000-0005-0000-0000-0000E13F0000}"/>
    <cellStyle name="Normal 2 3 2 8 4 2 4 3" xfId="26027" xr:uid="{00000000-0005-0000-0000-0000E23F0000}"/>
    <cellStyle name="Normal 2 3 2 8 4 2 5" xfId="10523" xr:uid="{00000000-0005-0000-0000-0000E33F0000}"/>
    <cellStyle name="Normal 2 3 2 8 4 2 5 2" xfId="30575" xr:uid="{00000000-0005-0000-0000-0000E43F0000}"/>
    <cellStyle name="Normal 2 3 2 8 4 2 6" xfId="21545" xr:uid="{00000000-0005-0000-0000-0000E53F0000}"/>
    <cellStyle name="Normal 2 3 2 8 4 3" xfId="2240" xr:uid="{00000000-0005-0000-0000-0000E63F0000}"/>
    <cellStyle name="Normal 2 3 2 8 4 3 2" xfId="6722" xr:uid="{00000000-0005-0000-0000-0000E73F0000}"/>
    <cellStyle name="Normal 2 3 2 8 4 3 2 2" xfId="15752" xr:uid="{00000000-0005-0000-0000-0000E83F0000}"/>
    <cellStyle name="Normal 2 3 2 8 4 3 2 2 2" xfId="35804" xr:uid="{00000000-0005-0000-0000-0000E93F0000}"/>
    <cellStyle name="Normal 2 3 2 8 4 3 2 3" xfId="26774" xr:uid="{00000000-0005-0000-0000-0000EA3F0000}"/>
    <cellStyle name="Normal 2 3 2 8 4 3 3" xfId="11270" xr:uid="{00000000-0005-0000-0000-0000EB3F0000}"/>
    <cellStyle name="Normal 2 3 2 8 4 3 3 2" xfId="31322" xr:uid="{00000000-0005-0000-0000-0000EC3F0000}"/>
    <cellStyle name="Normal 2 3 2 8 4 3 4" xfId="22292" xr:uid="{00000000-0005-0000-0000-0000ED3F0000}"/>
    <cellStyle name="Normal 2 3 2 8 4 4" xfId="3734" xr:uid="{00000000-0005-0000-0000-0000EE3F0000}"/>
    <cellStyle name="Normal 2 3 2 8 4 4 2" xfId="8216" xr:uid="{00000000-0005-0000-0000-0000EF3F0000}"/>
    <cellStyle name="Normal 2 3 2 8 4 4 2 2" xfId="17246" xr:uid="{00000000-0005-0000-0000-0000F03F0000}"/>
    <cellStyle name="Normal 2 3 2 8 4 4 2 2 2" xfId="37298" xr:uid="{00000000-0005-0000-0000-0000F13F0000}"/>
    <cellStyle name="Normal 2 3 2 8 4 4 2 3" xfId="28268" xr:uid="{00000000-0005-0000-0000-0000F23F0000}"/>
    <cellStyle name="Normal 2 3 2 8 4 4 3" xfId="12764" xr:uid="{00000000-0005-0000-0000-0000F33F0000}"/>
    <cellStyle name="Normal 2 3 2 8 4 4 3 2" xfId="32816" xr:uid="{00000000-0005-0000-0000-0000F43F0000}"/>
    <cellStyle name="Normal 2 3 2 8 4 4 4" xfId="23786" xr:uid="{00000000-0005-0000-0000-0000F53F0000}"/>
    <cellStyle name="Normal 2 3 2 8 4 5" xfId="5228" xr:uid="{00000000-0005-0000-0000-0000F63F0000}"/>
    <cellStyle name="Normal 2 3 2 8 4 5 2" xfId="14258" xr:uid="{00000000-0005-0000-0000-0000F73F0000}"/>
    <cellStyle name="Normal 2 3 2 8 4 5 2 2" xfId="34310" xr:uid="{00000000-0005-0000-0000-0000F83F0000}"/>
    <cellStyle name="Normal 2 3 2 8 4 5 3" xfId="25280" xr:uid="{00000000-0005-0000-0000-0000F93F0000}"/>
    <cellStyle name="Normal 2 3 2 8 4 6" xfId="9776" xr:uid="{00000000-0005-0000-0000-0000FA3F0000}"/>
    <cellStyle name="Normal 2 3 2 8 4 6 2" xfId="29828" xr:uid="{00000000-0005-0000-0000-0000FB3F0000}"/>
    <cellStyle name="Normal 2 3 2 8 4 7" xfId="20798" xr:uid="{00000000-0005-0000-0000-0000FC3F0000}"/>
    <cellStyle name="Normal 2 3 2 8 5" xfId="933" xr:uid="{00000000-0005-0000-0000-0000FD3F0000}"/>
    <cellStyle name="Normal 2 3 2 8 5 2" xfId="2427" xr:uid="{00000000-0005-0000-0000-0000FE3F0000}"/>
    <cellStyle name="Normal 2 3 2 8 5 2 2" xfId="6909" xr:uid="{00000000-0005-0000-0000-0000FF3F0000}"/>
    <cellStyle name="Normal 2 3 2 8 5 2 2 2" xfId="15939" xr:uid="{00000000-0005-0000-0000-000000400000}"/>
    <cellStyle name="Normal 2 3 2 8 5 2 2 2 2" xfId="35991" xr:uid="{00000000-0005-0000-0000-000001400000}"/>
    <cellStyle name="Normal 2 3 2 8 5 2 2 3" xfId="26961" xr:uid="{00000000-0005-0000-0000-000002400000}"/>
    <cellStyle name="Normal 2 3 2 8 5 2 3" xfId="11457" xr:uid="{00000000-0005-0000-0000-000003400000}"/>
    <cellStyle name="Normal 2 3 2 8 5 2 3 2" xfId="31509" xr:uid="{00000000-0005-0000-0000-000004400000}"/>
    <cellStyle name="Normal 2 3 2 8 5 2 4" xfId="22479" xr:uid="{00000000-0005-0000-0000-000005400000}"/>
    <cellStyle name="Normal 2 3 2 8 5 3" xfId="3921" xr:uid="{00000000-0005-0000-0000-000006400000}"/>
    <cellStyle name="Normal 2 3 2 8 5 3 2" xfId="8403" xr:uid="{00000000-0005-0000-0000-000007400000}"/>
    <cellStyle name="Normal 2 3 2 8 5 3 2 2" xfId="17433" xr:uid="{00000000-0005-0000-0000-000008400000}"/>
    <cellStyle name="Normal 2 3 2 8 5 3 2 2 2" xfId="37485" xr:uid="{00000000-0005-0000-0000-000009400000}"/>
    <cellStyle name="Normal 2 3 2 8 5 3 2 3" xfId="28455" xr:uid="{00000000-0005-0000-0000-00000A400000}"/>
    <cellStyle name="Normal 2 3 2 8 5 3 3" xfId="12951" xr:uid="{00000000-0005-0000-0000-00000B400000}"/>
    <cellStyle name="Normal 2 3 2 8 5 3 3 2" xfId="33003" xr:uid="{00000000-0005-0000-0000-00000C400000}"/>
    <cellStyle name="Normal 2 3 2 8 5 3 4" xfId="23973" xr:uid="{00000000-0005-0000-0000-00000D400000}"/>
    <cellStyle name="Normal 2 3 2 8 5 4" xfId="5415" xr:uid="{00000000-0005-0000-0000-00000E400000}"/>
    <cellStyle name="Normal 2 3 2 8 5 4 2" xfId="14445" xr:uid="{00000000-0005-0000-0000-00000F400000}"/>
    <cellStyle name="Normal 2 3 2 8 5 4 2 2" xfId="34497" xr:uid="{00000000-0005-0000-0000-000010400000}"/>
    <cellStyle name="Normal 2 3 2 8 5 4 3" xfId="25467" xr:uid="{00000000-0005-0000-0000-000011400000}"/>
    <cellStyle name="Normal 2 3 2 8 5 5" xfId="9963" xr:uid="{00000000-0005-0000-0000-000012400000}"/>
    <cellStyle name="Normal 2 3 2 8 5 5 2" xfId="30015" xr:uid="{00000000-0005-0000-0000-000013400000}"/>
    <cellStyle name="Normal 2 3 2 8 5 6" xfId="20985" xr:uid="{00000000-0005-0000-0000-000014400000}"/>
    <cellStyle name="Normal 2 3 2 8 6" xfId="1682" xr:uid="{00000000-0005-0000-0000-000015400000}"/>
    <cellStyle name="Normal 2 3 2 8 6 2" xfId="6164" xr:uid="{00000000-0005-0000-0000-000016400000}"/>
    <cellStyle name="Normal 2 3 2 8 6 2 2" xfId="15194" xr:uid="{00000000-0005-0000-0000-000017400000}"/>
    <cellStyle name="Normal 2 3 2 8 6 2 2 2" xfId="35246" xr:uid="{00000000-0005-0000-0000-000018400000}"/>
    <cellStyle name="Normal 2 3 2 8 6 2 3" xfId="26216" xr:uid="{00000000-0005-0000-0000-000019400000}"/>
    <cellStyle name="Normal 2 3 2 8 6 3" xfId="10712" xr:uid="{00000000-0005-0000-0000-00001A400000}"/>
    <cellStyle name="Normal 2 3 2 8 6 3 2" xfId="30764" xr:uid="{00000000-0005-0000-0000-00001B400000}"/>
    <cellStyle name="Normal 2 3 2 8 6 4" xfId="21734" xr:uid="{00000000-0005-0000-0000-00001C400000}"/>
    <cellStyle name="Normal 2 3 2 8 7" xfId="3176" xr:uid="{00000000-0005-0000-0000-00001D400000}"/>
    <cellStyle name="Normal 2 3 2 8 7 2" xfId="7658" xr:uid="{00000000-0005-0000-0000-00001E400000}"/>
    <cellStyle name="Normal 2 3 2 8 7 2 2" xfId="16688" xr:uid="{00000000-0005-0000-0000-00001F400000}"/>
    <cellStyle name="Normal 2 3 2 8 7 2 2 2" xfId="36740" xr:uid="{00000000-0005-0000-0000-000020400000}"/>
    <cellStyle name="Normal 2 3 2 8 7 2 3" xfId="27710" xr:uid="{00000000-0005-0000-0000-000021400000}"/>
    <cellStyle name="Normal 2 3 2 8 7 3" xfId="12206" xr:uid="{00000000-0005-0000-0000-000022400000}"/>
    <cellStyle name="Normal 2 3 2 8 7 3 2" xfId="32258" xr:uid="{00000000-0005-0000-0000-000023400000}"/>
    <cellStyle name="Normal 2 3 2 8 7 4" xfId="23228" xr:uid="{00000000-0005-0000-0000-000024400000}"/>
    <cellStyle name="Normal 2 3 2 8 8" xfId="4670" xr:uid="{00000000-0005-0000-0000-000025400000}"/>
    <cellStyle name="Normal 2 3 2 8 8 2" xfId="13700" xr:uid="{00000000-0005-0000-0000-000026400000}"/>
    <cellStyle name="Normal 2 3 2 8 8 2 2" xfId="33752" xr:uid="{00000000-0005-0000-0000-000027400000}"/>
    <cellStyle name="Normal 2 3 2 8 8 3" xfId="24722" xr:uid="{00000000-0005-0000-0000-000028400000}"/>
    <cellStyle name="Normal 2 3 2 8 9" xfId="9218" xr:uid="{00000000-0005-0000-0000-000029400000}"/>
    <cellStyle name="Normal 2 3 2 8 9 2" xfId="29270" xr:uid="{00000000-0005-0000-0000-00002A400000}"/>
    <cellStyle name="Normal 2 3 2 9" xfId="211" xr:uid="{00000000-0005-0000-0000-00002B400000}"/>
    <cellStyle name="Normal 2 3 2 9 2" xfId="956" xr:uid="{00000000-0005-0000-0000-00002C400000}"/>
    <cellStyle name="Normal 2 3 2 9 2 2" xfId="2450" xr:uid="{00000000-0005-0000-0000-00002D400000}"/>
    <cellStyle name="Normal 2 3 2 9 2 2 2" xfId="6932" xr:uid="{00000000-0005-0000-0000-00002E400000}"/>
    <cellStyle name="Normal 2 3 2 9 2 2 2 2" xfId="15962" xr:uid="{00000000-0005-0000-0000-00002F400000}"/>
    <cellStyle name="Normal 2 3 2 9 2 2 2 2 2" xfId="36014" xr:uid="{00000000-0005-0000-0000-000030400000}"/>
    <cellStyle name="Normal 2 3 2 9 2 2 2 3" xfId="26984" xr:uid="{00000000-0005-0000-0000-000031400000}"/>
    <cellStyle name="Normal 2 3 2 9 2 2 3" xfId="11480" xr:uid="{00000000-0005-0000-0000-000032400000}"/>
    <cellStyle name="Normal 2 3 2 9 2 2 3 2" xfId="31532" xr:uid="{00000000-0005-0000-0000-000033400000}"/>
    <cellStyle name="Normal 2 3 2 9 2 2 4" xfId="22502" xr:uid="{00000000-0005-0000-0000-000034400000}"/>
    <cellStyle name="Normal 2 3 2 9 2 3" xfId="3944" xr:uid="{00000000-0005-0000-0000-000035400000}"/>
    <cellStyle name="Normal 2 3 2 9 2 3 2" xfId="8426" xr:uid="{00000000-0005-0000-0000-000036400000}"/>
    <cellStyle name="Normal 2 3 2 9 2 3 2 2" xfId="17456" xr:uid="{00000000-0005-0000-0000-000037400000}"/>
    <cellStyle name="Normal 2 3 2 9 2 3 2 2 2" xfId="37508" xr:uid="{00000000-0005-0000-0000-000038400000}"/>
    <cellStyle name="Normal 2 3 2 9 2 3 2 3" xfId="28478" xr:uid="{00000000-0005-0000-0000-000039400000}"/>
    <cellStyle name="Normal 2 3 2 9 2 3 3" xfId="12974" xr:uid="{00000000-0005-0000-0000-00003A400000}"/>
    <cellStyle name="Normal 2 3 2 9 2 3 3 2" xfId="33026" xr:uid="{00000000-0005-0000-0000-00003B400000}"/>
    <cellStyle name="Normal 2 3 2 9 2 3 4" xfId="23996" xr:uid="{00000000-0005-0000-0000-00003C400000}"/>
    <cellStyle name="Normal 2 3 2 9 2 4" xfId="5438" xr:uid="{00000000-0005-0000-0000-00003D400000}"/>
    <cellStyle name="Normal 2 3 2 9 2 4 2" xfId="14468" xr:uid="{00000000-0005-0000-0000-00003E400000}"/>
    <cellStyle name="Normal 2 3 2 9 2 4 2 2" xfId="34520" xr:uid="{00000000-0005-0000-0000-00003F400000}"/>
    <cellStyle name="Normal 2 3 2 9 2 4 3" xfId="25490" xr:uid="{00000000-0005-0000-0000-000040400000}"/>
    <cellStyle name="Normal 2 3 2 9 2 5" xfId="9986" xr:uid="{00000000-0005-0000-0000-000041400000}"/>
    <cellStyle name="Normal 2 3 2 9 2 5 2" xfId="30038" xr:uid="{00000000-0005-0000-0000-000042400000}"/>
    <cellStyle name="Normal 2 3 2 9 2 6" xfId="21008" xr:uid="{00000000-0005-0000-0000-000043400000}"/>
    <cellStyle name="Normal 2 3 2 9 3" xfId="1705" xr:uid="{00000000-0005-0000-0000-000044400000}"/>
    <cellStyle name="Normal 2 3 2 9 3 2" xfId="6187" xr:uid="{00000000-0005-0000-0000-000045400000}"/>
    <cellStyle name="Normal 2 3 2 9 3 2 2" xfId="15217" xr:uid="{00000000-0005-0000-0000-000046400000}"/>
    <cellStyle name="Normal 2 3 2 9 3 2 2 2" xfId="35269" xr:uid="{00000000-0005-0000-0000-000047400000}"/>
    <cellStyle name="Normal 2 3 2 9 3 2 3" xfId="26239" xr:uid="{00000000-0005-0000-0000-000048400000}"/>
    <cellStyle name="Normal 2 3 2 9 3 3" xfId="10735" xr:uid="{00000000-0005-0000-0000-000049400000}"/>
    <cellStyle name="Normal 2 3 2 9 3 3 2" xfId="30787" xr:uid="{00000000-0005-0000-0000-00004A400000}"/>
    <cellStyle name="Normal 2 3 2 9 3 4" xfId="21757" xr:uid="{00000000-0005-0000-0000-00004B400000}"/>
    <cellStyle name="Normal 2 3 2 9 4" xfId="3199" xr:uid="{00000000-0005-0000-0000-00004C400000}"/>
    <cellStyle name="Normal 2 3 2 9 4 2" xfId="7681" xr:uid="{00000000-0005-0000-0000-00004D400000}"/>
    <cellStyle name="Normal 2 3 2 9 4 2 2" xfId="16711" xr:uid="{00000000-0005-0000-0000-00004E400000}"/>
    <cellStyle name="Normal 2 3 2 9 4 2 2 2" xfId="36763" xr:uid="{00000000-0005-0000-0000-00004F400000}"/>
    <cellStyle name="Normal 2 3 2 9 4 2 3" xfId="27733" xr:uid="{00000000-0005-0000-0000-000050400000}"/>
    <cellStyle name="Normal 2 3 2 9 4 3" xfId="12229" xr:uid="{00000000-0005-0000-0000-000051400000}"/>
    <cellStyle name="Normal 2 3 2 9 4 3 2" xfId="32281" xr:uid="{00000000-0005-0000-0000-000052400000}"/>
    <cellStyle name="Normal 2 3 2 9 4 4" xfId="23251" xr:uid="{00000000-0005-0000-0000-000053400000}"/>
    <cellStyle name="Normal 2 3 2 9 5" xfId="4693" xr:uid="{00000000-0005-0000-0000-000054400000}"/>
    <cellStyle name="Normal 2 3 2 9 5 2" xfId="13723" xr:uid="{00000000-0005-0000-0000-000055400000}"/>
    <cellStyle name="Normal 2 3 2 9 5 2 2" xfId="33775" xr:uid="{00000000-0005-0000-0000-000056400000}"/>
    <cellStyle name="Normal 2 3 2 9 5 3" xfId="24745" xr:uid="{00000000-0005-0000-0000-000057400000}"/>
    <cellStyle name="Normal 2 3 2 9 6" xfId="9241" xr:uid="{00000000-0005-0000-0000-000058400000}"/>
    <cellStyle name="Normal 2 3 2 9 6 2" xfId="29293" xr:uid="{00000000-0005-0000-0000-000059400000}"/>
    <cellStyle name="Normal 2 3 2 9 7" xfId="20263" xr:uid="{00000000-0005-0000-0000-00005A400000}"/>
    <cellStyle name="Normal 2 3 3" xfId="38" xr:uid="{00000000-0005-0000-0000-00005B400000}"/>
    <cellStyle name="Normal 2 3 3 10" xfId="20090" xr:uid="{00000000-0005-0000-0000-00005C400000}"/>
    <cellStyle name="Normal 2 3 3 2" xfId="224" xr:uid="{00000000-0005-0000-0000-00005D400000}"/>
    <cellStyle name="Normal 2 3 3 2 2" xfId="969" xr:uid="{00000000-0005-0000-0000-00005E400000}"/>
    <cellStyle name="Normal 2 3 3 2 2 2" xfId="2463" xr:uid="{00000000-0005-0000-0000-00005F400000}"/>
    <cellStyle name="Normal 2 3 3 2 2 2 2" xfId="6945" xr:uid="{00000000-0005-0000-0000-000060400000}"/>
    <cellStyle name="Normal 2 3 3 2 2 2 2 2" xfId="15975" xr:uid="{00000000-0005-0000-0000-000061400000}"/>
    <cellStyle name="Normal 2 3 3 2 2 2 2 2 2" xfId="36027" xr:uid="{00000000-0005-0000-0000-000062400000}"/>
    <cellStyle name="Normal 2 3 3 2 2 2 2 3" xfId="26997" xr:uid="{00000000-0005-0000-0000-000063400000}"/>
    <cellStyle name="Normal 2 3 3 2 2 2 3" xfId="11493" xr:uid="{00000000-0005-0000-0000-000064400000}"/>
    <cellStyle name="Normal 2 3 3 2 2 2 3 2" xfId="31545" xr:uid="{00000000-0005-0000-0000-000065400000}"/>
    <cellStyle name="Normal 2 3 3 2 2 2 4" xfId="22515" xr:uid="{00000000-0005-0000-0000-000066400000}"/>
    <cellStyle name="Normal 2 3 3 2 2 3" xfId="3957" xr:uid="{00000000-0005-0000-0000-000067400000}"/>
    <cellStyle name="Normal 2 3 3 2 2 3 2" xfId="8439" xr:uid="{00000000-0005-0000-0000-000068400000}"/>
    <cellStyle name="Normal 2 3 3 2 2 3 2 2" xfId="17469" xr:uid="{00000000-0005-0000-0000-000069400000}"/>
    <cellStyle name="Normal 2 3 3 2 2 3 2 2 2" xfId="37521" xr:uid="{00000000-0005-0000-0000-00006A400000}"/>
    <cellStyle name="Normal 2 3 3 2 2 3 2 3" xfId="28491" xr:uid="{00000000-0005-0000-0000-00006B400000}"/>
    <cellStyle name="Normal 2 3 3 2 2 3 3" xfId="12987" xr:uid="{00000000-0005-0000-0000-00006C400000}"/>
    <cellStyle name="Normal 2 3 3 2 2 3 3 2" xfId="33039" xr:uid="{00000000-0005-0000-0000-00006D400000}"/>
    <cellStyle name="Normal 2 3 3 2 2 3 4" xfId="24009" xr:uid="{00000000-0005-0000-0000-00006E400000}"/>
    <cellStyle name="Normal 2 3 3 2 2 4" xfId="5451" xr:uid="{00000000-0005-0000-0000-00006F400000}"/>
    <cellStyle name="Normal 2 3 3 2 2 4 2" xfId="14481" xr:uid="{00000000-0005-0000-0000-000070400000}"/>
    <cellStyle name="Normal 2 3 3 2 2 4 2 2" xfId="34533" xr:uid="{00000000-0005-0000-0000-000071400000}"/>
    <cellStyle name="Normal 2 3 3 2 2 4 3" xfId="25503" xr:uid="{00000000-0005-0000-0000-000072400000}"/>
    <cellStyle name="Normal 2 3 3 2 2 5" xfId="9999" xr:uid="{00000000-0005-0000-0000-000073400000}"/>
    <cellStyle name="Normal 2 3 3 2 2 5 2" xfId="30051" xr:uid="{00000000-0005-0000-0000-000074400000}"/>
    <cellStyle name="Normal 2 3 3 2 2 6" xfId="21021" xr:uid="{00000000-0005-0000-0000-000075400000}"/>
    <cellStyle name="Normal 2 3 3 2 3" xfId="1718" xr:uid="{00000000-0005-0000-0000-000076400000}"/>
    <cellStyle name="Normal 2 3 3 2 3 2" xfId="6200" xr:uid="{00000000-0005-0000-0000-000077400000}"/>
    <cellStyle name="Normal 2 3 3 2 3 2 2" xfId="15230" xr:uid="{00000000-0005-0000-0000-000078400000}"/>
    <cellStyle name="Normal 2 3 3 2 3 2 2 2" xfId="35282" xr:uid="{00000000-0005-0000-0000-000079400000}"/>
    <cellStyle name="Normal 2 3 3 2 3 2 3" xfId="26252" xr:uid="{00000000-0005-0000-0000-00007A400000}"/>
    <cellStyle name="Normal 2 3 3 2 3 3" xfId="10748" xr:uid="{00000000-0005-0000-0000-00007B400000}"/>
    <cellStyle name="Normal 2 3 3 2 3 3 2" xfId="30800" xr:uid="{00000000-0005-0000-0000-00007C400000}"/>
    <cellStyle name="Normal 2 3 3 2 3 4" xfId="21770" xr:uid="{00000000-0005-0000-0000-00007D400000}"/>
    <cellStyle name="Normal 2 3 3 2 4" xfId="3212" xr:uid="{00000000-0005-0000-0000-00007E400000}"/>
    <cellStyle name="Normal 2 3 3 2 4 2" xfId="7694" xr:uid="{00000000-0005-0000-0000-00007F400000}"/>
    <cellStyle name="Normal 2 3 3 2 4 2 2" xfId="16724" xr:uid="{00000000-0005-0000-0000-000080400000}"/>
    <cellStyle name="Normal 2 3 3 2 4 2 2 2" xfId="36776" xr:uid="{00000000-0005-0000-0000-000081400000}"/>
    <cellStyle name="Normal 2 3 3 2 4 2 3" xfId="27746" xr:uid="{00000000-0005-0000-0000-000082400000}"/>
    <cellStyle name="Normal 2 3 3 2 4 3" xfId="12242" xr:uid="{00000000-0005-0000-0000-000083400000}"/>
    <cellStyle name="Normal 2 3 3 2 4 3 2" xfId="32294" xr:uid="{00000000-0005-0000-0000-000084400000}"/>
    <cellStyle name="Normal 2 3 3 2 4 4" xfId="23264" xr:uid="{00000000-0005-0000-0000-000085400000}"/>
    <cellStyle name="Normal 2 3 3 2 5" xfId="4706" xr:uid="{00000000-0005-0000-0000-000086400000}"/>
    <cellStyle name="Normal 2 3 3 2 5 2" xfId="13736" xr:uid="{00000000-0005-0000-0000-000087400000}"/>
    <cellStyle name="Normal 2 3 3 2 5 2 2" xfId="33788" xr:uid="{00000000-0005-0000-0000-000088400000}"/>
    <cellStyle name="Normal 2 3 3 2 5 3" xfId="24758" xr:uid="{00000000-0005-0000-0000-000089400000}"/>
    <cellStyle name="Normal 2 3 3 2 6" xfId="9254" xr:uid="{00000000-0005-0000-0000-00008A400000}"/>
    <cellStyle name="Normal 2 3 3 2 6 2" xfId="29306" xr:uid="{00000000-0005-0000-0000-00008B400000}"/>
    <cellStyle name="Normal 2 3 3 2 7" xfId="20276" xr:uid="{00000000-0005-0000-0000-00008C400000}"/>
    <cellStyle name="Normal 2 3 3 3" xfId="410" xr:uid="{00000000-0005-0000-0000-00008D400000}"/>
    <cellStyle name="Normal 2 3 3 3 2" xfId="1157" xr:uid="{00000000-0005-0000-0000-00008E400000}"/>
    <cellStyle name="Normal 2 3 3 3 2 2" xfId="2651" xr:uid="{00000000-0005-0000-0000-00008F400000}"/>
    <cellStyle name="Normal 2 3 3 3 2 2 2" xfId="7133" xr:uid="{00000000-0005-0000-0000-000090400000}"/>
    <cellStyle name="Normal 2 3 3 3 2 2 2 2" xfId="16163" xr:uid="{00000000-0005-0000-0000-000091400000}"/>
    <cellStyle name="Normal 2 3 3 3 2 2 2 2 2" xfId="36215" xr:uid="{00000000-0005-0000-0000-000092400000}"/>
    <cellStyle name="Normal 2 3 3 3 2 2 2 3" xfId="27185" xr:uid="{00000000-0005-0000-0000-000093400000}"/>
    <cellStyle name="Normal 2 3 3 3 2 2 3" xfId="11681" xr:uid="{00000000-0005-0000-0000-000094400000}"/>
    <cellStyle name="Normal 2 3 3 3 2 2 3 2" xfId="31733" xr:uid="{00000000-0005-0000-0000-000095400000}"/>
    <cellStyle name="Normal 2 3 3 3 2 2 4" xfId="22703" xr:uid="{00000000-0005-0000-0000-000096400000}"/>
    <cellStyle name="Normal 2 3 3 3 2 3" xfId="4145" xr:uid="{00000000-0005-0000-0000-000097400000}"/>
    <cellStyle name="Normal 2 3 3 3 2 3 2" xfId="8627" xr:uid="{00000000-0005-0000-0000-000098400000}"/>
    <cellStyle name="Normal 2 3 3 3 2 3 2 2" xfId="17657" xr:uid="{00000000-0005-0000-0000-000099400000}"/>
    <cellStyle name="Normal 2 3 3 3 2 3 2 2 2" xfId="37709" xr:uid="{00000000-0005-0000-0000-00009A400000}"/>
    <cellStyle name="Normal 2 3 3 3 2 3 2 3" xfId="28679" xr:uid="{00000000-0005-0000-0000-00009B400000}"/>
    <cellStyle name="Normal 2 3 3 3 2 3 3" xfId="13175" xr:uid="{00000000-0005-0000-0000-00009C400000}"/>
    <cellStyle name="Normal 2 3 3 3 2 3 3 2" xfId="33227" xr:uid="{00000000-0005-0000-0000-00009D400000}"/>
    <cellStyle name="Normal 2 3 3 3 2 3 4" xfId="24197" xr:uid="{00000000-0005-0000-0000-00009E400000}"/>
    <cellStyle name="Normal 2 3 3 3 2 4" xfId="5639" xr:uid="{00000000-0005-0000-0000-00009F400000}"/>
    <cellStyle name="Normal 2 3 3 3 2 4 2" xfId="14669" xr:uid="{00000000-0005-0000-0000-0000A0400000}"/>
    <cellStyle name="Normal 2 3 3 3 2 4 2 2" xfId="34721" xr:uid="{00000000-0005-0000-0000-0000A1400000}"/>
    <cellStyle name="Normal 2 3 3 3 2 4 3" xfId="25691" xr:uid="{00000000-0005-0000-0000-0000A2400000}"/>
    <cellStyle name="Normal 2 3 3 3 2 5" xfId="10187" xr:uid="{00000000-0005-0000-0000-0000A3400000}"/>
    <cellStyle name="Normal 2 3 3 3 2 5 2" xfId="30239" xr:uid="{00000000-0005-0000-0000-0000A4400000}"/>
    <cellStyle name="Normal 2 3 3 3 2 6" xfId="21209" xr:uid="{00000000-0005-0000-0000-0000A5400000}"/>
    <cellStyle name="Normal 2 3 3 3 3" xfId="1904" xr:uid="{00000000-0005-0000-0000-0000A6400000}"/>
    <cellStyle name="Normal 2 3 3 3 3 2" xfId="6386" xr:uid="{00000000-0005-0000-0000-0000A7400000}"/>
    <cellStyle name="Normal 2 3 3 3 3 2 2" xfId="15416" xr:uid="{00000000-0005-0000-0000-0000A8400000}"/>
    <cellStyle name="Normal 2 3 3 3 3 2 2 2" xfId="35468" xr:uid="{00000000-0005-0000-0000-0000A9400000}"/>
    <cellStyle name="Normal 2 3 3 3 3 2 3" xfId="26438" xr:uid="{00000000-0005-0000-0000-0000AA400000}"/>
    <cellStyle name="Normal 2 3 3 3 3 3" xfId="10934" xr:uid="{00000000-0005-0000-0000-0000AB400000}"/>
    <cellStyle name="Normal 2 3 3 3 3 3 2" xfId="30986" xr:uid="{00000000-0005-0000-0000-0000AC400000}"/>
    <cellStyle name="Normal 2 3 3 3 3 4" xfId="21956" xr:uid="{00000000-0005-0000-0000-0000AD400000}"/>
    <cellStyle name="Normal 2 3 3 3 4" xfId="3398" xr:uid="{00000000-0005-0000-0000-0000AE400000}"/>
    <cellStyle name="Normal 2 3 3 3 4 2" xfId="7880" xr:uid="{00000000-0005-0000-0000-0000AF400000}"/>
    <cellStyle name="Normal 2 3 3 3 4 2 2" xfId="16910" xr:uid="{00000000-0005-0000-0000-0000B0400000}"/>
    <cellStyle name="Normal 2 3 3 3 4 2 2 2" xfId="36962" xr:uid="{00000000-0005-0000-0000-0000B1400000}"/>
    <cellStyle name="Normal 2 3 3 3 4 2 3" xfId="27932" xr:uid="{00000000-0005-0000-0000-0000B2400000}"/>
    <cellStyle name="Normal 2 3 3 3 4 3" xfId="12428" xr:uid="{00000000-0005-0000-0000-0000B3400000}"/>
    <cellStyle name="Normal 2 3 3 3 4 3 2" xfId="32480" xr:uid="{00000000-0005-0000-0000-0000B4400000}"/>
    <cellStyle name="Normal 2 3 3 3 4 4" xfId="23450" xr:uid="{00000000-0005-0000-0000-0000B5400000}"/>
    <cellStyle name="Normal 2 3 3 3 5" xfId="4892" xr:uid="{00000000-0005-0000-0000-0000B6400000}"/>
    <cellStyle name="Normal 2 3 3 3 5 2" xfId="13922" xr:uid="{00000000-0005-0000-0000-0000B7400000}"/>
    <cellStyle name="Normal 2 3 3 3 5 2 2" xfId="33974" xr:uid="{00000000-0005-0000-0000-0000B8400000}"/>
    <cellStyle name="Normal 2 3 3 3 5 3" xfId="24944" xr:uid="{00000000-0005-0000-0000-0000B9400000}"/>
    <cellStyle name="Normal 2 3 3 3 6" xfId="9440" xr:uid="{00000000-0005-0000-0000-0000BA400000}"/>
    <cellStyle name="Normal 2 3 3 3 6 2" xfId="29492" xr:uid="{00000000-0005-0000-0000-0000BB400000}"/>
    <cellStyle name="Normal 2 3 3 3 7" xfId="20462" xr:uid="{00000000-0005-0000-0000-0000BC400000}"/>
    <cellStyle name="Normal 2 3 3 4" xfId="596" xr:uid="{00000000-0005-0000-0000-0000BD400000}"/>
    <cellStyle name="Normal 2 3 3 4 2" xfId="1343" xr:uid="{00000000-0005-0000-0000-0000BE400000}"/>
    <cellStyle name="Normal 2 3 3 4 2 2" xfId="2837" xr:uid="{00000000-0005-0000-0000-0000BF400000}"/>
    <cellStyle name="Normal 2 3 3 4 2 2 2" xfId="7319" xr:uid="{00000000-0005-0000-0000-0000C0400000}"/>
    <cellStyle name="Normal 2 3 3 4 2 2 2 2" xfId="16349" xr:uid="{00000000-0005-0000-0000-0000C1400000}"/>
    <cellStyle name="Normal 2 3 3 4 2 2 2 2 2" xfId="36401" xr:uid="{00000000-0005-0000-0000-0000C2400000}"/>
    <cellStyle name="Normal 2 3 3 4 2 2 2 3" xfId="27371" xr:uid="{00000000-0005-0000-0000-0000C3400000}"/>
    <cellStyle name="Normal 2 3 3 4 2 2 3" xfId="11867" xr:uid="{00000000-0005-0000-0000-0000C4400000}"/>
    <cellStyle name="Normal 2 3 3 4 2 2 3 2" xfId="31919" xr:uid="{00000000-0005-0000-0000-0000C5400000}"/>
    <cellStyle name="Normal 2 3 3 4 2 2 4" xfId="22889" xr:uid="{00000000-0005-0000-0000-0000C6400000}"/>
    <cellStyle name="Normal 2 3 3 4 2 3" xfId="4331" xr:uid="{00000000-0005-0000-0000-0000C7400000}"/>
    <cellStyle name="Normal 2 3 3 4 2 3 2" xfId="8813" xr:uid="{00000000-0005-0000-0000-0000C8400000}"/>
    <cellStyle name="Normal 2 3 3 4 2 3 2 2" xfId="17843" xr:uid="{00000000-0005-0000-0000-0000C9400000}"/>
    <cellStyle name="Normal 2 3 3 4 2 3 2 2 2" xfId="37895" xr:uid="{00000000-0005-0000-0000-0000CA400000}"/>
    <cellStyle name="Normal 2 3 3 4 2 3 2 3" xfId="28865" xr:uid="{00000000-0005-0000-0000-0000CB400000}"/>
    <cellStyle name="Normal 2 3 3 4 2 3 3" xfId="13361" xr:uid="{00000000-0005-0000-0000-0000CC400000}"/>
    <cellStyle name="Normal 2 3 3 4 2 3 3 2" xfId="33413" xr:uid="{00000000-0005-0000-0000-0000CD400000}"/>
    <cellStyle name="Normal 2 3 3 4 2 3 4" xfId="24383" xr:uid="{00000000-0005-0000-0000-0000CE400000}"/>
    <cellStyle name="Normal 2 3 3 4 2 4" xfId="5825" xr:uid="{00000000-0005-0000-0000-0000CF400000}"/>
    <cellStyle name="Normal 2 3 3 4 2 4 2" xfId="14855" xr:uid="{00000000-0005-0000-0000-0000D0400000}"/>
    <cellStyle name="Normal 2 3 3 4 2 4 2 2" xfId="34907" xr:uid="{00000000-0005-0000-0000-0000D1400000}"/>
    <cellStyle name="Normal 2 3 3 4 2 4 3" xfId="25877" xr:uid="{00000000-0005-0000-0000-0000D2400000}"/>
    <cellStyle name="Normal 2 3 3 4 2 5" xfId="10373" xr:uid="{00000000-0005-0000-0000-0000D3400000}"/>
    <cellStyle name="Normal 2 3 3 4 2 5 2" xfId="30425" xr:uid="{00000000-0005-0000-0000-0000D4400000}"/>
    <cellStyle name="Normal 2 3 3 4 2 6" xfId="21395" xr:uid="{00000000-0005-0000-0000-0000D5400000}"/>
    <cellStyle name="Normal 2 3 3 4 3" xfId="2090" xr:uid="{00000000-0005-0000-0000-0000D6400000}"/>
    <cellStyle name="Normal 2 3 3 4 3 2" xfId="6572" xr:uid="{00000000-0005-0000-0000-0000D7400000}"/>
    <cellStyle name="Normal 2 3 3 4 3 2 2" xfId="15602" xr:uid="{00000000-0005-0000-0000-0000D8400000}"/>
    <cellStyle name="Normal 2 3 3 4 3 2 2 2" xfId="35654" xr:uid="{00000000-0005-0000-0000-0000D9400000}"/>
    <cellStyle name="Normal 2 3 3 4 3 2 3" xfId="26624" xr:uid="{00000000-0005-0000-0000-0000DA400000}"/>
    <cellStyle name="Normal 2 3 3 4 3 3" xfId="11120" xr:uid="{00000000-0005-0000-0000-0000DB400000}"/>
    <cellStyle name="Normal 2 3 3 4 3 3 2" xfId="31172" xr:uid="{00000000-0005-0000-0000-0000DC400000}"/>
    <cellStyle name="Normal 2 3 3 4 3 4" xfId="22142" xr:uid="{00000000-0005-0000-0000-0000DD400000}"/>
    <cellStyle name="Normal 2 3 3 4 4" xfId="3584" xr:uid="{00000000-0005-0000-0000-0000DE400000}"/>
    <cellStyle name="Normal 2 3 3 4 4 2" xfId="8066" xr:uid="{00000000-0005-0000-0000-0000DF400000}"/>
    <cellStyle name="Normal 2 3 3 4 4 2 2" xfId="17096" xr:uid="{00000000-0005-0000-0000-0000E0400000}"/>
    <cellStyle name="Normal 2 3 3 4 4 2 2 2" xfId="37148" xr:uid="{00000000-0005-0000-0000-0000E1400000}"/>
    <cellStyle name="Normal 2 3 3 4 4 2 3" xfId="28118" xr:uid="{00000000-0005-0000-0000-0000E2400000}"/>
    <cellStyle name="Normal 2 3 3 4 4 3" xfId="12614" xr:uid="{00000000-0005-0000-0000-0000E3400000}"/>
    <cellStyle name="Normal 2 3 3 4 4 3 2" xfId="32666" xr:uid="{00000000-0005-0000-0000-0000E4400000}"/>
    <cellStyle name="Normal 2 3 3 4 4 4" xfId="23636" xr:uid="{00000000-0005-0000-0000-0000E5400000}"/>
    <cellStyle name="Normal 2 3 3 4 5" xfId="5078" xr:uid="{00000000-0005-0000-0000-0000E6400000}"/>
    <cellStyle name="Normal 2 3 3 4 5 2" xfId="14108" xr:uid="{00000000-0005-0000-0000-0000E7400000}"/>
    <cellStyle name="Normal 2 3 3 4 5 2 2" xfId="34160" xr:uid="{00000000-0005-0000-0000-0000E8400000}"/>
    <cellStyle name="Normal 2 3 3 4 5 3" xfId="25130" xr:uid="{00000000-0005-0000-0000-0000E9400000}"/>
    <cellStyle name="Normal 2 3 3 4 6" xfId="9626" xr:uid="{00000000-0005-0000-0000-0000EA400000}"/>
    <cellStyle name="Normal 2 3 3 4 6 2" xfId="29678" xr:uid="{00000000-0005-0000-0000-0000EB400000}"/>
    <cellStyle name="Normal 2 3 3 4 7" xfId="20648" xr:uid="{00000000-0005-0000-0000-0000EC400000}"/>
    <cellStyle name="Normal 2 3 3 5" xfId="783" xr:uid="{00000000-0005-0000-0000-0000ED400000}"/>
    <cellStyle name="Normal 2 3 3 5 2" xfId="2277" xr:uid="{00000000-0005-0000-0000-0000EE400000}"/>
    <cellStyle name="Normal 2 3 3 5 2 2" xfId="6759" xr:uid="{00000000-0005-0000-0000-0000EF400000}"/>
    <cellStyle name="Normal 2 3 3 5 2 2 2" xfId="15789" xr:uid="{00000000-0005-0000-0000-0000F0400000}"/>
    <cellStyle name="Normal 2 3 3 5 2 2 2 2" xfId="35841" xr:uid="{00000000-0005-0000-0000-0000F1400000}"/>
    <cellStyle name="Normal 2 3 3 5 2 2 3" xfId="26811" xr:uid="{00000000-0005-0000-0000-0000F2400000}"/>
    <cellStyle name="Normal 2 3 3 5 2 3" xfId="11307" xr:uid="{00000000-0005-0000-0000-0000F3400000}"/>
    <cellStyle name="Normal 2 3 3 5 2 3 2" xfId="31359" xr:uid="{00000000-0005-0000-0000-0000F4400000}"/>
    <cellStyle name="Normal 2 3 3 5 2 4" xfId="22329" xr:uid="{00000000-0005-0000-0000-0000F5400000}"/>
    <cellStyle name="Normal 2 3 3 5 3" xfId="3771" xr:uid="{00000000-0005-0000-0000-0000F6400000}"/>
    <cellStyle name="Normal 2 3 3 5 3 2" xfId="8253" xr:uid="{00000000-0005-0000-0000-0000F7400000}"/>
    <cellStyle name="Normal 2 3 3 5 3 2 2" xfId="17283" xr:uid="{00000000-0005-0000-0000-0000F8400000}"/>
    <cellStyle name="Normal 2 3 3 5 3 2 2 2" xfId="37335" xr:uid="{00000000-0005-0000-0000-0000F9400000}"/>
    <cellStyle name="Normal 2 3 3 5 3 2 3" xfId="28305" xr:uid="{00000000-0005-0000-0000-0000FA400000}"/>
    <cellStyle name="Normal 2 3 3 5 3 3" xfId="12801" xr:uid="{00000000-0005-0000-0000-0000FB400000}"/>
    <cellStyle name="Normal 2 3 3 5 3 3 2" xfId="32853" xr:uid="{00000000-0005-0000-0000-0000FC400000}"/>
    <cellStyle name="Normal 2 3 3 5 3 4" xfId="23823" xr:uid="{00000000-0005-0000-0000-0000FD400000}"/>
    <cellStyle name="Normal 2 3 3 5 4" xfId="5265" xr:uid="{00000000-0005-0000-0000-0000FE400000}"/>
    <cellStyle name="Normal 2 3 3 5 4 2" xfId="14295" xr:uid="{00000000-0005-0000-0000-0000FF400000}"/>
    <cellStyle name="Normal 2 3 3 5 4 2 2" xfId="34347" xr:uid="{00000000-0005-0000-0000-000000410000}"/>
    <cellStyle name="Normal 2 3 3 5 4 3" xfId="25317" xr:uid="{00000000-0005-0000-0000-000001410000}"/>
    <cellStyle name="Normal 2 3 3 5 5" xfId="9813" xr:uid="{00000000-0005-0000-0000-000002410000}"/>
    <cellStyle name="Normal 2 3 3 5 5 2" xfId="29865" xr:uid="{00000000-0005-0000-0000-000003410000}"/>
    <cellStyle name="Normal 2 3 3 5 6" xfId="20835" xr:uid="{00000000-0005-0000-0000-000004410000}"/>
    <cellStyle name="Normal 2 3 3 6" xfId="1532" xr:uid="{00000000-0005-0000-0000-000005410000}"/>
    <cellStyle name="Normal 2 3 3 6 2" xfId="6014" xr:uid="{00000000-0005-0000-0000-000006410000}"/>
    <cellStyle name="Normal 2 3 3 6 2 2" xfId="15044" xr:uid="{00000000-0005-0000-0000-000007410000}"/>
    <cellStyle name="Normal 2 3 3 6 2 2 2" xfId="35096" xr:uid="{00000000-0005-0000-0000-000008410000}"/>
    <cellStyle name="Normal 2 3 3 6 2 3" xfId="26066" xr:uid="{00000000-0005-0000-0000-000009410000}"/>
    <cellStyle name="Normal 2 3 3 6 3" xfId="10562" xr:uid="{00000000-0005-0000-0000-00000A410000}"/>
    <cellStyle name="Normal 2 3 3 6 3 2" xfId="30614" xr:uid="{00000000-0005-0000-0000-00000B410000}"/>
    <cellStyle name="Normal 2 3 3 6 4" xfId="21584" xr:uid="{00000000-0005-0000-0000-00000C410000}"/>
    <cellStyle name="Normal 2 3 3 7" xfId="3026" xr:uid="{00000000-0005-0000-0000-00000D410000}"/>
    <cellStyle name="Normal 2 3 3 7 2" xfId="7508" xr:uid="{00000000-0005-0000-0000-00000E410000}"/>
    <cellStyle name="Normal 2 3 3 7 2 2" xfId="16538" xr:uid="{00000000-0005-0000-0000-00000F410000}"/>
    <cellStyle name="Normal 2 3 3 7 2 2 2" xfId="36590" xr:uid="{00000000-0005-0000-0000-000010410000}"/>
    <cellStyle name="Normal 2 3 3 7 2 3" xfId="27560" xr:uid="{00000000-0005-0000-0000-000011410000}"/>
    <cellStyle name="Normal 2 3 3 7 3" xfId="12056" xr:uid="{00000000-0005-0000-0000-000012410000}"/>
    <cellStyle name="Normal 2 3 3 7 3 2" xfId="32108" xr:uid="{00000000-0005-0000-0000-000013410000}"/>
    <cellStyle name="Normal 2 3 3 7 4" xfId="23078" xr:uid="{00000000-0005-0000-0000-000014410000}"/>
    <cellStyle name="Normal 2 3 3 8" xfId="4520" xr:uid="{00000000-0005-0000-0000-000015410000}"/>
    <cellStyle name="Normal 2 3 3 8 2" xfId="13550" xr:uid="{00000000-0005-0000-0000-000016410000}"/>
    <cellStyle name="Normal 2 3 3 8 2 2" xfId="33602" xr:uid="{00000000-0005-0000-0000-000017410000}"/>
    <cellStyle name="Normal 2 3 3 8 3" xfId="24572" xr:uid="{00000000-0005-0000-0000-000018410000}"/>
    <cellStyle name="Normal 2 3 3 9" xfId="9068" xr:uid="{00000000-0005-0000-0000-000019410000}"/>
    <cellStyle name="Normal 2 3 3 9 2" xfId="29120" xr:uid="{00000000-0005-0000-0000-00001A410000}"/>
    <cellStyle name="Normal 2 3 4" xfId="61" xr:uid="{00000000-0005-0000-0000-00001B410000}"/>
    <cellStyle name="Normal 2 3 4 10" xfId="20113" xr:uid="{00000000-0005-0000-0000-00001C410000}"/>
    <cellStyle name="Normal 2 3 4 2" xfId="247" xr:uid="{00000000-0005-0000-0000-00001D410000}"/>
    <cellStyle name="Normal 2 3 4 2 2" xfId="992" xr:uid="{00000000-0005-0000-0000-00001E410000}"/>
    <cellStyle name="Normal 2 3 4 2 2 2" xfId="2486" xr:uid="{00000000-0005-0000-0000-00001F410000}"/>
    <cellStyle name="Normal 2 3 4 2 2 2 2" xfId="6968" xr:uid="{00000000-0005-0000-0000-000020410000}"/>
    <cellStyle name="Normal 2 3 4 2 2 2 2 2" xfId="15998" xr:uid="{00000000-0005-0000-0000-000021410000}"/>
    <cellStyle name="Normal 2 3 4 2 2 2 2 2 2" xfId="36050" xr:uid="{00000000-0005-0000-0000-000022410000}"/>
    <cellStyle name="Normal 2 3 4 2 2 2 2 3" xfId="27020" xr:uid="{00000000-0005-0000-0000-000023410000}"/>
    <cellStyle name="Normal 2 3 4 2 2 2 3" xfId="11516" xr:uid="{00000000-0005-0000-0000-000024410000}"/>
    <cellStyle name="Normal 2 3 4 2 2 2 3 2" xfId="31568" xr:uid="{00000000-0005-0000-0000-000025410000}"/>
    <cellStyle name="Normal 2 3 4 2 2 2 4" xfId="22538" xr:uid="{00000000-0005-0000-0000-000026410000}"/>
    <cellStyle name="Normal 2 3 4 2 2 3" xfId="3980" xr:uid="{00000000-0005-0000-0000-000027410000}"/>
    <cellStyle name="Normal 2 3 4 2 2 3 2" xfId="8462" xr:uid="{00000000-0005-0000-0000-000028410000}"/>
    <cellStyle name="Normal 2 3 4 2 2 3 2 2" xfId="17492" xr:uid="{00000000-0005-0000-0000-000029410000}"/>
    <cellStyle name="Normal 2 3 4 2 2 3 2 2 2" xfId="37544" xr:uid="{00000000-0005-0000-0000-00002A410000}"/>
    <cellStyle name="Normal 2 3 4 2 2 3 2 3" xfId="28514" xr:uid="{00000000-0005-0000-0000-00002B410000}"/>
    <cellStyle name="Normal 2 3 4 2 2 3 3" xfId="13010" xr:uid="{00000000-0005-0000-0000-00002C410000}"/>
    <cellStyle name="Normal 2 3 4 2 2 3 3 2" xfId="33062" xr:uid="{00000000-0005-0000-0000-00002D410000}"/>
    <cellStyle name="Normal 2 3 4 2 2 3 4" xfId="24032" xr:uid="{00000000-0005-0000-0000-00002E410000}"/>
    <cellStyle name="Normal 2 3 4 2 2 4" xfId="5474" xr:uid="{00000000-0005-0000-0000-00002F410000}"/>
    <cellStyle name="Normal 2 3 4 2 2 4 2" xfId="14504" xr:uid="{00000000-0005-0000-0000-000030410000}"/>
    <cellStyle name="Normal 2 3 4 2 2 4 2 2" xfId="34556" xr:uid="{00000000-0005-0000-0000-000031410000}"/>
    <cellStyle name="Normal 2 3 4 2 2 4 3" xfId="25526" xr:uid="{00000000-0005-0000-0000-000032410000}"/>
    <cellStyle name="Normal 2 3 4 2 2 5" xfId="10022" xr:uid="{00000000-0005-0000-0000-000033410000}"/>
    <cellStyle name="Normal 2 3 4 2 2 5 2" xfId="30074" xr:uid="{00000000-0005-0000-0000-000034410000}"/>
    <cellStyle name="Normal 2 3 4 2 2 6" xfId="21044" xr:uid="{00000000-0005-0000-0000-000035410000}"/>
    <cellStyle name="Normal 2 3 4 2 3" xfId="1741" xr:uid="{00000000-0005-0000-0000-000036410000}"/>
    <cellStyle name="Normal 2 3 4 2 3 2" xfId="6223" xr:uid="{00000000-0005-0000-0000-000037410000}"/>
    <cellStyle name="Normal 2 3 4 2 3 2 2" xfId="15253" xr:uid="{00000000-0005-0000-0000-000038410000}"/>
    <cellStyle name="Normal 2 3 4 2 3 2 2 2" xfId="35305" xr:uid="{00000000-0005-0000-0000-000039410000}"/>
    <cellStyle name="Normal 2 3 4 2 3 2 3" xfId="26275" xr:uid="{00000000-0005-0000-0000-00003A410000}"/>
    <cellStyle name="Normal 2 3 4 2 3 3" xfId="10771" xr:uid="{00000000-0005-0000-0000-00003B410000}"/>
    <cellStyle name="Normal 2 3 4 2 3 3 2" xfId="30823" xr:uid="{00000000-0005-0000-0000-00003C410000}"/>
    <cellStyle name="Normal 2 3 4 2 3 4" xfId="21793" xr:uid="{00000000-0005-0000-0000-00003D410000}"/>
    <cellStyle name="Normal 2 3 4 2 4" xfId="3235" xr:uid="{00000000-0005-0000-0000-00003E410000}"/>
    <cellStyle name="Normal 2 3 4 2 4 2" xfId="7717" xr:uid="{00000000-0005-0000-0000-00003F410000}"/>
    <cellStyle name="Normal 2 3 4 2 4 2 2" xfId="16747" xr:uid="{00000000-0005-0000-0000-000040410000}"/>
    <cellStyle name="Normal 2 3 4 2 4 2 2 2" xfId="36799" xr:uid="{00000000-0005-0000-0000-000041410000}"/>
    <cellStyle name="Normal 2 3 4 2 4 2 3" xfId="27769" xr:uid="{00000000-0005-0000-0000-000042410000}"/>
    <cellStyle name="Normal 2 3 4 2 4 3" xfId="12265" xr:uid="{00000000-0005-0000-0000-000043410000}"/>
    <cellStyle name="Normal 2 3 4 2 4 3 2" xfId="32317" xr:uid="{00000000-0005-0000-0000-000044410000}"/>
    <cellStyle name="Normal 2 3 4 2 4 4" xfId="23287" xr:uid="{00000000-0005-0000-0000-000045410000}"/>
    <cellStyle name="Normal 2 3 4 2 5" xfId="4729" xr:uid="{00000000-0005-0000-0000-000046410000}"/>
    <cellStyle name="Normal 2 3 4 2 5 2" xfId="13759" xr:uid="{00000000-0005-0000-0000-000047410000}"/>
    <cellStyle name="Normal 2 3 4 2 5 2 2" xfId="33811" xr:uid="{00000000-0005-0000-0000-000048410000}"/>
    <cellStyle name="Normal 2 3 4 2 5 3" xfId="24781" xr:uid="{00000000-0005-0000-0000-000049410000}"/>
    <cellStyle name="Normal 2 3 4 2 6" xfId="9277" xr:uid="{00000000-0005-0000-0000-00004A410000}"/>
    <cellStyle name="Normal 2 3 4 2 6 2" xfId="29329" xr:uid="{00000000-0005-0000-0000-00004B410000}"/>
    <cellStyle name="Normal 2 3 4 2 7" xfId="20299" xr:uid="{00000000-0005-0000-0000-00004C410000}"/>
    <cellStyle name="Normal 2 3 4 3" xfId="433" xr:uid="{00000000-0005-0000-0000-00004D410000}"/>
    <cellStyle name="Normal 2 3 4 3 2" xfId="1180" xr:uid="{00000000-0005-0000-0000-00004E410000}"/>
    <cellStyle name="Normal 2 3 4 3 2 2" xfId="2674" xr:uid="{00000000-0005-0000-0000-00004F410000}"/>
    <cellStyle name="Normal 2 3 4 3 2 2 2" xfId="7156" xr:uid="{00000000-0005-0000-0000-000050410000}"/>
    <cellStyle name="Normal 2 3 4 3 2 2 2 2" xfId="16186" xr:uid="{00000000-0005-0000-0000-000051410000}"/>
    <cellStyle name="Normal 2 3 4 3 2 2 2 2 2" xfId="36238" xr:uid="{00000000-0005-0000-0000-000052410000}"/>
    <cellStyle name="Normal 2 3 4 3 2 2 2 3" xfId="27208" xr:uid="{00000000-0005-0000-0000-000053410000}"/>
    <cellStyle name="Normal 2 3 4 3 2 2 3" xfId="11704" xr:uid="{00000000-0005-0000-0000-000054410000}"/>
    <cellStyle name="Normal 2 3 4 3 2 2 3 2" xfId="31756" xr:uid="{00000000-0005-0000-0000-000055410000}"/>
    <cellStyle name="Normal 2 3 4 3 2 2 4" xfId="22726" xr:uid="{00000000-0005-0000-0000-000056410000}"/>
    <cellStyle name="Normal 2 3 4 3 2 3" xfId="4168" xr:uid="{00000000-0005-0000-0000-000057410000}"/>
    <cellStyle name="Normal 2 3 4 3 2 3 2" xfId="8650" xr:uid="{00000000-0005-0000-0000-000058410000}"/>
    <cellStyle name="Normal 2 3 4 3 2 3 2 2" xfId="17680" xr:uid="{00000000-0005-0000-0000-000059410000}"/>
    <cellStyle name="Normal 2 3 4 3 2 3 2 2 2" xfId="37732" xr:uid="{00000000-0005-0000-0000-00005A410000}"/>
    <cellStyle name="Normal 2 3 4 3 2 3 2 3" xfId="28702" xr:uid="{00000000-0005-0000-0000-00005B410000}"/>
    <cellStyle name="Normal 2 3 4 3 2 3 3" xfId="13198" xr:uid="{00000000-0005-0000-0000-00005C410000}"/>
    <cellStyle name="Normal 2 3 4 3 2 3 3 2" xfId="33250" xr:uid="{00000000-0005-0000-0000-00005D410000}"/>
    <cellStyle name="Normal 2 3 4 3 2 3 4" xfId="24220" xr:uid="{00000000-0005-0000-0000-00005E410000}"/>
    <cellStyle name="Normal 2 3 4 3 2 4" xfId="5662" xr:uid="{00000000-0005-0000-0000-00005F410000}"/>
    <cellStyle name="Normal 2 3 4 3 2 4 2" xfId="14692" xr:uid="{00000000-0005-0000-0000-000060410000}"/>
    <cellStyle name="Normal 2 3 4 3 2 4 2 2" xfId="34744" xr:uid="{00000000-0005-0000-0000-000061410000}"/>
    <cellStyle name="Normal 2 3 4 3 2 4 3" xfId="25714" xr:uid="{00000000-0005-0000-0000-000062410000}"/>
    <cellStyle name="Normal 2 3 4 3 2 5" xfId="10210" xr:uid="{00000000-0005-0000-0000-000063410000}"/>
    <cellStyle name="Normal 2 3 4 3 2 5 2" xfId="30262" xr:uid="{00000000-0005-0000-0000-000064410000}"/>
    <cellStyle name="Normal 2 3 4 3 2 6" xfId="21232" xr:uid="{00000000-0005-0000-0000-000065410000}"/>
    <cellStyle name="Normal 2 3 4 3 3" xfId="1927" xr:uid="{00000000-0005-0000-0000-000066410000}"/>
    <cellStyle name="Normal 2 3 4 3 3 2" xfId="6409" xr:uid="{00000000-0005-0000-0000-000067410000}"/>
    <cellStyle name="Normal 2 3 4 3 3 2 2" xfId="15439" xr:uid="{00000000-0005-0000-0000-000068410000}"/>
    <cellStyle name="Normal 2 3 4 3 3 2 2 2" xfId="35491" xr:uid="{00000000-0005-0000-0000-000069410000}"/>
    <cellStyle name="Normal 2 3 4 3 3 2 3" xfId="26461" xr:uid="{00000000-0005-0000-0000-00006A410000}"/>
    <cellStyle name="Normal 2 3 4 3 3 3" xfId="10957" xr:uid="{00000000-0005-0000-0000-00006B410000}"/>
    <cellStyle name="Normal 2 3 4 3 3 3 2" xfId="31009" xr:uid="{00000000-0005-0000-0000-00006C410000}"/>
    <cellStyle name="Normal 2 3 4 3 3 4" xfId="21979" xr:uid="{00000000-0005-0000-0000-00006D410000}"/>
    <cellStyle name="Normal 2 3 4 3 4" xfId="3421" xr:uid="{00000000-0005-0000-0000-00006E410000}"/>
    <cellStyle name="Normal 2 3 4 3 4 2" xfId="7903" xr:uid="{00000000-0005-0000-0000-00006F410000}"/>
    <cellStyle name="Normal 2 3 4 3 4 2 2" xfId="16933" xr:uid="{00000000-0005-0000-0000-000070410000}"/>
    <cellStyle name="Normal 2 3 4 3 4 2 2 2" xfId="36985" xr:uid="{00000000-0005-0000-0000-000071410000}"/>
    <cellStyle name="Normal 2 3 4 3 4 2 3" xfId="27955" xr:uid="{00000000-0005-0000-0000-000072410000}"/>
    <cellStyle name="Normal 2 3 4 3 4 3" xfId="12451" xr:uid="{00000000-0005-0000-0000-000073410000}"/>
    <cellStyle name="Normal 2 3 4 3 4 3 2" xfId="32503" xr:uid="{00000000-0005-0000-0000-000074410000}"/>
    <cellStyle name="Normal 2 3 4 3 4 4" xfId="23473" xr:uid="{00000000-0005-0000-0000-000075410000}"/>
    <cellStyle name="Normal 2 3 4 3 5" xfId="4915" xr:uid="{00000000-0005-0000-0000-000076410000}"/>
    <cellStyle name="Normal 2 3 4 3 5 2" xfId="13945" xr:uid="{00000000-0005-0000-0000-000077410000}"/>
    <cellStyle name="Normal 2 3 4 3 5 2 2" xfId="33997" xr:uid="{00000000-0005-0000-0000-000078410000}"/>
    <cellStyle name="Normal 2 3 4 3 5 3" xfId="24967" xr:uid="{00000000-0005-0000-0000-000079410000}"/>
    <cellStyle name="Normal 2 3 4 3 6" xfId="9463" xr:uid="{00000000-0005-0000-0000-00007A410000}"/>
    <cellStyle name="Normal 2 3 4 3 6 2" xfId="29515" xr:uid="{00000000-0005-0000-0000-00007B410000}"/>
    <cellStyle name="Normal 2 3 4 3 7" xfId="20485" xr:uid="{00000000-0005-0000-0000-00007C410000}"/>
    <cellStyle name="Normal 2 3 4 4" xfId="619" xr:uid="{00000000-0005-0000-0000-00007D410000}"/>
    <cellStyle name="Normal 2 3 4 4 2" xfId="1366" xr:uid="{00000000-0005-0000-0000-00007E410000}"/>
    <cellStyle name="Normal 2 3 4 4 2 2" xfId="2860" xr:uid="{00000000-0005-0000-0000-00007F410000}"/>
    <cellStyle name="Normal 2 3 4 4 2 2 2" xfId="7342" xr:uid="{00000000-0005-0000-0000-000080410000}"/>
    <cellStyle name="Normal 2 3 4 4 2 2 2 2" xfId="16372" xr:uid="{00000000-0005-0000-0000-000081410000}"/>
    <cellStyle name="Normal 2 3 4 4 2 2 2 2 2" xfId="36424" xr:uid="{00000000-0005-0000-0000-000082410000}"/>
    <cellStyle name="Normal 2 3 4 4 2 2 2 3" xfId="27394" xr:uid="{00000000-0005-0000-0000-000083410000}"/>
    <cellStyle name="Normal 2 3 4 4 2 2 3" xfId="11890" xr:uid="{00000000-0005-0000-0000-000084410000}"/>
    <cellStyle name="Normal 2 3 4 4 2 2 3 2" xfId="31942" xr:uid="{00000000-0005-0000-0000-000085410000}"/>
    <cellStyle name="Normal 2 3 4 4 2 2 4" xfId="22912" xr:uid="{00000000-0005-0000-0000-000086410000}"/>
    <cellStyle name="Normal 2 3 4 4 2 3" xfId="4354" xr:uid="{00000000-0005-0000-0000-000087410000}"/>
    <cellStyle name="Normal 2 3 4 4 2 3 2" xfId="8836" xr:uid="{00000000-0005-0000-0000-000088410000}"/>
    <cellStyle name="Normal 2 3 4 4 2 3 2 2" xfId="17866" xr:uid="{00000000-0005-0000-0000-000089410000}"/>
    <cellStyle name="Normal 2 3 4 4 2 3 2 2 2" xfId="37918" xr:uid="{00000000-0005-0000-0000-00008A410000}"/>
    <cellStyle name="Normal 2 3 4 4 2 3 2 3" xfId="28888" xr:uid="{00000000-0005-0000-0000-00008B410000}"/>
    <cellStyle name="Normal 2 3 4 4 2 3 3" xfId="13384" xr:uid="{00000000-0005-0000-0000-00008C410000}"/>
    <cellStyle name="Normal 2 3 4 4 2 3 3 2" xfId="33436" xr:uid="{00000000-0005-0000-0000-00008D410000}"/>
    <cellStyle name="Normal 2 3 4 4 2 3 4" xfId="24406" xr:uid="{00000000-0005-0000-0000-00008E410000}"/>
    <cellStyle name="Normal 2 3 4 4 2 4" xfId="5848" xr:uid="{00000000-0005-0000-0000-00008F410000}"/>
    <cellStyle name="Normal 2 3 4 4 2 4 2" xfId="14878" xr:uid="{00000000-0005-0000-0000-000090410000}"/>
    <cellStyle name="Normal 2 3 4 4 2 4 2 2" xfId="34930" xr:uid="{00000000-0005-0000-0000-000091410000}"/>
    <cellStyle name="Normal 2 3 4 4 2 4 3" xfId="25900" xr:uid="{00000000-0005-0000-0000-000092410000}"/>
    <cellStyle name="Normal 2 3 4 4 2 5" xfId="10396" xr:uid="{00000000-0005-0000-0000-000093410000}"/>
    <cellStyle name="Normal 2 3 4 4 2 5 2" xfId="30448" xr:uid="{00000000-0005-0000-0000-000094410000}"/>
    <cellStyle name="Normal 2 3 4 4 2 6" xfId="21418" xr:uid="{00000000-0005-0000-0000-000095410000}"/>
    <cellStyle name="Normal 2 3 4 4 3" xfId="2113" xr:uid="{00000000-0005-0000-0000-000096410000}"/>
    <cellStyle name="Normal 2 3 4 4 3 2" xfId="6595" xr:uid="{00000000-0005-0000-0000-000097410000}"/>
    <cellStyle name="Normal 2 3 4 4 3 2 2" xfId="15625" xr:uid="{00000000-0005-0000-0000-000098410000}"/>
    <cellStyle name="Normal 2 3 4 4 3 2 2 2" xfId="35677" xr:uid="{00000000-0005-0000-0000-000099410000}"/>
    <cellStyle name="Normal 2 3 4 4 3 2 3" xfId="26647" xr:uid="{00000000-0005-0000-0000-00009A410000}"/>
    <cellStyle name="Normal 2 3 4 4 3 3" xfId="11143" xr:uid="{00000000-0005-0000-0000-00009B410000}"/>
    <cellStyle name="Normal 2 3 4 4 3 3 2" xfId="31195" xr:uid="{00000000-0005-0000-0000-00009C410000}"/>
    <cellStyle name="Normal 2 3 4 4 3 4" xfId="22165" xr:uid="{00000000-0005-0000-0000-00009D410000}"/>
    <cellStyle name="Normal 2 3 4 4 4" xfId="3607" xr:uid="{00000000-0005-0000-0000-00009E410000}"/>
    <cellStyle name="Normal 2 3 4 4 4 2" xfId="8089" xr:uid="{00000000-0005-0000-0000-00009F410000}"/>
    <cellStyle name="Normal 2 3 4 4 4 2 2" xfId="17119" xr:uid="{00000000-0005-0000-0000-0000A0410000}"/>
    <cellStyle name="Normal 2 3 4 4 4 2 2 2" xfId="37171" xr:uid="{00000000-0005-0000-0000-0000A1410000}"/>
    <cellStyle name="Normal 2 3 4 4 4 2 3" xfId="28141" xr:uid="{00000000-0005-0000-0000-0000A2410000}"/>
    <cellStyle name="Normal 2 3 4 4 4 3" xfId="12637" xr:uid="{00000000-0005-0000-0000-0000A3410000}"/>
    <cellStyle name="Normal 2 3 4 4 4 3 2" xfId="32689" xr:uid="{00000000-0005-0000-0000-0000A4410000}"/>
    <cellStyle name="Normal 2 3 4 4 4 4" xfId="23659" xr:uid="{00000000-0005-0000-0000-0000A5410000}"/>
    <cellStyle name="Normal 2 3 4 4 5" xfId="5101" xr:uid="{00000000-0005-0000-0000-0000A6410000}"/>
    <cellStyle name="Normal 2 3 4 4 5 2" xfId="14131" xr:uid="{00000000-0005-0000-0000-0000A7410000}"/>
    <cellStyle name="Normal 2 3 4 4 5 2 2" xfId="34183" xr:uid="{00000000-0005-0000-0000-0000A8410000}"/>
    <cellStyle name="Normal 2 3 4 4 5 3" xfId="25153" xr:uid="{00000000-0005-0000-0000-0000A9410000}"/>
    <cellStyle name="Normal 2 3 4 4 6" xfId="9649" xr:uid="{00000000-0005-0000-0000-0000AA410000}"/>
    <cellStyle name="Normal 2 3 4 4 6 2" xfId="29701" xr:uid="{00000000-0005-0000-0000-0000AB410000}"/>
    <cellStyle name="Normal 2 3 4 4 7" xfId="20671" xr:uid="{00000000-0005-0000-0000-0000AC410000}"/>
    <cellStyle name="Normal 2 3 4 5" xfId="806" xr:uid="{00000000-0005-0000-0000-0000AD410000}"/>
    <cellStyle name="Normal 2 3 4 5 2" xfId="2300" xr:uid="{00000000-0005-0000-0000-0000AE410000}"/>
    <cellStyle name="Normal 2 3 4 5 2 2" xfId="6782" xr:uid="{00000000-0005-0000-0000-0000AF410000}"/>
    <cellStyle name="Normal 2 3 4 5 2 2 2" xfId="15812" xr:uid="{00000000-0005-0000-0000-0000B0410000}"/>
    <cellStyle name="Normal 2 3 4 5 2 2 2 2" xfId="35864" xr:uid="{00000000-0005-0000-0000-0000B1410000}"/>
    <cellStyle name="Normal 2 3 4 5 2 2 3" xfId="26834" xr:uid="{00000000-0005-0000-0000-0000B2410000}"/>
    <cellStyle name="Normal 2 3 4 5 2 3" xfId="11330" xr:uid="{00000000-0005-0000-0000-0000B3410000}"/>
    <cellStyle name="Normal 2 3 4 5 2 3 2" xfId="31382" xr:uid="{00000000-0005-0000-0000-0000B4410000}"/>
    <cellStyle name="Normal 2 3 4 5 2 4" xfId="22352" xr:uid="{00000000-0005-0000-0000-0000B5410000}"/>
    <cellStyle name="Normal 2 3 4 5 3" xfId="3794" xr:uid="{00000000-0005-0000-0000-0000B6410000}"/>
    <cellStyle name="Normal 2 3 4 5 3 2" xfId="8276" xr:uid="{00000000-0005-0000-0000-0000B7410000}"/>
    <cellStyle name="Normal 2 3 4 5 3 2 2" xfId="17306" xr:uid="{00000000-0005-0000-0000-0000B8410000}"/>
    <cellStyle name="Normal 2 3 4 5 3 2 2 2" xfId="37358" xr:uid="{00000000-0005-0000-0000-0000B9410000}"/>
    <cellStyle name="Normal 2 3 4 5 3 2 3" xfId="28328" xr:uid="{00000000-0005-0000-0000-0000BA410000}"/>
    <cellStyle name="Normal 2 3 4 5 3 3" xfId="12824" xr:uid="{00000000-0005-0000-0000-0000BB410000}"/>
    <cellStyle name="Normal 2 3 4 5 3 3 2" xfId="32876" xr:uid="{00000000-0005-0000-0000-0000BC410000}"/>
    <cellStyle name="Normal 2 3 4 5 3 4" xfId="23846" xr:uid="{00000000-0005-0000-0000-0000BD410000}"/>
    <cellStyle name="Normal 2 3 4 5 4" xfId="5288" xr:uid="{00000000-0005-0000-0000-0000BE410000}"/>
    <cellStyle name="Normal 2 3 4 5 4 2" xfId="14318" xr:uid="{00000000-0005-0000-0000-0000BF410000}"/>
    <cellStyle name="Normal 2 3 4 5 4 2 2" xfId="34370" xr:uid="{00000000-0005-0000-0000-0000C0410000}"/>
    <cellStyle name="Normal 2 3 4 5 4 3" xfId="25340" xr:uid="{00000000-0005-0000-0000-0000C1410000}"/>
    <cellStyle name="Normal 2 3 4 5 5" xfId="9836" xr:uid="{00000000-0005-0000-0000-0000C2410000}"/>
    <cellStyle name="Normal 2 3 4 5 5 2" xfId="29888" xr:uid="{00000000-0005-0000-0000-0000C3410000}"/>
    <cellStyle name="Normal 2 3 4 5 6" xfId="20858" xr:uid="{00000000-0005-0000-0000-0000C4410000}"/>
    <cellStyle name="Normal 2 3 4 6" xfId="1555" xr:uid="{00000000-0005-0000-0000-0000C5410000}"/>
    <cellStyle name="Normal 2 3 4 6 2" xfId="6037" xr:uid="{00000000-0005-0000-0000-0000C6410000}"/>
    <cellStyle name="Normal 2 3 4 6 2 2" xfId="15067" xr:uid="{00000000-0005-0000-0000-0000C7410000}"/>
    <cellStyle name="Normal 2 3 4 6 2 2 2" xfId="35119" xr:uid="{00000000-0005-0000-0000-0000C8410000}"/>
    <cellStyle name="Normal 2 3 4 6 2 3" xfId="26089" xr:uid="{00000000-0005-0000-0000-0000C9410000}"/>
    <cellStyle name="Normal 2 3 4 6 3" xfId="10585" xr:uid="{00000000-0005-0000-0000-0000CA410000}"/>
    <cellStyle name="Normal 2 3 4 6 3 2" xfId="30637" xr:uid="{00000000-0005-0000-0000-0000CB410000}"/>
    <cellStyle name="Normal 2 3 4 6 4" xfId="21607" xr:uid="{00000000-0005-0000-0000-0000CC410000}"/>
    <cellStyle name="Normal 2 3 4 7" xfId="3049" xr:uid="{00000000-0005-0000-0000-0000CD410000}"/>
    <cellStyle name="Normal 2 3 4 7 2" xfId="7531" xr:uid="{00000000-0005-0000-0000-0000CE410000}"/>
    <cellStyle name="Normal 2 3 4 7 2 2" xfId="16561" xr:uid="{00000000-0005-0000-0000-0000CF410000}"/>
    <cellStyle name="Normal 2 3 4 7 2 2 2" xfId="36613" xr:uid="{00000000-0005-0000-0000-0000D0410000}"/>
    <cellStyle name="Normal 2 3 4 7 2 3" xfId="27583" xr:uid="{00000000-0005-0000-0000-0000D1410000}"/>
    <cellStyle name="Normal 2 3 4 7 3" xfId="12079" xr:uid="{00000000-0005-0000-0000-0000D2410000}"/>
    <cellStyle name="Normal 2 3 4 7 3 2" xfId="32131" xr:uid="{00000000-0005-0000-0000-0000D3410000}"/>
    <cellStyle name="Normal 2 3 4 7 4" xfId="23101" xr:uid="{00000000-0005-0000-0000-0000D4410000}"/>
    <cellStyle name="Normal 2 3 4 8" xfId="4543" xr:uid="{00000000-0005-0000-0000-0000D5410000}"/>
    <cellStyle name="Normal 2 3 4 8 2" xfId="13573" xr:uid="{00000000-0005-0000-0000-0000D6410000}"/>
    <cellStyle name="Normal 2 3 4 8 2 2" xfId="33625" xr:uid="{00000000-0005-0000-0000-0000D7410000}"/>
    <cellStyle name="Normal 2 3 4 8 3" xfId="24595" xr:uid="{00000000-0005-0000-0000-0000D8410000}"/>
    <cellStyle name="Normal 2 3 4 9" xfId="9091" xr:uid="{00000000-0005-0000-0000-0000D9410000}"/>
    <cellStyle name="Normal 2 3 4 9 2" xfId="29143" xr:uid="{00000000-0005-0000-0000-0000DA410000}"/>
    <cellStyle name="Normal 2 3 5" xfId="85" xr:uid="{00000000-0005-0000-0000-0000DB410000}"/>
    <cellStyle name="Normal 2 3 5 10" xfId="20137" xr:uid="{00000000-0005-0000-0000-0000DC410000}"/>
    <cellStyle name="Normal 2 3 5 2" xfId="271" xr:uid="{00000000-0005-0000-0000-0000DD410000}"/>
    <cellStyle name="Normal 2 3 5 2 2" xfId="1015" xr:uid="{00000000-0005-0000-0000-0000DE410000}"/>
    <cellStyle name="Normal 2 3 5 2 2 2" xfId="2509" xr:uid="{00000000-0005-0000-0000-0000DF410000}"/>
    <cellStyle name="Normal 2 3 5 2 2 2 2" xfId="6991" xr:uid="{00000000-0005-0000-0000-0000E0410000}"/>
    <cellStyle name="Normal 2 3 5 2 2 2 2 2" xfId="16021" xr:uid="{00000000-0005-0000-0000-0000E1410000}"/>
    <cellStyle name="Normal 2 3 5 2 2 2 2 2 2" xfId="36073" xr:uid="{00000000-0005-0000-0000-0000E2410000}"/>
    <cellStyle name="Normal 2 3 5 2 2 2 2 3" xfId="27043" xr:uid="{00000000-0005-0000-0000-0000E3410000}"/>
    <cellStyle name="Normal 2 3 5 2 2 2 3" xfId="11539" xr:uid="{00000000-0005-0000-0000-0000E4410000}"/>
    <cellStyle name="Normal 2 3 5 2 2 2 3 2" xfId="31591" xr:uid="{00000000-0005-0000-0000-0000E5410000}"/>
    <cellStyle name="Normal 2 3 5 2 2 2 4" xfId="22561" xr:uid="{00000000-0005-0000-0000-0000E6410000}"/>
    <cellStyle name="Normal 2 3 5 2 2 3" xfId="4003" xr:uid="{00000000-0005-0000-0000-0000E7410000}"/>
    <cellStyle name="Normal 2 3 5 2 2 3 2" xfId="8485" xr:uid="{00000000-0005-0000-0000-0000E8410000}"/>
    <cellStyle name="Normal 2 3 5 2 2 3 2 2" xfId="17515" xr:uid="{00000000-0005-0000-0000-0000E9410000}"/>
    <cellStyle name="Normal 2 3 5 2 2 3 2 2 2" xfId="37567" xr:uid="{00000000-0005-0000-0000-0000EA410000}"/>
    <cellStyle name="Normal 2 3 5 2 2 3 2 3" xfId="28537" xr:uid="{00000000-0005-0000-0000-0000EB410000}"/>
    <cellStyle name="Normal 2 3 5 2 2 3 3" xfId="13033" xr:uid="{00000000-0005-0000-0000-0000EC410000}"/>
    <cellStyle name="Normal 2 3 5 2 2 3 3 2" xfId="33085" xr:uid="{00000000-0005-0000-0000-0000ED410000}"/>
    <cellStyle name="Normal 2 3 5 2 2 3 4" xfId="24055" xr:uid="{00000000-0005-0000-0000-0000EE410000}"/>
    <cellStyle name="Normal 2 3 5 2 2 4" xfId="5497" xr:uid="{00000000-0005-0000-0000-0000EF410000}"/>
    <cellStyle name="Normal 2 3 5 2 2 4 2" xfId="14527" xr:uid="{00000000-0005-0000-0000-0000F0410000}"/>
    <cellStyle name="Normal 2 3 5 2 2 4 2 2" xfId="34579" xr:uid="{00000000-0005-0000-0000-0000F1410000}"/>
    <cellStyle name="Normal 2 3 5 2 2 4 3" xfId="25549" xr:uid="{00000000-0005-0000-0000-0000F2410000}"/>
    <cellStyle name="Normal 2 3 5 2 2 5" xfId="10045" xr:uid="{00000000-0005-0000-0000-0000F3410000}"/>
    <cellStyle name="Normal 2 3 5 2 2 5 2" xfId="30097" xr:uid="{00000000-0005-0000-0000-0000F4410000}"/>
    <cellStyle name="Normal 2 3 5 2 2 6" xfId="21067" xr:uid="{00000000-0005-0000-0000-0000F5410000}"/>
    <cellStyle name="Normal 2 3 5 2 3" xfId="1765" xr:uid="{00000000-0005-0000-0000-0000F6410000}"/>
    <cellStyle name="Normal 2 3 5 2 3 2" xfId="6247" xr:uid="{00000000-0005-0000-0000-0000F7410000}"/>
    <cellStyle name="Normal 2 3 5 2 3 2 2" xfId="15277" xr:uid="{00000000-0005-0000-0000-0000F8410000}"/>
    <cellStyle name="Normal 2 3 5 2 3 2 2 2" xfId="35329" xr:uid="{00000000-0005-0000-0000-0000F9410000}"/>
    <cellStyle name="Normal 2 3 5 2 3 2 3" xfId="26299" xr:uid="{00000000-0005-0000-0000-0000FA410000}"/>
    <cellStyle name="Normal 2 3 5 2 3 3" xfId="10795" xr:uid="{00000000-0005-0000-0000-0000FB410000}"/>
    <cellStyle name="Normal 2 3 5 2 3 3 2" xfId="30847" xr:uid="{00000000-0005-0000-0000-0000FC410000}"/>
    <cellStyle name="Normal 2 3 5 2 3 4" xfId="21817" xr:uid="{00000000-0005-0000-0000-0000FD410000}"/>
    <cellStyle name="Normal 2 3 5 2 4" xfId="3259" xr:uid="{00000000-0005-0000-0000-0000FE410000}"/>
    <cellStyle name="Normal 2 3 5 2 4 2" xfId="7741" xr:uid="{00000000-0005-0000-0000-0000FF410000}"/>
    <cellStyle name="Normal 2 3 5 2 4 2 2" xfId="16771" xr:uid="{00000000-0005-0000-0000-000000420000}"/>
    <cellStyle name="Normal 2 3 5 2 4 2 2 2" xfId="36823" xr:uid="{00000000-0005-0000-0000-000001420000}"/>
    <cellStyle name="Normal 2 3 5 2 4 2 3" xfId="27793" xr:uid="{00000000-0005-0000-0000-000002420000}"/>
    <cellStyle name="Normal 2 3 5 2 4 3" xfId="12289" xr:uid="{00000000-0005-0000-0000-000003420000}"/>
    <cellStyle name="Normal 2 3 5 2 4 3 2" xfId="32341" xr:uid="{00000000-0005-0000-0000-000004420000}"/>
    <cellStyle name="Normal 2 3 5 2 4 4" xfId="23311" xr:uid="{00000000-0005-0000-0000-000005420000}"/>
    <cellStyle name="Normal 2 3 5 2 5" xfId="4753" xr:uid="{00000000-0005-0000-0000-000006420000}"/>
    <cellStyle name="Normal 2 3 5 2 5 2" xfId="13783" xr:uid="{00000000-0005-0000-0000-000007420000}"/>
    <cellStyle name="Normal 2 3 5 2 5 2 2" xfId="33835" xr:uid="{00000000-0005-0000-0000-000008420000}"/>
    <cellStyle name="Normal 2 3 5 2 5 3" xfId="24805" xr:uid="{00000000-0005-0000-0000-000009420000}"/>
    <cellStyle name="Normal 2 3 5 2 6" xfId="9301" xr:uid="{00000000-0005-0000-0000-00000A420000}"/>
    <cellStyle name="Normal 2 3 5 2 6 2" xfId="29353" xr:uid="{00000000-0005-0000-0000-00000B420000}"/>
    <cellStyle name="Normal 2 3 5 2 7" xfId="20323" xr:uid="{00000000-0005-0000-0000-00000C420000}"/>
    <cellStyle name="Normal 2 3 5 3" xfId="457" xr:uid="{00000000-0005-0000-0000-00000D420000}"/>
    <cellStyle name="Normal 2 3 5 3 2" xfId="1204" xr:uid="{00000000-0005-0000-0000-00000E420000}"/>
    <cellStyle name="Normal 2 3 5 3 2 2" xfId="2698" xr:uid="{00000000-0005-0000-0000-00000F420000}"/>
    <cellStyle name="Normal 2 3 5 3 2 2 2" xfId="7180" xr:uid="{00000000-0005-0000-0000-000010420000}"/>
    <cellStyle name="Normal 2 3 5 3 2 2 2 2" xfId="16210" xr:uid="{00000000-0005-0000-0000-000011420000}"/>
    <cellStyle name="Normal 2 3 5 3 2 2 2 2 2" xfId="36262" xr:uid="{00000000-0005-0000-0000-000012420000}"/>
    <cellStyle name="Normal 2 3 5 3 2 2 2 3" xfId="27232" xr:uid="{00000000-0005-0000-0000-000013420000}"/>
    <cellStyle name="Normal 2 3 5 3 2 2 3" xfId="11728" xr:uid="{00000000-0005-0000-0000-000014420000}"/>
    <cellStyle name="Normal 2 3 5 3 2 2 3 2" xfId="31780" xr:uid="{00000000-0005-0000-0000-000015420000}"/>
    <cellStyle name="Normal 2 3 5 3 2 2 4" xfId="22750" xr:uid="{00000000-0005-0000-0000-000016420000}"/>
    <cellStyle name="Normal 2 3 5 3 2 3" xfId="4192" xr:uid="{00000000-0005-0000-0000-000017420000}"/>
    <cellStyle name="Normal 2 3 5 3 2 3 2" xfId="8674" xr:uid="{00000000-0005-0000-0000-000018420000}"/>
    <cellStyle name="Normal 2 3 5 3 2 3 2 2" xfId="17704" xr:uid="{00000000-0005-0000-0000-000019420000}"/>
    <cellStyle name="Normal 2 3 5 3 2 3 2 2 2" xfId="37756" xr:uid="{00000000-0005-0000-0000-00001A420000}"/>
    <cellStyle name="Normal 2 3 5 3 2 3 2 3" xfId="28726" xr:uid="{00000000-0005-0000-0000-00001B420000}"/>
    <cellStyle name="Normal 2 3 5 3 2 3 3" xfId="13222" xr:uid="{00000000-0005-0000-0000-00001C420000}"/>
    <cellStyle name="Normal 2 3 5 3 2 3 3 2" xfId="33274" xr:uid="{00000000-0005-0000-0000-00001D420000}"/>
    <cellStyle name="Normal 2 3 5 3 2 3 4" xfId="24244" xr:uid="{00000000-0005-0000-0000-00001E420000}"/>
    <cellStyle name="Normal 2 3 5 3 2 4" xfId="5686" xr:uid="{00000000-0005-0000-0000-00001F420000}"/>
    <cellStyle name="Normal 2 3 5 3 2 4 2" xfId="14716" xr:uid="{00000000-0005-0000-0000-000020420000}"/>
    <cellStyle name="Normal 2 3 5 3 2 4 2 2" xfId="34768" xr:uid="{00000000-0005-0000-0000-000021420000}"/>
    <cellStyle name="Normal 2 3 5 3 2 4 3" xfId="25738" xr:uid="{00000000-0005-0000-0000-000022420000}"/>
    <cellStyle name="Normal 2 3 5 3 2 5" xfId="10234" xr:uid="{00000000-0005-0000-0000-000023420000}"/>
    <cellStyle name="Normal 2 3 5 3 2 5 2" xfId="30286" xr:uid="{00000000-0005-0000-0000-000024420000}"/>
    <cellStyle name="Normal 2 3 5 3 2 6" xfId="21256" xr:uid="{00000000-0005-0000-0000-000025420000}"/>
    <cellStyle name="Normal 2 3 5 3 3" xfId="1951" xr:uid="{00000000-0005-0000-0000-000026420000}"/>
    <cellStyle name="Normal 2 3 5 3 3 2" xfId="6433" xr:uid="{00000000-0005-0000-0000-000027420000}"/>
    <cellStyle name="Normal 2 3 5 3 3 2 2" xfId="15463" xr:uid="{00000000-0005-0000-0000-000028420000}"/>
    <cellStyle name="Normal 2 3 5 3 3 2 2 2" xfId="35515" xr:uid="{00000000-0005-0000-0000-000029420000}"/>
    <cellStyle name="Normal 2 3 5 3 3 2 3" xfId="26485" xr:uid="{00000000-0005-0000-0000-00002A420000}"/>
    <cellStyle name="Normal 2 3 5 3 3 3" xfId="10981" xr:uid="{00000000-0005-0000-0000-00002B420000}"/>
    <cellStyle name="Normal 2 3 5 3 3 3 2" xfId="31033" xr:uid="{00000000-0005-0000-0000-00002C420000}"/>
    <cellStyle name="Normal 2 3 5 3 3 4" xfId="22003" xr:uid="{00000000-0005-0000-0000-00002D420000}"/>
    <cellStyle name="Normal 2 3 5 3 4" xfId="3445" xr:uid="{00000000-0005-0000-0000-00002E420000}"/>
    <cellStyle name="Normal 2 3 5 3 4 2" xfId="7927" xr:uid="{00000000-0005-0000-0000-00002F420000}"/>
    <cellStyle name="Normal 2 3 5 3 4 2 2" xfId="16957" xr:uid="{00000000-0005-0000-0000-000030420000}"/>
    <cellStyle name="Normal 2 3 5 3 4 2 2 2" xfId="37009" xr:uid="{00000000-0005-0000-0000-000031420000}"/>
    <cellStyle name="Normal 2 3 5 3 4 2 3" xfId="27979" xr:uid="{00000000-0005-0000-0000-000032420000}"/>
    <cellStyle name="Normal 2 3 5 3 4 3" xfId="12475" xr:uid="{00000000-0005-0000-0000-000033420000}"/>
    <cellStyle name="Normal 2 3 5 3 4 3 2" xfId="32527" xr:uid="{00000000-0005-0000-0000-000034420000}"/>
    <cellStyle name="Normal 2 3 5 3 4 4" xfId="23497" xr:uid="{00000000-0005-0000-0000-000035420000}"/>
    <cellStyle name="Normal 2 3 5 3 5" xfId="4939" xr:uid="{00000000-0005-0000-0000-000036420000}"/>
    <cellStyle name="Normal 2 3 5 3 5 2" xfId="13969" xr:uid="{00000000-0005-0000-0000-000037420000}"/>
    <cellStyle name="Normal 2 3 5 3 5 2 2" xfId="34021" xr:uid="{00000000-0005-0000-0000-000038420000}"/>
    <cellStyle name="Normal 2 3 5 3 5 3" xfId="24991" xr:uid="{00000000-0005-0000-0000-000039420000}"/>
    <cellStyle name="Normal 2 3 5 3 6" xfId="9487" xr:uid="{00000000-0005-0000-0000-00003A420000}"/>
    <cellStyle name="Normal 2 3 5 3 6 2" xfId="29539" xr:uid="{00000000-0005-0000-0000-00003B420000}"/>
    <cellStyle name="Normal 2 3 5 3 7" xfId="20509" xr:uid="{00000000-0005-0000-0000-00003C420000}"/>
    <cellStyle name="Normal 2 3 5 4" xfId="643" xr:uid="{00000000-0005-0000-0000-00003D420000}"/>
    <cellStyle name="Normal 2 3 5 4 2" xfId="1390" xr:uid="{00000000-0005-0000-0000-00003E420000}"/>
    <cellStyle name="Normal 2 3 5 4 2 2" xfId="2884" xr:uid="{00000000-0005-0000-0000-00003F420000}"/>
    <cellStyle name="Normal 2 3 5 4 2 2 2" xfId="7366" xr:uid="{00000000-0005-0000-0000-000040420000}"/>
    <cellStyle name="Normal 2 3 5 4 2 2 2 2" xfId="16396" xr:uid="{00000000-0005-0000-0000-000041420000}"/>
    <cellStyle name="Normal 2 3 5 4 2 2 2 2 2" xfId="36448" xr:uid="{00000000-0005-0000-0000-000042420000}"/>
    <cellStyle name="Normal 2 3 5 4 2 2 2 3" xfId="27418" xr:uid="{00000000-0005-0000-0000-000043420000}"/>
    <cellStyle name="Normal 2 3 5 4 2 2 3" xfId="11914" xr:uid="{00000000-0005-0000-0000-000044420000}"/>
    <cellStyle name="Normal 2 3 5 4 2 2 3 2" xfId="31966" xr:uid="{00000000-0005-0000-0000-000045420000}"/>
    <cellStyle name="Normal 2 3 5 4 2 2 4" xfId="22936" xr:uid="{00000000-0005-0000-0000-000046420000}"/>
    <cellStyle name="Normal 2 3 5 4 2 3" xfId="4378" xr:uid="{00000000-0005-0000-0000-000047420000}"/>
    <cellStyle name="Normal 2 3 5 4 2 3 2" xfId="8860" xr:uid="{00000000-0005-0000-0000-000048420000}"/>
    <cellStyle name="Normal 2 3 5 4 2 3 2 2" xfId="17890" xr:uid="{00000000-0005-0000-0000-000049420000}"/>
    <cellStyle name="Normal 2 3 5 4 2 3 2 2 2" xfId="37942" xr:uid="{00000000-0005-0000-0000-00004A420000}"/>
    <cellStyle name="Normal 2 3 5 4 2 3 2 3" xfId="28912" xr:uid="{00000000-0005-0000-0000-00004B420000}"/>
    <cellStyle name="Normal 2 3 5 4 2 3 3" xfId="13408" xr:uid="{00000000-0005-0000-0000-00004C420000}"/>
    <cellStyle name="Normal 2 3 5 4 2 3 3 2" xfId="33460" xr:uid="{00000000-0005-0000-0000-00004D420000}"/>
    <cellStyle name="Normal 2 3 5 4 2 3 4" xfId="24430" xr:uid="{00000000-0005-0000-0000-00004E420000}"/>
    <cellStyle name="Normal 2 3 5 4 2 4" xfId="5872" xr:uid="{00000000-0005-0000-0000-00004F420000}"/>
    <cellStyle name="Normal 2 3 5 4 2 4 2" xfId="14902" xr:uid="{00000000-0005-0000-0000-000050420000}"/>
    <cellStyle name="Normal 2 3 5 4 2 4 2 2" xfId="34954" xr:uid="{00000000-0005-0000-0000-000051420000}"/>
    <cellStyle name="Normal 2 3 5 4 2 4 3" xfId="25924" xr:uid="{00000000-0005-0000-0000-000052420000}"/>
    <cellStyle name="Normal 2 3 5 4 2 5" xfId="10420" xr:uid="{00000000-0005-0000-0000-000053420000}"/>
    <cellStyle name="Normal 2 3 5 4 2 5 2" xfId="30472" xr:uid="{00000000-0005-0000-0000-000054420000}"/>
    <cellStyle name="Normal 2 3 5 4 2 6" xfId="21442" xr:uid="{00000000-0005-0000-0000-000055420000}"/>
    <cellStyle name="Normal 2 3 5 4 3" xfId="2137" xr:uid="{00000000-0005-0000-0000-000056420000}"/>
    <cellStyle name="Normal 2 3 5 4 3 2" xfId="6619" xr:uid="{00000000-0005-0000-0000-000057420000}"/>
    <cellStyle name="Normal 2 3 5 4 3 2 2" xfId="15649" xr:uid="{00000000-0005-0000-0000-000058420000}"/>
    <cellStyle name="Normal 2 3 5 4 3 2 2 2" xfId="35701" xr:uid="{00000000-0005-0000-0000-000059420000}"/>
    <cellStyle name="Normal 2 3 5 4 3 2 3" xfId="26671" xr:uid="{00000000-0005-0000-0000-00005A420000}"/>
    <cellStyle name="Normal 2 3 5 4 3 3" xfId="11167" xr:uid="{00000000-0005-0000-0000-00005B420000}"/>
    <cellStyle name="Normal 2 3 5 4 3 3 2" xfId="31219" xr:uid="{00000000-0005-0000-0000-00005C420000}"/>
    <cellStyle name="Normal 2 3 5 4 3 4" xfId="22189" xr:uid="{00000000-0005-0000-0000-00005D420000}"/>
    <cellStyle name="Normal 2 3 5 4 4" xfId="3631" xr:uid="{00000000-0005-0000-0000-00005E420000}"/>
    <cellStyle name="Normal 2 3 5 4 4 2" xfId="8113" xr:uid="{00000000-0005-0000-0000-00005F420000}"/>
    <cellStyle name="Normal 2 3 5 4 4 2 2" xfId="17143" xr:uid="{00000000-0005-0000-0000-000060420000}"/>
    <cellStyle name="Normal 2 3 5 4 4 2 2 2" xfId="37195" xr:uid="{00000000-0005-0000-0000-000061420000}"/>
    <cellStyle name="Normal 2 3 5 4 4 2 3" xfId="28165" xr:uid="{00000000-0005-0000-0000-000062420000}"/>
    <cellStyle name="Normal 2 3 5 4 4 3" xfId="12661" xr:uid="{00000000-0005-0000-0000-000063420000}"/>
    <cellStyle name="Normal 2 3 5 4 4 3 2" xfId="32713" xr:uid="{00000000-0005-0000-0000-000064420000}"/>
    <cellStyle name="Normal 2 3 5 4 4 4" xfId="23683" xr:uid="{00000000-0005-0000-0000-000065420000}"/>
    <cellStyle name="Normal 2 3 5 4 5" xfId="5125" xr:uid="{00000000-0005-0000-0000-000066420000}"/>
    <cellStyle name="Normal 2 3 5 4 5 2" xfId="14155" xr:uid="{00000000-0005-0000-0000-000067420000}"/>
    <cellStyle name="Normal 2 3 5 4 5 2 2" xfId="34207" xr:uid="{00000000-0005-0000-0000-000068420000}"/>
    <cellStyle name="Normal 2 3 5 4 5 3" xfId="25177" xr:uid="{00000000-0005-0000-0000-000069420000}"/>
    <cellStyle name="Normal 2 3 5 4 6" xfId="9673" xr:uid="{00000000-0005-0000-0000-00006A420000}"/>
    <cellStyle name="Normal 2 3 5 4 6 2" xfId="29725" xr:uid="{00000000-0005-0000-0000-00006B420000}"/>
    <cellStyle name="Normal 2 3 5 4 7" xfId="20695" xr:uid="{00000000-0005-0000-0000-00006C420000}"/>
    <cellStyle name="Normal 2 3 5 5" xfId="830" xr:uid="{00000000-0005-0000-0000-00006D420000}"/>
    <cellStyle name="Normal 2 3 5 5 2" xfId="2324" xr:uid="{00000000-0005-0000-0000-00006E420000}"/>
    <cellStyle name="Normal 2 3 5 5 2 2" xfId="6806" xr:uid="{00000000-0005-0000-0000-00006F420000}"/>
    <cellStyle name="Normal 2 3 5 5 2 2 2" xfId="15836" xr:uid="{00000000-0005-0000-0000-000070420000}"/>
    <cellStyle name="Normal 2 3 5 5 2 2 2 2" xfId="35888" xr:uid="{00000000-0005-0000-0000-000071420000}"/>
    <cellStyle name="Normal 2 3 5 5 2 2 3" xfId="26858" xr:uid="{00000000-0005-0000-0000-000072420000}"/>
    <cellStyle name="Normal 2 3 5 5 2 3" xfId="11354" xr:uid="{00000000-0005-0000-0000-000073420000}"/>
    <cellStyle name="Normal 2 3 5 5 2 3 2" xfId="31406" xr:uid="{00000000-0005-0000-0000-000074420000}"/>
    <cellStyle name="Normal 2 3 5 5 2 4" xfId="22376" xr:uid="{00000000-0005-0000-0000-000075420000}"/>
    <cellStyle name="Normal 2 3 5 5 3" xfId="3818" xr:uid="{00000000-0005-0000-0000-000076420000}"/>
    <cellStyle name="Normal 2 3 5 5 3 2" xfId="8300" xr:uid="{00000000-0005-0000-0000-000077420000}"/>
    <cellStyle name="Normal 2 3 5 5 3 2 2" xfId="17330" xr:uid="{00000000-0005-0000-0000-000078420000}"/>
    <cellStyle name="Normal 2 3 5 5 3 2 2 2" xfId="37382" xr:uid="{00000000-0005-0000-0000-000079420000}"/>
    <cellStyle name="Normal 2 3 5 5 3 2 3" xfId="28352" xr:uid="{00000000-0005-0000-0000-00007A420000}"/>
    <cellStyle name="Normal 2 3 5 5 3 3" xfId="12848" xr:uid="{00000000-0005-0000-0000-00007B420000}"/>
    <cellStyle name="Normal 2 3 5 5 3 3 2" xfId="32900" xr:uid="{00000000-0005-0000-0000-00007C420000}"/>
    <cellStyle name="Normal 2 3 5 5 3 4" xfId="23870" xr:uid="{00000000-0005-0000-0000-00007D420000}"/>
    <cellStyle name="Normal 2 3 5 5 4" xfId="5312" xr:uid="{00000000-0005-0000-0000-00007E420000}"/>
    <cellStyle name="Normal 2 3 5 5 4 2" xfId="14342" xr:uid="{00000000-0005-0000-0000-00007F420000}"/>
    <cellStyle name="Normal 2 3 5 5 4 2 2" xfId="34394" xr:uid="{00000000-0005-0000-0000-000080420000}"/>
    <cellStyle name="Normal 2 3 5 5 4 3" xfId="25364" xr:uid="{00000000-0005-0000-0000-000081420000}"/>
    <cellStyle name="Normal 2 3 5 5 5" xfId="9860" xr:uid="{00000000-0005-0000-0000-000082420000}"/>
    <cellStyle name="Normal 2 3 5 5 5 2" xfId="29912" xr:uid="{00000000-0005-0000-0000-000083420000}"/>
    <cellStyle name="Normal 2 3 5 5 6" xfId="20882" xr:uid="{00000000-0005-0000-0000-000084420000}"/>
    <cellStyle name="Normal 2 3 5 6" xfId="1579" xr:uid="{00000000-0005-0000-0000-000085420000}"/>
    <cellStyle name="Normal 2 3 5 6 2" xfId="6061" xr:uid="{00000000-0005-0000-0000-000086420000}"/>
    <cellStyle name="Normal 2 3 5 6 2 2" xfId="15091" xr:uid="{00000000-0005-0000-0000-000087420000}"/>
    <cellStyle name="Normal 2 3 5 6 2 2 2" xfId="35143" xr:uid="{00000000-0005-0000-0000-000088420000}"/>
    <cellStyle name="Normal 2 3 5 6 2 3" xfId="26113" xr:uid="{00000000-0005-0000-0000-000089420000}"/>
    <cellStyle name="Normal 2 3 5 6 3" xfId="10609" xr:uid="{00000000-0005-0000-0000-00008A420000}"/>
    <cellStyle name="Normal 2 3 5 6 3 2" xfId="30661" xr:uid="{00000000-0005-0000-0000-00008B420000}"/>
    <cellStyle name="Normal 2 3 5 6 4" xfId="21631" xr:uid="{00000000-0005-0000-0000-00008C420000}"/>
    <cellStyle name="Normal 2 3 5 7" xfId="3073" xr:uid="{00000000-0005-0000-0000-00008D420000}"/>
    <cellStyle name="Normal 2 3 5 7 2" xfId="7555" xr:uid="{00000000-0005-0000-0000-00008E420000}"/>
    <cellStyle name="Normal 2 3 5 7 2 2" xfId="16585" xr:uid="{00000000-0005-0000-0000-00008F420000}"/>
    <cellStyle name="Normal 2 3 5 7 2 2 2" xfId="36637" xr:uid="{00000000-0005-0000-0000-000090420000}"/>
    <cellStyle name="Normal 2 3 5 7 2 3" xfId="27607" xr:uid="{00000000-0005-0000-0000-000091420000}"/>
    <cellStyle name="Normal 2 3 5 7 3" xfId="12103" xr:uid="{00000000-0005-0000-0000-000092420000}"/>
    <cellStyle name="Normal 2 3 5 7 3 2" xfId="32155" xr:uid="{00000000-0005-0000-0000-000093420000}"/>
    <cellStyle name="Normal 2 3 5 7 4" xfId="23125" xr:uid="{00000000-0005-0000-0000-000094420000}"/>
    <cellStyle name="Normal 2 3 5 8" xfId="4567" xr:uid="{00000000-0005-0000-0000-000095420000}"/>
    <cellStyle name="Normal 2 3 5 8 2" xfId="13597" xr:uid="{00000000-0005-0000-0000-000096420000}"/>
    <cellStyle name="Normal 2 3 5 8 2 2" xfId="33649" xr:uid="{00000000-0005-0000-0000-000097420000}"/>
    <cellStyle name="Normal 2 3 5 8 3" xfId="24619" xr:uid="{00000000-0005-0000-0000-000098420000}"/>
    <cellStyle name="Normal 2 3 5 9" xfId="9115" xr:uid="{00000000-0005-0000-0000-000099420000}"/>
    <cellStyle name="Normal 2 3 5 9 2" xfId="29167" xr:uid="{00000000-0005-0000-0000-00009A420000}"/>
    <cellStyle name="Normal 2 3 6" xfId="109" xr:uid="{00000000-0005-0000-0000-00009B420000}"/>
    <cellStyle name="Normal 2 3 6 10" xfId="20161" xr:uid="{00000000-0005-0000-0000-00009C420000}"/>
    <cellStyle name="Normal 2 3 6 2" xfId="295" xr:uid="{00000000-0005-0000-0000-00009D420000}"/>
    <cellStyle name="Normal 2 3 6 2 2" xfId="1038" xr:uid="{00000000-0005-0000-0000-00009E420000}"/>
    <cellStyle name="Normal 2 3 6 2 2 2" xfId="2532" xr:uid="{00000000-0005-0000-0000-00009F420000}"/>
    <cellStyle name="Normal 2 3 6 2 2 2 2" xfId="7014" xr:uid="{00000000-0005-0000-0000-0000A0420000}"/>
    <cellStyle name="Normal 2 3 6 2 2 2 2 2" xfId="16044" xr:uid="{00000000-0005-0000-0000-0000A1420000}"/>
    <cellStyle name="Normal 2 3 6 2 2 2 2 2 2" xfId="36096" xr:uid="{00000000-0005-0000-0000-0000A2420000}"/>
    <cellStyle name="Normal 2 3 6 2 2 2 2 3" xfId="27066" xr:uid="{00000000-0005-0000-0000-0000A3420000}"/>
    <cellStyle name="Normal 2 3 6 2 2 2 3" xfId="11562" xr:uid="{00000000-0005-0000-0000-0000A4420000}"/>
    <cellStyle name="Normal 2 3 6 2 2 2 3 2" xfId="31614" xr:uid="{00000000-0005-0000-0000-0000A5420000}"/>
    <cellStyle name="Normal 2 3 6 2 2 2 4" xfId="22584" xr:uid="{00000000-0005-0000-0000-0000A6420000}"/>
    <cellStyle name="Normal 2 3 6 2 2 3" xfId="4026" xr:uid="{00000000-0005-0000-0000-0000A7420000}"/>
    <cellStyle name="Normal 2 3 6 2 2 3 2" xfId="8508" xr:uid="{00000000-0005-0000-0000-0000A8420000}"/>
    <cellStyle name="Normal 2 3 6 2 2 3 2 2" xfId="17538" xr:uid="{00000000-0005-0000-0000-0000A9420000}"/>
    <cellStyle name="Normal 2 3 6 2 2 3 2 2 2" xfId="37590" xr:uid="{00000000-0005-0000-0000-0000AA420000}"/>
    <cellStyle name="Normal 2 3 6 2 2 3 2 3" xfId="28560" xr:uid="{00000000-0005-0000-0000-0000AB420000}"/>
    <cellStyle name="Normal 2 3 6 2 2 3 3" xfId="13056" xr:uid="{00000000-0005-0000-0000-0000AC420000}"/>
    <cellStyle name="Normal 2 3 6 2 2 3 3 2" xfId="33108" xr:uid="{00000000-0005-0000-0000-0000AD420000}"/>
    <cellStyle name="Normal 2 3 6 2 2 3 4" xfId="24078" xr:uid="{00000000-0005-0000-0000-0000AE420000}"/>
    <cellStyle name="Normal 2 3 6 2 2 4" xfId="5520" xr:uid="{00000000-0005-0000-0000-0000AF420000}"/>
    <cellStyle name="Normal 2 3 6 2 2 4 2" xfId="14550" xr:uid="{00000000-0005-0000-0000-0000B0420000}"/>
    <cellStyle name="Normal 2 3 6 2 2 4 2 2" xfId="34602" xr:uid="{00000000-0005-0000-0000-0000B1420000}"/>
    <cellStyle name="Normal 2 3 6 2 2 4 3" xfId="25572" xr:uid="{00000000-0005-0000-0000-0000B2420000}"/>
    <cellStyle name="Normal 2 3 6 2 2 5" xfId="10068" xr:uid="{00000000-0005-0000-0000-0000B3420000}"/>
    <cellStyle name="Normal 2 3 6 2 2 5 2" xfId="30120" xr:uid="{00000000-0005-0000-0000-0000B4420000}"/>
    <cellStyle name="Normal 2 3 6 2 2 6" xfId="21090" xr:uid="{00000000-0005-0000-0000-0000B5420000}"/>
    <cellStyle name="Normal 2 3 6 2 3" xfId="1789" xr:uid="{00000000-0005-0000-0000-0000B6420000}"/>
    <cellStyle name="Normal 2 3 6 2 3 2" xfId="6271" xr:uid="{00000000-0005-0000-0000-0000B7420000}"/>
    <cellStyle name="Normal 2 3 6 2 3 2 2" xfId="15301" xr:uid="{00000000-0005-0000-0000-0000B8420000}"/>
    <cellStyle name="Normal 2 3 6 2 3 2 2 2" xfId="35353" xr:uid="{00000000-0005-0000-0000-0000B9420000}"/>
    <cellStyle name="Normal 2 3 6 2 3 2 3" xfId="26323" xr:uid="{00000000-0005-0000-0000-0000BA420000}"/>
    <cellStyle name="Normal 2 3 6 2 3 3" xfId="10819" xr:uid="{00000000-0005-0000-0000-0000BB420000}"/>
    <cellStyle name="Normal 2 3 6 2 3 3 2" xfId="30871" xr:uid="{00000000-0005-0000-0000-0000BC420000}"/>
    <cellStyle name="Normal 2 3 6 2 3 4" xfId="21841" xr:uid="{00000000-0005-0000-0000-0000BD420000}"/>
    <cellStyle name="Normal 2 3 6 2 4" xfId="3283" xr:uid="{00000000-0005-0000-0000-0000BE420000}"/>
    <cellStyle name="Normal 2 3 6 2 4 2" xfId="7765" xr:uid="{00000000-0005-0000-0000-0000BF420000}"/>
    <cellStyle name="Normal 2 3 6 2 4 2 2" xfId="16795" xr:uid="{00000000-0005-0000-0000-0000C0420000}"/>
    <cellStyle name="Normal 2 3 6 2 4 2 2 2" xfId="36847" xr:uid="{00000000-0005-0000-0000-0000C1420000}"/>
    <cellStyle name="Normal 2 3 6 2 4 2 3" xfId="27817" xr:uid="{00000000-0005-0000-0000-0000C2420000}"/>
    <cellStyle name="Normal 2 3 6 2 4 3" xfId="12313" xr:uid="{00000000-0005-0000-0000-0000C3420000}"/>
    <cellStyle name="Normal 2 3 6 2 4 3 2" xfId="32365" xr:uid="{00000000-0005-0000-0000-0000C4420000}"/>
    <cellStyle name="Normal 2 3 6 2 4 4" xfId="23335" xr:uid="{00000000-0005-0000-0000-0000C5420000}"/>
    <cellStyle name="Normal 2 3 6 2 5" xfId="4777" xr:uid="{00000000-0005-0000-0000-0000C6420000}"/>
    <cellStyle name="Normal 2 3 6 2 5 2" xfId="13807" xr:uid="{00000000-0005-0000-0000-0000C7420000}"/>
    <cellStyle name="Normal 2 3 6 2 5 2 2" xfId="33859" xr:uid="{00000000-0005-0000-0000-0000C8420000}"/>
    <cellStyle name="Normal 2 3 6 2 5 3" xfId="24829" xr:uid="{00000000-0005-0000-0000-0000C9420000}"/>
    <cellStyle name="Normal 2 3 6 2 6" xfId="9325" xr:uid="{00000000-0005-0000-0000-0000CA420000}"/>
    <cellStyle name="Normal 2 3 6 2 6 2" xfId="29377" xr:uid="{00000000-0005-0000-0000-0000CB420000}"/>
    <cellStyle name="Normal 2 3 6 2 7" xfId="20347" xr:uid="{00000000-0005-0000-0000-0000CC420000}"/>
    <cellStyle name="Normal 2 3 6 3" xfId="481" xr:uid="{00000000-0005-0000-0000-0000CD420000}"/>
    <cellStyle name="Normal 2 3 6 3 2" xfId="1228" xr:uid="{00000000-0005-0000-0000-0000CE420000}"/>
    <cellStyle name="Normal 2 3 6 3 2 2" xfId="2722" xr:uid="{00000000-0005-0000-0000-0000CF420000}"/>
    <cellStyle name="Normal 2 3 6 3 2 2 2" xfId="7204" xr:uid="{00000000-0005-0000-0000-0000D0420000}"/>
    <cellStyle name="Normal 2 3 6 3 2 2 2 2" xfId="16234" xr:uid="{00000000-0005-0000-0000-0000D1420000}"/>
    <cellStyle name="Normal 2 3 6 3 2 2 2 2 2" xfId="36286" xr:uid="{00000000-0005-0000-0000-0000D2420000}"/>
    <cellStyle name="Normal 2 3 6 3 2 2 2 3" xfId="27256" xr:uid="{00000000-0005-0000-0000-0000D3420000}"/>
    <cellStyle name="Normal 2 3 6 3 2 2 3" xfId="11752" xr:uid="{00000000-0005-0000-0000-0000D4420000}"/>
    <cellStyle name="Normal 2 3 6 3 2 2 3 2" xfId="31804" xr:uid="{00000000-0005-0000-0000-0000D5420000}"/>
    <cellStyle name="Normal 2 3 6 3 2 2 4" xfId="22774" xr:uid="{00000000-0005-0000-0000-0000D6420000}"/>
    <cellStyle name="Normal 2 3 6 3 2 3" xfId="4216" xr:uid="{00000000-0005-0000-0000-0000D7420000}"/>
    <cellStyle name="Normal 2 3 6 3 2 3 2" xfId="8698" xr:uid="{00000000-0005-0000-0000-0000D8420000}"/>
    <cellStyle name="Normal 2 3 6 3 2 3 2 2" xfId="17728" xr:uid="{00000000-0005-0000-0000-0000D9420000}"/>
    <cellStyle name="Normal 2 3 6 3 2 3 2 2 2" xfId="37780" xr:uid="{00000000-0005-0000-0000-0000DA420000}"/>
    <cellStyle name="Normal 2 3 6 3 2 3 2 3" xfId="28750" xr:uid="{00000000-0005-0000-0000-0000DB420000}"/>
    <cellStyle name="Normal 2 3 6 3 2 3 3" xfId="13246" xr:uid="{00000000-0005-0000-0000-0000DC420000}"/>
    <cellStyle name="Normal 2 3 6 3 2 3 3 2" xfId="33298" xr:uid="{00000000-0005-0000-0000-0000DD420000}"/>
    <cellStyle name="Normal 2 3 6 3 2 3 4" xfId="24268" xr:uid="{00000000-0005-0000-0000-0000DE420000}"/>
    <cellStyle name="Normal 2 3 6 3 2 4" xfId="5710" xr:uid="{00000000-0005-0000-0000-0000DF420000}"/>
    <cellStyle name="Normal 2 3 6 3 2 4 2" xfId="14740" xr:uid="{00000000-0005-0000-0000-0000E0420000}"/>
    <cellStyle name="Normal 2 3 6 3 2 4 2 2" xfId="34792" xr:uid="{00000000-0005-0000-0000-0000E1420000}"/>
    <cellStyle name="Normal 2 3 6 3 2 4 3" xfId="25762" xr:uid="{00000000-0005-0000-0000-0000E2420000}"/>
    <cellStyle name="Normal 2 3 6 3 2 5" xfId="10258" xr:uid="{00000000-0005-0000-0000-0000E3420000}"/>
    <cellStyle name="Normal 2 3 6 3 2 5 2" xfId="30310" xr:uid="{00000000-0005-0000-0000-0000E4420000}"/>
    <cellStyle name="Normal 2 3 6 3 2 6" xfId="21280" xr:uid="{00000000-0005-0000-0000-0000E5420000}"/>
    <cellStyle name="Normal 2 3 6 3 3" xfId="1975" xr:uid="{00000000-0005-0000-0000-0000E6420000}"/>
    <cellStyle name="Normal 2 3 6 3 3 2" xfId="6457" xr:uid="{00000000-0005-0000-0000-0000E7420000}"/>
    <cellStyle name="Normal 2 3 6 3 3 2 2" xfId="15487" xr:uid="{00000000-0005-0000-0000-0000E8420000}"/>
    <cellStyle name="Normal 2 3 6 3 3 2 2 2" xfId="35539" xr:uid="{00000000-0005-0000-0000-0000E9420000}"/>
    <cellStyle name="Normal 2 3 6 3 3 2 3" xfId="26509" xr:uid="{00000000-0005-0000-0000-0000EA420000}"/>
    <cellStyle name="Normal 2 3 6 3 3 3" xfId="11005" xr:uid="{00000000-0005-0000-0000-0000EB420000}"/>
    <cellStyle name="Normal 2 3 6 3 3 3 2" xfId="31057" xr:uid="{00000000-0005-0000-0000-0000EC420000}"/>
    <cellStyle name="Normal 2 3 6 3 3 4" xfId="22027" xr:uid="{00000000-0005-0000-0000-0000ED420000}"/>
    <cellStyle name="Normal 2 3 6 3 4" xfId="3469" xr:uid="{00000000-0005-0000-0000-0000EE420000}"/>
    <cellStyle name="Normal 2 3 6 3 4 2" xfId="7951" xr:uid="{00000000-0005-0000-0000-0000EF420000}"/>
    <cellStyle name="Normal 2 3 6 3 4 2 2" xfId="16981" xr:uid="{00000000-0005-0000-0000-0000F0420000}"/>
    <cellStyle name="Normal 2 3 6 3 4 2 2 2" xfId="37033" xr:uid="{00000000-0005-0000-0000-0000F1420000}"/>
    <cellStyle name="Normal 2 3 6 3 4 2 3" xfId="28003" xr:uid="{00000000-0005-0000-0000-0000F2420000}"/>
    <cellStyle name="Normal 2 3 6 3 4 3" xfId="12499" xr:uid="{00000000-0005-0000-0000-0000F3420000}"/>
    <cellStyle name="Normal 2 3 6 3 4 3 2" xfId="32551" xr:uid="{00000000-0005-0000-0000-0000F4420000}"/>
    <cellStyle name="Normal 2 3 6 3 4 4" xfId="23521" xr:uid="{00000000-0005-0000-0000-0000F5420000}"/>
    <cellStyle name="Normal 2 3 6 3 5" xfId="4963" xr:uid="{00000000-0005-0000-0000-0000F6420000}"/>
    <cellStyle name="Normal 2 3 6 3 5 2" xfId="13993" xr:uid="{00000000-0005-0000-0000-0000F7420000}"/>
    <cellStyle name="Normal 2 3 6 3 5 2 2" xfId="34045" xr:uid="{00000000-0005-0000-0000-0000F8420000}"/>
    <cellStyle name="Normal 2 3 6 3 5 3" xfId="25015" xr:uid="{00000000-0005-0000-0000-0000F9420000}"/>
    <cellStyle name="Normal 2 3 6 3 6" xfId="9511" xr:uid="{00000000-0005-0000-0000-0000FA420000}"/>
    <cellStyle name="Normal 2 3 6 3 6 2" xfId="29563" xr:uid="{00000000-0005-0000-0000-0000FB420000}"/>
    <cellStyle name="Normal 2 3 6 3 7" xfId="20533" xr:uid="{00000000-0005-0000-0000-0000FC420000}"/>
    <cellStyle name="Normal 2 3 6 4" xfId="667" xr:uid="{00000000-0005-0000-0000-0000FD420000}"/>
    <cellStyle name="Normal 2 3 6 4 2" xfId="1414" xr:uid="{00000000-0005-0000-0000-0000FE420000}"/>
    <cellStyle name="Normal 2 3 6 4 2 2" xfId="2908" xr:uid="{00000000-0005-0000-0000-0000FF420000}"/>
    <cellStyle name="Normal 2 3 6 4 2 2 2" xfId="7390" xr:uid="{00000000-0005-0000-0000-000000430000}"/>
    <cellStyle name="Normal 2 3 6 4 2 2 2 2" xfId="16420" xr:uid="{00000000-0005-0000-0000-000001430000}"/>
    <cellStyle name="Normal 2 3 6 4 2 2 2 2 2" xfId="36472" xr:uid="{00000000-0005-0000-0000-000002430000}"/>
    <cellStyle name="Normal 2 3 6 4 2 2 2 3" xfId="27442" xr:uid="{00000000-0005-0000-0000-000003430000}"/>
    <cellStyle name="Normal 2 3 6 4 2 2 3" xfId="11938" xr:uid="{00000000-0005-0000-0000-000004430000}"/>
    <cellStyle name="Normal 2 3 6 4 2 2 3 2" xfId="31990" xr:uid="{00000000-0005-0000-0000-000005430000}"/>
    <cellStyle name="Normal 2 3 6 4 2 2 4" xfId="22960" xr:uid="{00000000-0005-0000-0000-000006430000}"/>
    <cellStyle name="Normal 2 3 6 4 2 3" xfId="4402" xr:uid="{00000000-0005-0000-0000-000007430000}"/>
    <cellStyle name="Normal 2 3 6 4 2 3 2" xfId="8884" xr:uid="{00000000-0005-0000-0000-000008430000}"/>
    <cellStyle name="Normal 2 3 6 4 2 3 2 2" xfId="17914" xr:uid="{00000000-0005-0000-0000-000009430000}"/>
    <cellStyle name="Normal 2 3 6 4 2 3 2 2 2" xfId="37966" xr:uid="{00000000-0005-0000-0000-00000A430000}"/>
    <cellStyle name="Normal 2 3 6 4 2 3 2 3" xfId="28936" xr:uid="{00000000-0005-0000-0000-00000B430000}"/>
    <cellStyle name="Normal 2 3 6 4 2 3 3" xfId="13432" xr:uid="{00000000-0005-0000-0000-00000C430000}"/>
    <cellStyle name="Normal 2 3 6 4 2 3 3 2" xfId="33484" xr:uid="{00000000-0005-0000-0000-00000D430000}"/>
    <cellStyle name="Normal 2 3 6 4 2 3 4" xfId="24454" xr:uid="{00000000-0005-0000-0000-00000E430000}"/>
    <cellStyle name="Normal 2 3 6 4 2 4" xfId="5896" xr:uid="{00000000-0005-0000-0000-00000F430000}"/>
    <cellStyle name="Normal 2 3 6 4 2 4 2" xfId="14926" xr:uid="{00000000-0005-0000-0000-000010430000}"/>
    <cellStyle name="Normal 2 3 6 4 2 4 2 2" xfId="34978" xr:uid="{00000000-0005-0000-0000-000011430000}"/>
    <cellStyle name="Normal 2 3 6 4 2 4 3" xfId="25948" xr:uid="{00000000-0005-0000-0000-000012430000}"/>
    <cellStyle name="Normal 2 3 6 4 2 5" xfId="10444" xr:uid="{00000000-0005-0000-0000-000013430000}"/>
    <cellStyle name="Normal 2 3 6 4 2 5 2" xfId="30496" xr:uid="{00000000-0005-0000-0000-000014430000}"/>
    <cellStyle name="Normal 2 3 6 4 2 6" xfId="21466" xr:uid="{00000000-0005-0000-0000-000015430000}"/>
    <cellStyle name="Normal 2 3 6 4 3" xfId="2161" xr:uid="{00000000-0005-0000-0000-000016430000}"/>
    <cellStyle name="Normal 2 3 6 4 3 2" xfId="6643" xr:uid="{00000000-0005-0000-0000-000017430000}"/>
    <cellStyle name="Normal 2 3 6 4 3 2 2" xfId="15673" xr:uid="{00000000-0005-0000-0000-000018430000}"/>
    <cellStyle name="Normal 2 3 6 4 3 2 2 2" xfId="35725" xr:uid="{00000000-0005-0000-0000-000019430000}"/>
    <cellStyle name="Normal 2 3 6 4 3 2 3" xfId="26695" xr:uid="{00000000-0005-0000-0000-00001A430000}"/>
    <cellStyle name="Normal 2 3 6 4 3 3" xfId="11191" xr:uid="{00000000-0005-0000-0000-00001B430000}"/>
    <cellStyle name="Normal 2 3 6 4 3 3 2" xfId="31243" xr:uid="{00000000-0005-0000-0000-00001C430000}"/>
    <cellStyle name="Normal 2 3 6 4 3 4" xfId="22213" xr:uid="{00000000-0005-0000-0000-00001D430000}"/>
    <cellStyle name="Normal 2 3 6 4 4" xfId="3655" xr:uid="{00000000-0005-0000-0000-00001E430000}"/>
    <cellStyle name="Normal 2 3 6 4 4 2" xfId="8137" xr:uid="{00000000-0005-0000-0000-00001F430000}"/>
    <cellStyle name="Normal 2 3 6 4 4 2 2" xfId="17167" xr:uid="{00000000-0005-0000-0000-000020430000}"/>
    <cellStyle name="Normal 2 3 6 4 4 2 2 2" xfId="37219" xr:uid="{00000000-0005-0000-0000-000021430000}"/>
    <cellStyle name="Normal 2 3 6 4 4 2 3" xfId="28189" xr:uid="{00000000-0005-0000-0000-000022430000}"/>
    <cellStyle name="Normal 2 3 6 4 4 3" xfId="12685" xr:uid="{00000000-0005-0000-0000-000023430000}"/>
    <cellStyle name="Normal 2 3 6 4 4 3 2" xfId="32737" xr:uid="{00000000-0005-0000-0000-000024430000}"/>
    <cellStyle name="Normal 2 3 6 4 4 4" xfId="23707" xr:uid="{00000000-0005-0000-0000-000025430000}"/>
    <cellStyle name="Normal 2 3 6 4 5" xfId="5149" xr:uid="{00000000-0005-0000-0000-000026430000}"/>
    <cellStyle name="Normal 2 3 6 4 5 2" xfId="14179" xr:uid="{00000000-0005-0000-0000-000027430000}"/>
    <cellStyle name="Normal 2 3 6 4 5 2 2" xfId="34231" xr:uid="{00000000-0005-0000-0000-000028430000}"/>
    <cellStyle name="Normal 2 3 6 4 5 3" xfId="25201" xr:uid="{00000000-0005-0000-0000-000029430000}"/>
    <cellStyle name="Normal 2 3 6 4 6" xfId="9697" xr:uid="{00000000-0005-0000-0000-00002A430000}"/>
    <cellStyle name="Normal 2 3 6 4 6 2" xfId="29749" xr:uid="{00000000-0005-0000-0000-00002B430000}"/>
    <cellStyle name="Normal 2 3 6 4 7" xfId="20719" xr:uid="{00000000-0005-0000-0000-00002C430000}"/>
    <cellStyle name="Normal 2 3 6 5" xfId="854" xr:uid="{00000000-0005-0000-0000-00002D430000}"/>
    <cellStyle name="Normal 2 3 6 5 2" xfId="2348" xr:uid="{00000000-0005-0000-0000-00002E430000}"/>
    <cellStyle name="Normal 2 3 6 5 2 2" xfId="6830" xr:uid="{00000000-0005-0000-0000-00002F430000}"/>
    <cellStyle name="Normal 2 3 6 5 2 2 2" xfId="15860" xr:uid="{00000000-0005-0000-0000-000030430000}"/>
    <cellStyle name="Normal 2 3 6 5 2 2 2 2" xfId="35912" xr:uid="{00000000-0005-0000-0000-000031430000}"/>
    <cellStyle name="Normal 2 3 6 5 2 2 3" xfId="26882" xr:uid="{00000000-0005-0000-0000-000032430000}"/>
    <cellStyle name="Normal 2 3 6 5 2 3" xfId="11378" xr:uid="{00000000-0005-0000-0000-000033430000}"/>
    <cellStyle name="Normal 2 3 6 5 2 3 2" xfId="31430" xr:uid="{00000000-0005-0000-0000-000034430000}"/>
    <cellStyle name="Normal 2 3 6 5 2 4" xfId="22400" xr:uid="{00000000-0005-0000-0000-000035430000}"/>
    <cellStyle name="Normal 2 3 6 5 3" xfId="3842" xr:uid="{00000000-0005-0000-0000-000036430000}"/>
    <cellStyle name="Normal 2 3 6 5 3 2" xfId="8324" xr:uid="{00000000-0005-0000-0000-000037430000}"/>
    <cellStyle name="Normal 2 3 6 5 3 2 2" xfId="17354" xr:uid="{00000000-0005-0000-0000-000038430000}"/>
    <cellStyle name="Normal 2 3 6 5 3 2 2 2" xfId="37406" xr:uid="{00000000-0005-0000-0000-000039430000}"/>
    <cellStyle name="Normal 2 3 6 5 3 2 3" xfId="28376" xr:uid="{00000000-0005-0000-0000-00003A430000}"/>
    <cellStyle name="Normal 2 3 6 5 3 3" xfId="12872" xr:uid="{00000000-0005-0000-0000-00003B430000}"/>
    <cellStyle name="Normal 2 3 6 5 3 3 2" xfId="32924" xr:uid="{00000000-0005-0000-0000-00003C430000}"/>
    <cellStyle name="Normal 2 3 6 5 3 4" xfId="23894" xr:uid="{00000000-0005-0000-0000-00003D430000}"/>
    <cellStyle name="Normal 2 3 6 5 4" xfId="5336" xr:uid="{00000000-0005-0000-0000-00003E430000}"/>
    <cellStyle name="Normal 2 3 6 5 4 2" xfId="14366" xr:uid="{00000000-0005-0000-0000-00003F430000}"/>
    <cellStyle name="Normal 2 3 6 5 4 2 2" xfId="34418" xr:uid="{00000000-0005-0000-0000-000040430000}"/>
    <cellStyle name="Normal 2 3 6 5 4 3" xfId="25388" xr:uid="{00000000-0005-0000-0000-000041430000}"/>
    <cellStyle name="Normal 2 3 6 5 5" xfId="9884" xr:uid="{00000000-0005-0000-0000-000042430000}"/>
    <cellStyle name="Normal 2 3 6 5 5 2" xfId="29936" xr:uid="{00000000-0005-0000-0000-000043430000}"/>
    <cellStyle name="Normal 2 3 6 5 6" xfId="20906" xr:uid="{00000000-0005-0000-0000-000044430000}"/>
    <cellStyle name="Normal 2 3 6 6" xfId="1603" xr:uid="{00000000-0005-0000-0000-000045430000}"/>
    <cellStyle name="Normal 2 3 6 6 2" xfId="6085" xr:uid="{00000000-0005-0000-0000-000046430000}"/>
    <cellStyle name="Normal 2 3 6 6 2 2" xfId="15115" xr:uid="{00000000-0005-0000-0000-000047430000}"/>
    <cellStyle name="Normal 2 3 6 6 2 2 2" xfId="35167" xr:uid="{00000000-0005-0000-0000-000048430000}"/>
    <cellStyle name="Normal 2 3 6 6 2 3" xfId="26137" xr:uid="{00000000-0005-0000-0000-000049430000}"/>
    <cellStyle name="Normal 2 3 6 6 3" xfId="10633" xr:uid="{00000000-0005-0000-0000-00004A430000}"/>
    <cellStyle name="Normal 2 3 6 6 3 2" xfId="30685" xr:uid="{00000000-0005-0000-0000-00004B430000}"/>
    <cellStyle name="Normal 2 3 6 6 4" xfId="21655" xr:uid="{00000000-0005-0000-0000-00004C430000}"/>
    <cellStyle name="Normal 2 3 6 7" xfId="3097" xr:uid="{00000000-0005-0000-0000-00004D430000}"/>
    <cellStyle name="Normal 2 3 6 7 2" xfId="7579" xr:uid="{00000000-0005-0000-0000-00004E430000}"/>
    <cellStyle name="Normal 2 3 6 7 2 2" xfId="16609" xr:uid="{00000000-0005-0000-0000-00004F430000}"/>
    <cellStyle name="Normal 2 3 6 7 2 2 2" xfId="36661" xr:uid="{00000000-0005-0000-0000-000050430000}"/>
    <cellStyle name="Normal 2 3 6 7 2 3" xfId="27631" xr:uid="{00000000-0005-0000-0000-000051430000}"/>
    <cellStyle name="Normal 2 3 6 7 3" xfId="12127" xr:uid="{00000000-0005-0000-0000-000052430000}"/>
    <cellStyle name="Normal 2 3 6 7 3 2" xfId="32179" xr:uid="{00000000-0005-0000-0000-000053430000}"/>
    <cellStyle name="Normal 2 3 6 7 4" xfId="23149" xr:uid="{00000000-0005-0000-0000-000054430000}"/>
    <cellStyle name="Normal 2 3 6 8" xfId="4591" xr:uid="{00000000-0005-0000-0000-000055430000}"/>
    <cellStyle name="Normal 2 3 6 8 2" xfId="13621" xr:uid="{00000000-0005-0000-0000-000056430000}"/>
    <cellStyle name="Normal 2 3 6 8 2 2" xfId="33673" xr:uid="{00000000-0005-0000-0000-000057430000}"/>
    <cellStyle name="Normal 2 3 6 8 3" xfId="24643" xr:uid="{00000000-0005-0000-0000-000058430000}"/>
    <cellStyle name="Normal 2 3 6 9" xfId="9139" xr:uid="{00000000-0005-0000-0000-000059430000}"/>
    <cellStyle name="Normal 2 3 6 9 2" xfId="29191" xr:uid="{00000000-0005-0000-0000-00005A430000}"/>
    <cellStyle name="Normal 2 3 7" xfId="132" xr:uid="{00000000-0005-0000-0000-00005B430000}"/>
    <cellStyle name="Normal 2 3 7 10" xfId="20184" xr:uid="{00000000-0005-0000-0000-00005C430000}"/>
    <cellStyle name="Normal 2 3 7 2" xfId="318" xr:uid="{00000000-0005-0000-0000-00005D430000}"/>
    <cellStyle name="Normal 2 3 7 2 2" xfId="1061" xr:uid="{00000000-0005-0000-0000-00005E430000}"/>
    <cellStyle name="Normal 2 3 7 2 2 2" xfId="2555" xr:uid="{00000000-0005-0000-0000-00005F430000}"/>
    <cellStyle name="Normal 2 3 7 2 2 2 2" xfId="7037" xr:uid="{00000000-0005-0000-0000-000060430000}"/>
    <cellStyle name="Normal 2 3 7 2 2 2 2 2" xfId="16067" xr:uid="{00000000-0005-0000-0000-000061430000}"/>
    <cellStyle name="Normal 2 3 7 2 2 2 2 2 2" xfId="36119" xr:uid="{00000000-0005-0000-0000-000062430000}"/>
    <cellStyle name="Normal 2 3 7 2 2 2 2 3" xfId="27089" xr:uid="{00000000-0005-0000-0000-000063430000}"/>
    <cellStyle name="Normal 2 3 7 2 2 2 3" xfId="11585" xr:uid="{00000000-0005-0000-0000-000064430000}"/>
    <cellStyle name="Normal 2 3 7 2 2 2 3 2" xfId="31637" xr:uid="{00000000-0005-0000-0000-000065430000}"/>
    <cellStyle name="Normal 2 3 7 2 2 2 4" xfId="22607" xr:uid="{00000000-0005-0000-0000-000066430000}"/>
    <cellStyle name="Normal 2 3 7 2 2 3" xfId="4049" xr:uid="{00000000-0005-0000-0000-000067430000}"/>
    <cellStyle name="Normal 2 3 7 2 2 3 2" xfId="8531" xr:uid="{00000000-0005-0000-0000-000068430000}"/>
    <cellStyle name="Normal 2 3 7 2 2 3 2 2" xfId="17561" xr:uid="{00000000-0005-0000-0000-000069430000}"/>
    <cellStyle name="Normal 2 3 7 2 2 3 2 2 2" xfId="37613" xr:uid="{00000000-0005-0000-0000-00006A430000}"/>
    <cellStyle name="Normal 2 3 7 2 2 3 2 3" xfId="28583" xr:uid="{00000000-0005-0000-0000-00006B430000}"/>
    <cellStyle name="Normal 2 3 7 2 2 3 3" xfId="13079" xr:uid="{00000000-0005-0000-0000-00006C430000}"/>
    <cellStyle name="Normal 2 3 7 2 2 3 3 2" xfId="33131" xr:uid="{00000000-0005-0000-0000-00006D430000}"/>
    <cellStyle name="Normal 2 3 7 2 2 3 4" xfId="24101" xr:uid="{00000000-0005-0000-0000-00006E430000}"/>
    <cellStyle name="Normal 2 3 7 2 2 4" xfId="5543" xr:uid="{00000000-0005-0000-0000-00006F430000}"/>
    <cellStyle name="Normal 2 3 7 2 2 4 2" xfId="14573" xr:uid="{00000000-0005-0000-0000-000070430000}"/>
    <cellStyle name="Normal 2 3 7 2 2 4 2 2" xfId="34625" xr:uid="{00000000-0005-0000-0000-000071430000}"/>
    <cellStyle name="Normal 2 3 7 2 2 4 3" xfId="25595" xr:uid="{00000000-0005-0000-0000-000072430000}"/>
    <cellStyle name="Normal 2 3 7 2 2 5" xfId="10091" xr:uid="{00000000-0005-0000-0000-000073430000}"/>
    <cellStyle name="Normal 2 3 7 2 2 5 2" xfId="30143" xr:uid="{00000000-0005-0000-0000-000074430000}"/>
    <cellStyle name="Normal 2 3 7 2 2 6" xfId="21113" xr:uid="{00000000-0005-0000-0000-000075430000}"/>
    <cellStyle name="Normal 2 3 7 2 3" xfId="1812" xr:uid="{00000000-0005-0000-0000-000076430000}"/>
    <cellStyle name="Normal 2 3 7 2 3 2" xfId="6294" xr:uid="{00000000-0005-0000-0000-000077430000}"/>
    <cellStyle name="Normal 2 3 7 2 3 2 2" xfId="15324" xr:uid="{00000000-0005-0000-0000-000078430000}"/>
    <cellStyle name="Normal 2 3 7 2 3 2 2 2" xfId="35376" xr:uid="{00000000-0005-0000-0000-000079430000}"/>
    <cellStyle name="Normal 2 3 7 2 3 2 3" xfId="26346" xr:uid="{00000000-0005-0000-0000-00007A430000}"/>
    <cellStyle name="Normal 2 3 7 2 3 3" xfId="10842" xr:uid="{00000000-0005-0000-0000-00007B430000}"/>
    <cellStyle name="Normal 2 3 7 2 3 3 2" xfId="30894" xr:uid="{00000000-0005-0000-0000-00007C430000}"/>
    <cellStyle name="Normal 2 3 7 2 3 4" xfId="21864" xr:uid="{00000000-0005-0000-0000-00007D430000}"/>
    <cellStyle name="Normal 2 3 7 2 4" xfId="3306" xr:uid="{00000000-0005-0000-0000-00007E430000}"/>
    <cellStyle name="Normal 2 3 7 2 4 2" xfId="7788" xr:uid="{00000000-0005-0000-0000-00007F430000}"/>
    <cellStyle name="Normal 2 3 7 2 4 2 2" xfId="16818" xr:uid="{00000000-0005-0000-0000-000080430000}"/>
    <cellStyle name="Normal 2 3 7 2 4 2 2 2" xfId="36870" xr:uid="{00000000-0005-0000-0000-000081430000}"/>
    <cellStyle name="Normal 2 3 7 2 4 2 3" xfId="27840" xr:uid="{00000000-0005-0000-0000-000082430000}"/>
    <cellStyle name="Normal 2 3 7 2 4 3" xfId="12336" xr:uid="{00000000-0005-0000-0000-000083430000}"/>
    <cellStyle name="Normal 2 3 7 2 4 3 2" xfId="32388" xr:uid="{00000000-0005-0000-0000-000084430000}"/>
    <cellStyle name="Normal 2 3 7 2 4 4" xfId="23358" xr:uid="{00000000-0005-0000-0000-000085430000}"/>
    <cellStyle name="Normal 2 3 7 2 5" xfId="4800" xr:uid="{00000000-0005-0000-0000-000086430000}"/>
    <cellStyle name="Normal 2 3 7 2 5 2" xfId="13830" xr:uid="{00000000-0005-0000-0000-000087430000}"/>
    <cellStyle name="Normal 2 3 7 2 5 2 2" xfId="33882" xr:uid="{00000000-0005-0000-0000-000088430000}"/>
    <cellStyle name="Normal 2 3 7 2 5 3" xfId="24852" xr:uid="{00000000-0005-0000-0000-000089430000}"/>
    <cellStyle name="Normal 2 3 7 2 6" xfId="9348" xr:uid="{00000000-0005-0000-0000-00008A430000}"/>
    <cellStyle name="Normal 2 3 7 2 6 2" xfId="29400" xr:uid="{00000000-0005-0000-0000-00008B430000}"/>
    <cellStyle name="Normal 2 3 7 2 7" xfId="20370" xr:uid="{00000000-0005-0000-0000-00008C430000}"/>
    <cellStyle name="Normal 2 3 7 3" xfId="504" xr:uid="{00000000-0005-0000-0000-00008D430000}"/>
    <cellStyle name="Normal 2 3 7 3 2" xfId="1251" xr:uid="{00000000-0005-0000-0000-00008E430000}"/>
    <cellStyle name="Normal 2 3 7 3 2 2" xfId="2745" xr:uid="{00000000-0005-0000-0000-00008F430000}"/>
    <cellStyle name="Normal 2 3 7 3 2 2 2" xfId="7227" xr:uid="{00000000-0005-0000-0000-000090430000}"/>
    <cellStyle name="Normal 2 3 7 3 2 2 2 2" xfId="16257" xr:uid="{00000000-0005-0000-0000-000091430000}"/>
    <cellStyle name="Normal 2 3 7 3 2 2 2 2 2" xfId="36309" xr:uid="{00000000-0005-0000-0000-000092430000}"/>
    <cellStyle name="Normal 2 3 7 3 2 2 2 3" xfId="27279" xr:uid="{00000000-0005-0000-0000-000093430000}"/>
    <cellStyle name="Normal 2 3 7 3 2 2 3" xfId="11775" xr:uid="{00000000-0005-0000-0000-000094430000}"/>
    <cellStyle name="Normal 2 3 7 3 2 2 3 2" xfId="31827" xr:uid="{00000000-0005-0000-0000-000095430000}"/>
    <cellStyle name="Normal 2 3 7 3 2 2 4" xfId="22797" xr:uid="{00000000-0005-0000-0000-000096430000}"/>
    <cellStyle name="Normal 2 3 7 3 2 3" xfId="4239" xr:uid="{00000000-0005-0000-0000-000097430000}"/>
    <cellStyle name="Normal 2 3 7 3 2 3 2" xfId="8721" xr:uid="{00000000-0005-0000-0000-000098430000}"/>
    <cellStyle name="Normal 2 3 7 3 2 3 2 2" xfId="17751" xr:uid="{00000000-0005-0000-0000-000099430000}"/>
    <cellStyle name="Normal 2 3 7 3 2 3 2 2 2" xfId="37803" xr:uid="{00000000-0005-0000-0000-00009A430000}"/>
    <cellStyle name="Normal 2 3 7 3 2 3 2 3" xfId="28773" xr:uid="{00000000-0005-0000-0000-00009B430000}"/>
    <cellStyle name="Normal 2 3 7 3 2 3 3" xfId="13269" xr:uid="{00000000-0005-0000-0000-00009C430000}"/>
    <cellStyle name="Normal 2 3 7 3 2 3 3 2" xfId="33321" xr:uid="{00000000-0005-0000-0000-00009D430000}"/>
    <cellStyle name="Normal 2 3 7 3 2 3 4" xfId="24291" xr:uid="{00000000-0005-0000-0000-00009E430000}"/>
    <cellStyle name="Normal 2 3 7 3 2 4" xfId="5733" xr:uid="{00000000-0005-0000-0000-00009F430000}"/>
    <cellStyle name="Normal 2 3 7 3 2 4 2" xfId="14763" xr:uid="{00000000-0005-0000-0000-0000A0430000}"/>
    <cellStyle name="Normal 2 3 7 3 2 4 2 2" xfId="34815" xr:uid="{00000000-0005-0000-0000-0000A1430000}"/>
    <cellStyle name="Normal 2 3 7 3 2 4 3" xfId="25785" xr:uid="{00000000-0005-0000-0000-0000A2430000}"/>
    <cellStyle name="Normal 2 3 7 3 2 5" xfId="10281" xr:uid="{00000000-0005-0000-0000-0000A3430000}"/>
    <cellStyle name="Normal 2 3 7 3 2 5 2" xfId="30333" xr:uid="{00000000-0005-0000-0000-0000A4430000}"/>
    <cellStyle name="Normal 2 3 7 3 2 6" xfId="21303" xr:uid="{00000000-0005-0000-0000-0000A5430000}"/>
    <cellStyle name="Normal 2 3 7 3 3" xfId="1998" xr:uid="{00000000-0005-0000-0000-0000A6430000}"/>
    <cellStyle name="Normal 2 3 7 3 3 2" xfId="6480" xr:uid="{00000000-0005-0000-0000-0000A7430000}"/>
    <cellStyle name="Normal 2 3 7 3 3 2 2" xfId="15510" xr:uid="{00000000-0005-0000-0000-0000A8430000}"/>
    <cellStyle name="Normal 2 3 7 3 3 2 2 2" xfId="35562" xr:uid="{00000000-0005-0000-0000-0000A9430000}"/>
    <cellStyle name="Normal 2 3 7 3 3 2 3" xfId="26532" xr:uid="{00000000-0005-0000-0000-0000AA430000}"/>
    <cellStyle name="Normal 2 3 7 3 3 3" xfId="11028" xr:uid="{00000000-0005-0000-0000-0000AB430000}"/>
    <cellStyle name="Normal 2 3 7 3 3 3 2" xfId="31080" xr:uid="{00000000-0005-0000-0000-0000AC430000}"/>
    <cellStyle name="Normal 2 3 7 3 3 4" xfId="22050" xr:uid="{00000000-0005-0000-0000-0000AD430000}"/>
    <cellStyle name="Normal 2 3 7 3 4" xfId="3492" xr:uid="{00000000-0005-0000-0000-0000AE430000}"/>
    <cellStyle name="Normal 2 3 7 3 4 2" xfId="7974" xr:uid="{00000000-0005-0000-0000-0000AF430000}"/>
    <cellStyle name="Normal 2 3 7 3 4 2 2" xfId="17004" xr:uid="{00000000-0005-0000-0000-0000B0430000}"/>
    <cellStyle name="Normal 2 3 7 3 4 2 2 2" xfId="37056" xr:uid="{00000000-0005-0000-0000-0000B1430000}"/>
    <cellStyle name="Normal 2 3 7 3 4 2 3" xfId="28026" xr:uid="{00000000-0005-0000-0000-0000B2430000}"/>
    <cellStyle name="Normal 2 3 7 3 4 3" xfId="12522" xr:uid="{00000000-0005-0000-0000-0000B3430000}"/>
    <cellStyle name="Normal 2 3 7 3 4 3 2" xfId="32574" xr:uid="{00000000-0005-0000-0000-0000B4430000}"/>
    <cellStyle name="Normal 2 3 7 3 4 4" xfId="23544" xr:uid="{00000000-0005-0000-0000-0000B5430000}"/>
    <cellStyle name="Normal 2 3 7 3 5" xfId="4986" xr:uid="{00000000-0005-0000-0000-0000B6430000}"/>
    <cellStyle name="Normal 2 3 7 3 5 2" xfId="14016" xr:uid="{00000000-0005-0000-0000-0000B7430000}"/>
    <cellStyle name="Normal 2 3 7 3 5 2 2" xfId="34068" xr:uid="{00000000-0005-0000-0000-0000B8430000}"/>
    <cellStyle name="Normal 2 3 7 3 5 3" xfId="25038" xr:uid="{00000000-0005-0000-0000-0000B9430000}"/>
    <cellStyle name="Normal 2 3 7 3 6" xfId="9534" xr:uid="{00000000-0005-0000-0000-0000BA430000}"/>
    <cellStyle name="Normal 2 3 7 3 6 2" xfId="29586" xr:uid="{00000000-0005-0000-0000-0000BB430000}"/>
    <cellStyle name="Normal 2 3 7 3 7" xfId="20556" xr:uid="{00000000-0005-0000-0000-0000BC430000}"/>
    <cellStyle name="Normal 2 3 7 4" xfId="690" xr:uid="{00000000-0005-0000-0000-0000BD430000}"/>
    <cellStyle name="Normal 2 3 7 4 2" xfId="1437" xr:uid="{00000000-0005-0000-0000-0000BE430000}"/>
    <cellStyle name="Normal 2 3 7 4 2 2" xfId="2931" xr:uid="{00000000-0005-0000-0000-0000BF430000}"/>
    <cellStyle name="Normal 2 3 7 4 2 2 2" xfId="7413" xr:uid="{00000000-0005-0000-0000-0000C0430000}"/>
    <cellStyle name="Normal 2 3 7 4 2 2 2 2" xfId="16443" xr:uid="{00000000-0005-0000-0000-0000C1430000}"/>
    <cellStyle name="Normal 2 3 7 4 2 2 2 2 2" xfId="36495" xr:uid="{00000000-0005-0000-0000-0000C2430000}"/>
    <cellStyle name="Normal 2 3 7 4 2 2 2 3" xfId="27465" xr:uid="{00000000-0005-0000-0000-0000C3430000}"/>
    <cellStyle name="Normal 2 3 7 4 2 2 3" xfId="11961" xr:uid="{00000000-0005-0000-0000-0000C4430000}"/>
    <cellStyle name="Normal 2 3 7 4 2 2 3 2" xfId="32013" xr:uid="{00000000-0005-0000-0000-0000C5430000}"/>
    <cellStyle name="Normal 2 3 7 4 2 2 4" xfId="22983" xr:uid="{00000000-0005-0000-0000-0000C6430000}"/>
    <cellStyle name="Normal 2 3 7 4 2 3" xfId="4425" xr:uid="{00000000-0005-0000-0000-0000C7430000}"/>
    <cellStyle name="Normal 2 3 7 4 2 3 2" xfId="8907" xr:uid="{00000000-0005-0000-0000-0000C8430000}"/>
    <cellStyle name="Normal 2 3 7 4 2 3 2 2" xfId="17937" xr:uid="{00000000-0005-0000-0000-0000C9430000}"/>
    <cellStyle name="Normal 2 3 7 4 2 3 2 2 2" xfId="37989" xr:uid="{00000000-0005-0000-0000-0000CA430000}"/>
    <cellStyle name="Normal 2 3 7 4 2 3 2 3" xfId="28959" xr:uid="{00000000-0005-0000-0000-0000CB430000}"/>
    <cellStyle name="Normal 2 3 7 4 2 3 3" xfId="13455" xr:uid="{00000000-0005-0000-0000-0000CC430000}"/>
    <cellStyle name="Normal 2 3 7 4 2 3 3 2" xfId="33507" xr:uid="{00000000-0005-0000-0000-0000CD430000}"/>
    <cellStyle name="Normal 2 3 7 4 2 3 4" xfId="24477" xr:uid="{00000000-0005-0000-0000-0000CE430000}"/>
    <cellStyle name="Normal 2 3 7 4 2 4" xfId="5919" xr:uid="{00000000-0005-0000-0000-0000CF430000}"/>
    <cellStyle name="Normal 2 3 7 4 2 4 2" xfId="14949" xr:uid="{00000000-0005-0000-0000-0000D0430000}"/>
    <cellStyle name="Normal 2 3 7 4 2 4 2 2" xfId="35001" xr:uid="{00000000-0005-0000-0000-0000D1430000}"/>
    <cellStyle name="Normal 2 3 7 4 2 4 3" xfId="25971" xr:uid="{00000000-0005-0000-0000-0000D2430000}"/>
    <cellStyle name="Normal 2 3 7 4 2 5" xfId="10467" xr:uid="{00000000-0005-0000-0000-0000D3430000}"/>
    <cellStyle name="Normal 2 3 7 4 2 5 2" xfId="30519" xr:uid="{00000000-0005-0000-0000-0000D4430000}"/>
    <cellStyle name="Normal 2 3 7 4 2 6" xfId="21489" xr:uid="{00000000-0005-0000-0000-0000D5430000}"/>
    <cellStyle name="Normal 2 3 7 4 3" xfId="2184" xr:uid="{00000000-0005-0000-0000-0000D6430000}"/>
    <cellStyle name="Normal 2 3 7 4 3 2" xfId="6666" xr:uid="{00000000-0005-0000-0000-0000D7430000}"/>
    <cellStyle name="Normal 2 3 7 4 3 2 2" xfId="15696" xr:uid="{00000000-0005-0000-0000-0000D8430000}"/>
    <cellStyle name="Normal 2 3 7 4 3 2 2 2" xfId="35748" xr:uid="{00000000-0005-0000-0000-0000D9430000}"/>
    <cellStyle name="Normal 2 3 7 4 3 2 3" xfId="26718" xr:uid="{00000000-0005-0000-0000-0000DA430000}"/>
    <cellStyle name="Normal 2 3 7 4 3 3" xfId="11214" xr:uid="{00000000-0005-0000-0000-0000DB430000}"/>
    <cellStyle name="Normal 2 3 7 4 3 3 2" xfId="31266" xr:uid="{00000000-0005-0000-0000-0000DC430000}"/>
    <cellStyle name="Normal 2 3 7 4 3 4" xfId="22236" xr:uid="{00000000-0005-0000-0000-0000DD430000}"/>
    <cellStyle name="Normal 2 3 7 4 4" xfId="3678" xr:uid="{00000000-0005-0000-0000-0000DE430000}"/>
    <cellStyle name="Normal 2 3 7 4 4 2" xfId="8160" xr:uid="{00000000-0005-0000-0000-0000DF430000}"/>
    <cellStyle name="Normal 2 3 7 4 4 2 2" xfId="17190" xr:uid="{00000000-0005-0000-0000-0000E0430000}"/>
    <cellStyle name="Normal 2 3 7 4 4 2 2 2" xfId="37242" xr:uid="{00000000-0005-0000-0000-0000E1430000}"/>
    <cellStyle name="Normal 2 3 7 4 4 2 3" xfId="28212" xr:uid="{00000000-0005-0000-0000-0000E2430000}"/>
    <cellStyle name="Normal 2 3 7 4 4 3" xfId="12708" xr:uid="{00000000-0005-0000-0000-0000E3430000}"/>
    <cellStyle name="Normal 2 3 7 4 4 3 2" xfId="32760" xr:uid="{00000000-0005-0000-0000-0000E4430000}"/>
    <cellStyle name="Normal 2 3 7 4 4 4" xfId="23730" xr:uid="{00000000-0005-0000-0000-0000E5430000}"/>
    <cellStyle name="Normal 2 3 7 4 5" xfId="5172" xr:uid="{00000000-0005-0000-0000-0000E6430000}"/>
    <cellStyle name="Normal 2 3 7 4 5 2" xfId="14202" xr:uid="{00000000-0005-0000-0000-0000E7430000}"/>
    <cellStyle name="Normal 2 3 7 4 5 2 2" xfId="34254" xr:uid="{00000000-0005-0000-0000-0000E8430000}"/>
    <cellStyle name="Normal 2 3 7 4 5 3" xfId="25224" xr:uid="{00000000-0005-0000-0000-0000E9430000}"/>
    <cellStyle name="Normal 2 3 7 4 6" xfId="9720" xr:uid="{00000000-0005-0000-0000-0000EA430000}"/>
    <cellStyle name="Normal 2 3 7 4 6 2" xfId="29772" xr:uid="{00000000-0005-0000-0000-0000EB430000}"/>
    <cellStyle name="Normal 2 3 7 4 7" xfId="20742" xr:uid="{00000000-0005-0000-0000-0000EC430000}"/>
    <cellStyle name="Normal 2 3 7 5" xfId="877" xr:uid="{00000000-0005-0000-0000-0000ED430000}"/>
    <cellStyle name="Normal 2 3 7 5 2" xfId="2371" xr:uid="{00000000-0005-0000-0000-0000EE430000}"/>
    <cellStyle name="Normal 2 3 7 5 2 2" xfId="6853" xr:uid="{00000000-0005-0000-0000-0000EF430000}"/>
    <cellStyle name="Normal 2 3 7 5 2 2 2" xfId="15883" xr:uid="{00000000-0005-0000-0000-0000F0430000}"/>
    <cellStyle name="Normal 2 3 7 5 2 2 2 2" xfId="35935" xr:uid="{00000000-0005-0000-0000-0000F1430000}"/>
    <cellStyle name="Normal 2 3 7 5 2 2 3" xfId="26905" xr:uid="{00000000-0005-0000-0000-0000F2430000}"/>
    <cellStyle name="Normal 2 3 7 5 2 3" xfId="11401" xr:uid="{00000000-0005-0000-0000-0000F3430000}"/>
    <cellStyle name="Normal 2 3 7 5 2 3 2" xfId="31453" xr:uid="{00000000-0005-0000-0000-0000F4430000}"/>
    <cellStyle name="Normal 2 3 7 5 2 4" xfId="22423" xr:uid="{00000000-0005-0000-0000-0000F5430000}"/>
    <cellStyle name="Normal 2 3 7 5 3" xfId="3865" xr:uid="{00000000-0005-0000-0000-0000F6430000}"/>
    <cellStyle name="Normal 2 3 7 5 3 2" xfId="8347" xr:uid="{00000000-0005-0000-0000-0000F7430000}"/>
    <cellStyle name="Normal 2 3 7 5 3 2 2" xfId="17377" xr:uid="{00000000-0005-0000-0000-0000F8430000}"/>
    <cellStyle name="Normal 2 3 7 5 3 2 2 2" xfId="37429" xr:uid="{00000000-0005-0000-0000-0000F9430000}"/>
    <cellStyle name="Normal 2 3 7 5 3 2 3" xfId="28399" xr:uid="{00000000-0005-0000-0000-0000FA430000}"/>
    <cellStyle name="Normal 2 3 7 5 3 3" xfId="12895" xr:uid="{00000000-0005-0000-0000-0000FB430000}"/>
    <cellStyle name="Normal 2 3 7 5 3 3 2" xfId="32947" xr:uid="{00000000-0005-0000-0000-0000FC430000}"/>
    <cellStyle name="Normal 2 3 7 5 3 4" xfId="23917" xr:uid="{00000000-0005-0000-0000-0000FD430000}"/>
    <cellStyle name="Normal 2 3 7 5 4" xfId="5359" xr:uid="{00000000-0005-0000-0000-0000FE430000}"/>
    <cellStyle name="Normal 2 3 7 5 4 2" xfId="14389" xr:uid="{00000000-0005-0000-0000-0000FF430000}"/>
    <cellStyle name="Normal 2 3 7 5 4 2 2" xfId="34441" xr:uid="{00000000-0005-0000-0000-000000440000}"/>
    <cellStyle name="Normal 2 3 7 5 4 3" xfId="25411" xr:uid="{00000000-0005-0000-0000-000001440000}"/>
    <cellStyle name="Normal 2 3 7 5 5" xfId="9907" xr:uid="{00000000-0005-0000-0000-000002440000}"/>
    <cellStyle name="Normal 2 3 7 5 5 2" xfId="29959" xr:uid="{00000000-0005-0000-0000-000003440000}"/>
    <cellStyle name="Normal 2 3 7 5 6" xfId="20929" xr:uid="{00000000-0005-0000-0000-000004440000}"/>
    <cellStyle name="Normal 2 3 7 6" xfId="1626" xr:uid="{00000000-0005-0000-0000-000005440000}"/>
    <cellStyle name="Normal 2 3 7 6 2" xfId="6108" xr:uid="{00000000-0005-0000-0000-000006440000}"/>
    <cellStyle name="Normal 2 3 7 6 2 2" xfId="15138" xr:uid="{00000000-0005-0000-0000-000007440000}"/>
    <cellStyle name="Normal 2 3 7 6 2 2 2" xfId="35190" xr:uid="{00000000-0005-0000-0000-000008440000}"/>
    <cellStyle name="Normal 2 3 7 6 2 3" xfId="26160" xr:uid="{00000000-0005-0000-0000-000009440000}"/>
    <cellStyle name="Normal 2 3 7 6 3" xfId="10656" xr:uid="{00000000-0005-0000-0000-00000A440000}"/>
    <cellStyle name="Normal 2 3 7 6 3 2" xfId="30708" xr:uid="{00000000-0005-0000-0000-00000B440000}"/>
    <cellStyle name="Normal 2 3 7 6 4" xfId="21678" xr:uid="{00000000-0005-0000-0000-00000C440000}"/>
    <cellStyle name="Normal 2 3 7 7" xfId="3120" xr:uid="{00000000-0005-0000-0000-00000D440000}"/>
    <cellStyle name="Normal 2 3 7 7 2" xfId="7602" xr:uid="{00000000-0005-0000-0000-00000E440000}"/>
    <cellStyle name="Normal 2 3 7 7 2 2" xfId="16632" xr:uid="{00000000-0005-0000-0000-00000F440000}"/>
    <cellStyle name="Normal 2 3 7 7 2 2 2" xfId="36684" xr:uid="{00000000-0005-0000-0000-000010440000}"/>
    <cellStyle name="Normal 2 3 7 7 2 3" xfId="27654" xr:uid="{00000000-0005-0000-0000-000011440000}"/>
    <cellStyle name="Normal 2 3 7 7 3" xfId="12150" xr:uid="{00000000-0005-0000-0000-000012440000}"/>
    <cellStyle name="Normal 2 3 7 7 3 2" xfId="32202" xr:uid="{00000000-0005-0000-0000-000013440000}"/>
    <cellStyle name="Normal 2 3 7 7 4" xfId="23172" xr:uid="{00000000-0005-0000-0000-000014440000}"/>
    <cellStyle name="Normal 2 3 7 8" xfId="4614" xr:uid="{00000000-0005-0000-0000-000015440000}"/>
    <cellStyle name="Normal 2 3 7 8 2" xfId="13644" xr:uid="{00000000-0005-0000-0000-000016440000}"/>
    <cellStyle name="Normal 2 3 7 8 2 2" xfId="33696" xr:uid="{00000000-0005-0000-0000-000017440000}"/>
    <cellStyle name="Normal 2 3 7 8 3" xfId="24666" xr:uid="{00000000-0005-0000-0000-000018440000}"/>
    <cellStyle name="Normal 2 3 7 9" xfId="9162" xr:uid="{00000000-0005-0000-0000-000019440000}"/>
    <cellStyle name="Normal 2 3 7 9 2" xfId="29214" xr:uid="{00000000-0005-0000-0000-00001A440000}"/>
    <cellStyle name="Normal 2 3 8" xfId="155" xr:uid="{00000000-0005-0000-0000-00001B440000}"/>
    <cellStyle name="Normal 2 3 8 10" xfId="20207" xr:uid="{00000000-0005-0000-0000-00001C440000}"/>
    <cellStyle name="Normal 2 3 8 2" xfId="341" xr:uid="{00000000-0005-0000-0000-00001D440000}"/>
    <cellStyle name="Normal 2 3 8 2 2" xfId="1084" xr:uid="{00000000-0005-0000-0000-00001E440000}"/>
    <cellStyle name="Normal 2 3 8 2 2 2" xfId="2578" xr:uid="{00000000-0005-0000-0000-00001F440000}"/>
    <cellStyle name="Normal 2 3 8 2 2 2 2" xfId="7060" xr:uid="{00000000-0005-0000-0000-000020440000}"/>
    <cellStyle name="Normal 2 3 8 2 2 2 2 2" xfId="16090" xr:uid="{00000000-0005-0000-0000-000021440000}"/>
    <cellStyle name="Normal 2 3 8 2 2 2 2 2 2" xfId="36142" xr:uid="{00000000-0005-0000-0000-000022440000}"/>
    <cellStyle name="Normal 2 3 8 2 2 2 2 3" xfId="27112" xr:uid="{00000000-0005-0000-0000-000023440000}"/>
    <cellStyle name="Normal 2 3 8 2 2 2 3" xfId="11608" xr:uid="{00000000-0005-0000-0000-000024440000}"/>
    <cellStyle name="Normal 2 3 8 2 2 2 3 2" xfId="31660" xr:uid="{00000000-0005-0000-0000-000025440000}"/>
    <cellStyle name="Normal 2 3 8 2 2 2 4" xfId="22630" xr:uid="{00000000-0005-0000-0000-000026440000}"/>
    <cellStyle name="Normal 2 3 8 2 2 3" xfId="4072" xr:uid="{00000000-0005-0000-0000-000027440000}"/>
    <cellStyle name="Normal 2 3 8 2 2 3 2" xfId="8554" xr:uid="{00000000-0005-0000-0000-000028440000}"/>
    <cellStyle name="Normal 2 3 8 2 2 3 2 2" xfId="17584" xr:uid="{00000000-0005-0000-0000-000029440000}"/>
    <cellStyle name="Normal 2 3 8 2 2 3 2 2 2" xfId="37636" xr:uid="{00000000-0005-0000-0000-00002A440000}"/>
    <cellStyle name="Normal 2 3 8 2 2 3 2 3" xfId="28606" xr:uid="{00000000-0005-0000-0000-00002B440000}"/>
    <cellStyle name="Normal 2 3 8 2 2 3 3" xfId="13102" xr:uid="{00000000-0005-0000-0000-00002C440000}"/>
    <cellStyle name="Normal 2 3 8 2 2 3 3 2" xfId="33154" xr:uid="{00000000-0005-0000-0000-00002D440000}"/>
    <cellStyle name="Normal 2 3 8 2 2 3 4" xfId="24124" xr:uid="{00000000-0005-0000-0000-00002E440000}"/>
    <cellStyle name="Normal 2 3 8 2 2 4" xfId="5566" xr:uid="{00000000-0005-0000-0000-00002F440000}"/>
    <cellStyle name="Normal 2 3 8 2 2 4 2" xfId="14596" xr:uid="{00000000-0005-0000-0000-000030440000}"/>
    <cellStyle name="Normal 2 3 8 2 2 4 2 2" xfId="34648" xr:uid="{00000000-0005-0000-0000-000031440000}"/>
    <cellStyle name="Normal 2 3 8 2 2 4 3" xfId="25618" xr:uid="{00000000-0005-0000-0000-000032440000}"/>
    <cellStyle name="Normal 2 3 8 2 2 5" xfId="10114" xr:uid="{00000000-0005-0000-0000-000033440000}"/>
    <cellStyle name="Normal 2 3 8 2 2 5 2" xfId="30166" xr:uid="{00000000-0005-0000-0000-000034440000}"/>
    <cellStyle name="Normal 2 3 8 2 2 6" xfId="21136" xr:uid="{00000000-0005-0000-0000-000035440000}"/>
    <cellStyle name="Normal 2 3 8 2 3" xfId="1835" xr:uid="{00000000-0005-0000-0000-000036440000}"/>
    <cellStyle name="Normal 2 3 8 2 3 2" xfId="6317" xr:uid="{00000000-0005-0000-0000-000037440000}"/>
    <cellStyle name="Normal 2 3 8 2 3 2 2" xfId="15347" xr:uid="{00000000-0005-0000-0000-000038440000}"/>
    <cellStyle name="Normal 2 3 8 2 3 2 2 2" xfId="35399" xr:uid="{00000000-0005-0000-0000-000039440000}"/>
    <cellStyle name="Normal 2 3 8 2 3 2 3" xfId="26369" xr:uid="{00000000-0005-0000-0000-00003A440000}"/>
    <cellStyle name="Normal 2 3 8 2 3 3" xfId="10865" xr:uid="{00000000-0005-0000-0000-00003B440000}"/>
    <cellStyle name="Normal 2 3 8 2 3 3 2" xfId="30917" xr:uid="{00000000-0005-0000-0000-00003C440000}"/>
    <cellStyle name="Normal 2 3 8 2 3 4" xfId="21887" xr:uid="{00000000-0005-0000-0000-00003D440000}"/>
    <cellStyle name="Normal 2 3 8 2 4" xfId="3329" xr:uid="{00000000-0005-0000-0000-00003E440000}"/>
    <cellStyle name="Normal 2 3 8 2 4 2" xfId="7811" xr:uid="{00000000-0005-0000-0000-00003F440000}"/>
    <cellStyle name="Normal 2 3 8 2 4 2 2" xfId="16841" xr:uid="{00000000-0005-0000-0000-000040440000}"/>
    <cellStyle name="Normal 2 3 8 2 4 2 2 2" xfId="36893" xr:uid="{00000000-0005-0000-0000-000041440000}"/>
    <cellStyle name="Normal 2 3 8 2 4 2 3" xfId="27863" xr:uid="{00000000-0005-0000-0000-000042440000}"/>
    <cellStyle name="Normal 2 3 8 2 4 3" xfId="12359" xr:uid="{00000000-0005-0000-0000-000043440000}"/>
    <cellStyle name="Normal 2 3 8 2 4 3 2" xfId="32411" xr:uid="{00000000-0005-0000-0000-000044440000}"/>
    <cellStyle name="Normal 2 3 8 2 4 4" xfId="23381" xr:uid="{00000000-0005-0000-0000-000045440000}"/>
    <cellStyle name="Normal 2 3 8 2 5" xfId="4823" xr:uid="{00000000-0005-0000-0000-000046440000}"/>
    <cellStyle name="Normal 2 3 8 2 5 2" xfId="13853" xr:uid="{00000000-0005-0000-0000-000047440000}"/>
    <cellStyle name="Normal 2 3 8 2 5 2 2" xfId="33905" xr:uid="{00000000-0005-0000-0000-000048440000}"/>
    <cellStyle name="Normal 2 3 8 2 5 3" xfId="24875" xr:uid="{00000000-0005-0000-0000-000049440000}"/>
    <cellStyle name="Normal 2 3 8 2 6" xfId="9371" xr:uid="{00000000-0005-0000-0000-00004A440000}"/>
    <cellStyle name="Normal 2 3 8 2 6 2" xfId="29423" xr:uid="{00000000-0005-0000-0000-00004B440000}"/>
    <cellStyle name="Normal 2 3 8 2 7" xfId="20393" xr:uid="{00000000-0005-0000-0000-00004C440000}"/>
    <cellStyle name="Normal 2 3 8 3" xfId="527" xr:uid="{00000000-0005-0000-0000-00004D440000}"/>
    <cellStyle name="Normal 2 3 8 3 2" xfId="1274" xr:uid="{00000000-0005-0000-0000-00004E440000}"/>
    <cellStyle name="Normal 2 3 8 3 2 2" xfId="2768" xr:uid="{00000000-0005-0000-0000-00004F440000}"/>
    <cellStyle name="Normal 2 3 8 3 2 2 2" xfId="7250" xr:uid="{00000000-0005-0000-0000-000050440000}"/>
    <cellStyle name="Normal 2 3 8 3 2 2 2 2" xfId="16280" xr:uid="{00000000-0005-0000-0000-000051440000}"/>
    <cellStyle name="Normal 2 3 8 3 2 2 2 2 2" xfId="36332" xr:uid="{00000000-0005-0000-0000-000052440000}"/>
    <cellStyle name="Normal 2 3 8 3 2 2 2 3" xfId="27302" xr:uid="{00000000-0005-0000-0000-000053440000}"/>
    <cellStyle name="Normal 2 3 8 3 2 2 3" xfId="11798" xr:uid="{00000000-0005-0000-0000-000054440000}"/>
    <cellStyle name="Normal 2 3 8 3 2 2 3 2" xfId="31850" xr:uid="{00000000-0005-0000-0000-000055440000}"/>
    <cellStyle name="Normal 2 3 8 3 2 2 4" xfId="22820" xr:uid="{00000000-0005-0000-0000-000056440000}"/>
    <cellStyle name="Normal 2 3 8 3 2 3" xfId="4262" xr:uid="{00000000-0005-0000-0000-000057440000}"/>
    <cellStyle name="Normal 2 3 8 3 2 3 2" xfId="8744" xr:uid="{00000000-0005-0000-0000-000058440000}"/>
    <cellStyle name="Normal 2 3 8 3 2 3 2 2" xfId="17774" xr:uid="{00000000-0005-0000-0000-000059440000}"/>
    <cellStyle name="Normal 2 3 8 3 2 3 2 2 2" xfId="37826" xr:uid="{00000000-0005-0000-0000-00005A440000}"/>
    <cellStyle name="Normal 2 3 8 3 2 3 2 3" xfId="28796" xr:uid="{00000000-0005-0000-0000-00005B440000}"/>
    <cellStyle name="Normal 2 3 8 3 2 3 3" xfId="13292" xr:uid="{00000000-0005-0000-0000-00005C440000}"/>
    <cellStyle name="Normal 2 3 8 3 2 3 3 2" xfId="33344" xr:uid="{00000000-0005-0000-0000-00005D440000}"/>
    <cellStyle name="Normal 2 3 8 3 2 3 4" xfId="24314" xr:uid="{00000000-0005-0000-0000-00005E440000}"/>
    <cellStyle name="Normal 2 3 8 3 2 4" xfId="5756" xr:uid="{00000000-0005-0000-0000-00005F440000}"/>
    <cellStyle name="Normal 2 3 8 3 2 4 2" xfId="14786" xr:uid="{00000000-0005-0000-0000-000060440000}"/>
    <cellStyle name="Normal 2 3 8 3 2 4 2 2" xfId="34838" xr:uid="{00000000-0005-0000-0000-000061440000}"/>
    <cellStyle name="Normal 2 3 8 3 2 4 3" xfId="25808" xr:uid="{00000000-0005-0000-0000-000062440000}"/>
    <cellStyle name="Normal 2 3 8 3 2 5" xfId="10304" xr:uid="{00000000-0005-0000-0000-000063440000}"/>
    <cellStyle name="Normal 2 3 8 3 2 5 2" xfId="30356" xr:uid="{00000000-0005-0000-0000-000064440000}"/>
    <cellStyle name="Normal 2 3 8 3 2 6" xfId="21326" xr:uid="{00000000-0005-0000-0000-000065440000}"/>
    <cellStyle name="Normal 2 3 8 3 3" xfId="2021" xr:uid="{00000000-0005-0000-0000-000066440000}"/>
    <cellStyle name="Normal 2 3 8 3 3 2" xfId="6503" xr:uid="{00000000-0005-0000-0000-000067440000}"/>
    <cellStyle name="Normal 2 3 8 3 3 2 2" xfId="15533" xr:uid="{00000000-0005-0000-0000-000068440000}"/>
    <cellStyle name="Normal 2 3 8 3 3 2 2 2" xfId="35585" xr:uid="{00000000-0005-0000-0000-000069440000}"/>
    <cellStyle name="Normal 2 3 8 3 3 2 3" xfId="26555" xr:uid="{00000000-0005-0000-0000-00006A440000}"/>
    <cellStyle name="Normal 2 3 8 3 3 3" xfId="11051" xr:uid="{00000000-0005-0000-0000-00006B440000}"/>
    <cellStyle name="Normal 2 3 8 3 3 3 2" xfId="31103" xr:uid="{00000000-0005-0000-0000-00006C440000}"/>
    <cellStyle name="Normal 2 3 8 3 3 4" xfId="22073" xr:uid="{00000000-0005-0000-0000-00006D440000}"/>
    <cellStyle name="Normal 2 3 8 3 4" xfId="3515" xr:uid="{00000000-0005-0000-0000-00006E440000}"/>
    <cellStyle name="Normal 2 3 8 3 4 2" xfId="7997" xr:uid="{00000000-0005-0000-0000-00006F440000}"/>
    <cellStyle name="Normal 2 3 8 3 4 2 2" xfId="17027" xr:uid="{00000000-0005-0000-0000-000070440000}"/>
    <cellStyle name="Normal 2 3 8 3 4 2 2 2" xfId="37079" xr:uid="{00000000-0005-0000-0000-000071440000}"/>
    <cellStyle name="Normal 2 3 8 3 4 2 3" xfId="28049" xr:uid="{00000000-0005-0000-0000-000072440000}"/>
    <cellStyle name="Normal 2 3 8 3 4 3" xfId="12545" xr:uid="{00000000-0005-0000-0000-000073440000}"/>
    <cellStyle name="Normal 2 3 8 3 4 3 2" xfId="32597" xr:uid="{00000000-0005-0000-0000-000074440000}"/>
    <cellStyle name="Normal 2 3 8 3 4 4" xfId="23567" xr:uid="{00000000-0005-0000-0000-000075440000}"/>
    <cellStyle name="Normal 2 3 8 3 5" xfId="5009" xr:uid="{00000000-0005-0000-0000-000076440000}"/>
    <cellStyle name="Normal 2 3 8 3 5 2" xfId="14039" xr:uid="{00000000-0005-0000-0000-000077440000}"/>
    <cellStyle name="Normal 2 3 8 3 5 2 2" xfId="34091" xr:uid="{00000000-0005-0000-0000-000078440000}"/>
    <cellStyle name="Normal 2 3 8 3 5 3" xfId="25061" xr:uid="{00000000-0005-0000-0000-000079440000}"/>
    <cellStyle name="Normal 2 3 8 3 6" xfId="9557" xr:uid="{00000000-0005-0000-0000-00007A440000}"/>
    <cellStyle name="Normal 2 3 8 3 6 2" xfId="29609" xr:uid="{00000000-0005-0000-0000-00007B440000}"/>
    <cellStyle name="Normal 2 3 8 3 7" xfId="20579" xr:uid="{00000000-0005-0000-0000-00007C440000}"/>
    <cellStyle name="Normal 2 3 8 4" xfId="713" xr:uid="{00000000-0005-0000-0000-00007D440000}"/>
    <cellStyle name="Normal 2 3 8 4 2" xfId="1460" xr:uid="{00000000-0005-0000-0000-00007E440000}"/>
    <cellStyle name="Normal 2 3 8 4 2 2" xfId="2954" xr:uid="{00000000-0005-0000-0000-00007F440000}"/>
    <cellStyle name="Normal 2 3 8 4 2 2 2" xfId="7436" xr:uid="{00000000-0005-0000-0000-000080440000}"/>
    <cellStyle name="Normal 2 3 8 4 2 2 2 2" xfId="16466" xr:uid="{00000000-0005-0000-0000-000081440000}"/>
    <cellStyle name="Normal 2 3 8 4 2 2 2 2 2" xfId="36518" xr:uid="{00000000-0005-0000-0000-000082440000}"/>
    <cellStyle name="Normal 2 3 8 4 2 2 2 3" xfId="27488" xr:uid="{00000000-0005-0000-0000-000083440000}"/>
    <cellStyle name="Normal 2 3 8 4 2 2 3" xfId="11984" xr:uid="{00000000-0005-0000-0000-000084440000}"/>
    <cellStyle name="Normal 2 3 8 4 2 2 3 2" xfId="32036" xr:uid="{00000000-0005-0000-0000-000085440000}"/>
    <cellStyle name="Normal 2 3 8 4 2 2 4" xfId="23006" xr:uid="{00000000-0005-0000-0000-000086440000}"/>
    <cellStyle name="Normal 2 3 8 4 2 3" xfId="4448" xr:uid="{00000000-0005-0000-0000-000087440000}"/>
    <cellStyle name="Normal 2 3 8 4 2 3 2" xfId="8930" xr:uid="{00000000-0005-0000-0000-000088440000}"/>
    <cellStyle name="Normal 2 3 8 4 2 3 2 2" xfId="17960" xr:uid="{00000000-0005-0000-0000-000089440000}"/>
    <cellStyle name="Normal 2 3 8 4 2 3 2 2 2" xfId="38012" xr:uid="{00000000-0005-0000-0000-00008A440000}"/>
    <cellStyle name="Normal 2 3 8 4 2 3 2 3" xfId="28982" xr:uid="{00000000-0005-0000-0000-00008B440000}"/>
    <cellStyle name="Normal 2 3 8 4 2 3 3" xfId="13478" xr:uid="{00000000-0005-0000-0000-00008C440000}"/>
    <cellStyle name="Normal 2 3 8 4 2 3 3 2" xfId="33530" xr:uid="{00000000-0005-0000-0000-00008D440000}"/>
    <cellStyle name="Normal 2 3 8 4 2 3 4" xfId="24500" xr:uid="{00000000-0005-0000-0000-00008E440000}"/>
    <cellStyle name="Normal 2 3 8 4 2 4" xfId="5942" xr:uid="{00000000-0005-0000-0000-00008F440000}"/>
    <cellStyle name="Normal 2 3 8 4 2 4 2" xfId="14972" xr:uid="{00000000-0005-0000-0000-000090440000}"/>
    <cellStyle name="Normal 2 3 8 4 2 4 2 2" xfId="35024" xr:uid="{00000000-0005-0000-0000-000091440000}"/>
    <cellStyle name="Normal 2 3 8 4 2 4 3" xfId="25994" xr:uid="{00000000-0005-0000-0000-000092440000}"/>
    <cellStyle name="Normal 2 3 8 4 2 5" xfId="10490" xr:uid="{00000000-0005-0000-0000-000093440000}"/>
    <cellStyle name="Normal 2 3 8 4 2 5 2" xfId="30542" xr:uid="{00000000-0005-0000-0000-000094440000}"/>
    <cellStyle name="Normal 2 3 8 4 2 6" xfId="21512" xr:uid="{00000000-0005-0000-0000-000095440000}"/>
    <cellStyle name="Normal 2 3 8 4 3" xfId="2207" xr:uid="{00000000-0005-0000-0000-000096440000}"/>
    <cellStyle name="Normal 2 3 8 4 3 2" xfId="6689" xr:uid="{00000000-0005-0000-0000-000097440000}"/>
    <cellStyle name="Normal 2 3 8 4 3 2 2" xfId="15719" xr:uid="{00000000-0005-0000-0000-000098440000}"/>
    <cellStyle name="Normal 2 3 8 4 3 2 2 2" xfId="35771" xr:uid="{00000000-0005-0000-0000-000099440000}"/>
    <cellStyle name="Normal 2 3 8 4 3 2 3" xfId="26741" xr:uid="{00000000-0005-0000-0000-00009A440000}"/>
    <cellStyle name="Normal 2 3 8 4 3 3" xfId="11237" xr:uid="{00000000-0005-0000-0000-00009B440000}"/>
    <cellStyle name="Normal 2 3 8 4 3 3 2" xfId="31289" xr:uid="{00000000-0005-0000-0000-00009C440000}"/>
    <cellStyle name="Normal 2 3 8 4 3 4" xfId="22259" xr:uid="{00000000-0005-0000-0000-00009D440000}"/>
    <cellStyle name="Normal 2 3 8 4 4" xfId="3701" xr:uid="{00000000-0005-0000-0000-00009E440000}"/>
    <cellStyle name="Normal 2 3 8 4 4 2" xfId="8183" xr:uid="{00000000-0005-0000-0000-00009F440000}"/>
    <cellStyle name="Normal 2 3 8 4 4 2 2" xfId="17213" xr:uid="{00000000-0005-0000-0000-0000A0440000}"/>
    <cellStyle name="Normal 2 3 8 4 4 2 2 2" xfId="37265" xr:uid="{00000000-0005-0000-0000-0000A1440000}"/>
    <cellStyle name="Normal 2 3 8 4 4 2 3" xfId="28235" xr:uid="{00000000-0005-0000-0000-0000A2440000}"/>
    <cellStyle name="Normal 2 3 8 4 4 3" xfId="12731" xr:uid="{00000000-0005-0000-0000-0000A3440000}"/>
    <cellStyle name="Normal 2 3 8 4 4 3 2" xfId="32783" xr:uid="{00000000-0005-0000-0000-0000A4440000}"/>
    <cellStyle name="Normal 2 3 8 4 4 4" xfId="23753" xr:uid="{00000000-0005-0000-0000-0000A5440000}"/>
    <cellStyle name="Normal 2 3 8 4 5" xfId="5195" xr:uid="{00000000-0005-0000-0000-0000A6440000}"/>
    <cellStyle name="Normal 2 3 8 4 5 2" xfId="14225" xr:uid="{00000000-0005-0000-0000-0000A7440000}"/>
    <cellStyle name="Normal 2 3 8 4 5 2 2" xfId="34277" xr:uid="{00000000-0005-0000-0000-0000A8440000}"/>
    <cellStyle name="Normal 2 3 8 4 5 3" xfId="25247" xr:uid="{00000000-0005-0000-0000-0000A9440000}"/>
    <cellStyle name="Normal 2 3 8 4 6" xfId="9743" xr:uid="{00000000-0005-0000-0000-0000AA440000}"/>
    <cellStyle name="Normal 2 3 8 4 6 2" xfId="29795" xr:uid="{00000000-0005-0000-0000-0000AB440000}"/>
    <cellStyle name="Normal 2 3 8 4 7" xfId="20765" xr:uid="{00000000-0005-0000-0000-0000AC440000}"/>
    <cellStyle name="Normal 2 3 8 5" xfId="900" xr:uid="{00000000-0005-0000-0000-0000AD440000}"/>
    <cellStyle name="Normal 2 3 8 5 2" xfId="2394" xr:uid="{00000000-0005-0000-0000-0000AE440000}"/>
    <cellStyle name="Normal 2 3 8 5 2 2" xfId="6876" xr:uid="{00000000-0005-0000-0000-0000AF440000}"/>
    <cellStyle name="Normal 2 3 8 5 2 2 2" xfId="15906" xr:uid="{00000000-0005-0000-0000-0000B0440000}"/>
    <cellStyle name="Normal 2 3 8 5 2 2 2 2" xfId="35958" xr:uid="{00000000-0005-0000-0000-0000B1440000}"/>
    <cellStyle name="Normal 2 3 8 5 2 2 3" xfId="26928" xr:uid="{00000000-0005-0000-0000-0000B2440000}"/>
    <cellStyle name="Normal 2 3 8 5 2 3" xfId="11424" xr:uid="{00000000-0005-0000-0000-0000B3440000}"/>
    <cellStyle name="Normal 2 3 8 5 2 3 2" xfId="31476" xr:uid="{00000000-0005-0000-0000-0000B4440000}"/>
    <cellStyle name="Normal 2 3 8 5 2 4" xfId="22446" xr:uid="{00000000-0005-0000-0000-0000B5440000}"/>
    <cellStyle name="Normal 2 3 8 5 3" xfId="3888" xr:uid="{00000000-0005-0000-0000-0000B6440000}"/>
    <cellStyle name="Normal 2 3 8 5 3 2" xfId="8370" xr:uid="{00000000-0005-0000-0000-0000B7440000}"/>
    <cellStyle name="Normal 2 3 8 5 3 2 2" xfId="17400" xr:uid="{00000000-0005-0000-0000-0000B8440000}"/>
    <cellStyle name="Normal 2 3 8 5 3 2 2 2" xfId="37452" xr:uid="{00000000-0005-0000-0000-0000B9440000}"/>
    <cellStyle name="Normal 2 3 8 5 3 2 3" xfId="28422" xr:uid="{00000000-0005-0000-0000-0000BA440000}"/>
    <cellStyle name="Normal 2 3 8 5 3 3" xfId="12918" xr:uid="{00000000-0005-0000-0000-0000BB440000}"/>
    <cellStyle name="Normal 2 3 8 5 3 3 2" xfId="32970" xr:uid="{00000000-0005-0000-0000-0000BC440000}"/>
    <cellStyle name="Normal 2 3 8 5 3 4" xfId="23940" xr:uid="{00000000-0005-0000-0000-0000BD440000}"/>
    <cellStyle name="Normal 2 3 8 5 4" xfId="5382" xr:uid="{00000000-0005-0000-0000-0000BE440000}"/>
    <cellStyle name="Normal 2 3 8 5 4 2" xfId="14412" xr:uid="{00000000-0005-0000-0000-0000BF440000}"/>
    <cellStyle name="Normal 2 3 8 5 4 2 2" xfId="34464" xr:uid="{00000000-0005-0000-0000-0000C0440000}"/>
    <cellStyle name="Normal 2 3 8 5 4 3" xfId="25434" xr:uid="{00000000-0005-0000-0000-0000C1440000}"/>
    <cellStyle name="Normal 2 3 8 5 5" xfId="9930" xr:uid="{00000000-0005-0000-0000-0000C2440000}"/>
    <cellStyle name="Normal 2 3 8 5 5 2" xfId="29982" xr:uid="{00000000-0005-0000-0000-0000C3440000}"/>
    <cellStyle name="Normal 2 3 8 5 6" xfId="20952" xr:uid="{00000000-0005-0000-0000-0000C4440000}"/>
    <cellStyle name="Normal 2 3 8 6" xfId="1649" xr:uid="{00000000-0005-0000-0000-0000C5440000}"/>
    <cellStyle name="Normal 2 3 8 6 2" xfId="6131" xr:uid="{00000000-0005-0000-0000-0000C6440000}"/>
    <cellStyle name="Normal 2 3 8 6 2 2" xfId="15161" xr:uid="{00000000-0005-0000-0000-0000C7440000}"/>
    <cellStyle name="Normal 2 3 8 6 2 2 2" xfId="35213" xr:uid="{00000000-0005-0000-0000-0000C8440000}"/>
    <cellStyle name="Normal 2 3 8 6 2 3" xfId="26183" xr:uid="{00000000-0005-0000-0000-0000C9440000}"/>
    <cellStyle name="Normal 2 3 8 6 3" xfId="10679" xr:uid="{00000000-0005-0000-0000-0000CA440000}"/>
    <cellStyle name="Normal 2 3 8 6 3 2" xfId="30731" xr:uid="{00000000-0005-0000-0000-0000CB440000}"/>
    <cellStyle name="Normal 2 3 8 6 4" xfId="21701" xr:uid="{00000000-0005-0000-0000-0000CC440000}"/>
    <cellStyle name="Normal 2 3 8 7" xfId="3143" xr:uid="{00000000-0005-0000-0000-0000CD440000}"/>
    <cellStyle name="Normal 2 3 8 7 2" xfId="7625" xr:uid="{00000000-0005-0000-0000-0000CE440000}"/>
    <cellStyle name="Normal 2 3 8 7 2 2" xfId="16655" xr:uid="{00000000-0005-0000-0000-0000CF440000}"/>
    <cellStyle name="Normal 2 3 8 7 2 2 2" xfId="36707" xr:uid="{00000000-0005-0000-0000-0000D0440000}"/>
    <cellStyle name="Normal 2 3 8 7 2 3" xfId="27677" xr:uid="{00000000-0005-0000-0000-0000D1440000}"/>
    <cellStyle name="Normal 2 3 8 7 3" xfId="12173" xr:uid="{00000000-0005-0000-0000-0000D2440000}"/>
    <cellStyle name="Normal 2 3 8 7 3 2" xfId="32225" xr:uid="{00000000-0005-0000-0000-0000D3440000}"/>
    <cellStyle name="Normal 2 3 8 7 4" xfId="23195" xr:uid="{00000000-0005-0000-0000-0000D4440000}"/>
    <cellStyle name="Normal 2 3 8 8" xfId="4637" xr:uid="{00000000-0005-0000-0000-0000D5440000}"/>
    <cellStyle name="Normal 2 3 8 8 2" xfId="13667" xr:uid="{00000000-0005-0000-0000-0000D6440000}"/>
    <cellStyle name="Normal 2 3 8 8 2 2" xfId="33719" xr:uid="{00000000-0005-0000-0000-0000D7440000}"/>
    <cellStyle name="Normal 2 3 8 8 3" xfId="24689" xr:uid="{00000000-0005-0000-0000-0000D8440000}"/>
    <cellStyle name="Normal 2 3 8 9" xfId="9185" xr:uid="{00000000-0005-0000-0000-0000D9440000}"/>
    <cellStyle name="Normal 2 3 8 9 2" xfId="29237" xr:uid="{00000000-0005-0000-0000-0000DA440000}"/>
    <cellStyle name="Normal 2 3 9" xfId="178" xr:uid="{00000000-0005-0000-0000-0000DB440000}"/>
    <cellStyle name="Normal 2 3 9 10" xfId="20230" xr:uid="{00000000-0005-0000-0000-0000DC440000}"/>
    <cellStyle name="Normal 2 3 9 2" xfId="364" xr:uid="{00000000-0005-0000-0000-0000DD440000}"/>
    <cellStyle name="Normal 2 3 9 2 2" xfId="1107" xr:uid="{00000000-0005-0000-0000-0000DE440000}"/>
    <cellStyle name="Normal 2 3 9 2 2 2" xfId="2601" xr:uid="{00000000-0005-0000-0000-0000DF440000}"/>
    <cellStyle name="Normal 2 3 9 2 2 2 2" xfId="7083" xr:uid="{00000000-0005-0000-0000-0000E0440000}"/>
    <cellStyle name="Normal 2 3 9 2 2 2 2 2" xfId="16113" xr:uid="{00000000-0005-0000-0000-0000E1440000}"/>
    <cellStyle name="Normal 2 3 9 2 2 2 2 2 2" xfId="36165" xr:uid="{00000000-0005-0000-0000-0000E2440000}"/>
    <cellStyle name="Normal 2 3 9 2 2 2 2 3" xfId="27135" xr:uid="{00000000-0005-0000-0000-0000E3440000}"/>
    <cellStyle name="Normal 2 3 9 2 2 2 3" xfId="11631" xr:uid="{00000000-0005-0000-0000-0000E4440000}"/>
    <cellStyle name="Normal 2 3 9 2 2 2 3 2" xfId="31683" xr:uid="{00000000-0005-0000-0000-0000E5440000}"/>
    <cellStyle name="Normal 2 3 9 2 2 2 4" xfId="22653" xr:uid="{00000000-0005-0000-0000-0000E6440000}"/>
    <cellStyle name="Normal 2 3 9 2 2 3" xfId="4095" xr:uid="{00000000-0005-0000-0000-0000E7440000}"/>
    <cellStyle name="Normal 2 3 9 2 2 3 2" xfId="8577" xr:uid="{00000000-0005-0000-0000-0000E8440000}"/>
    <cellStyle name="Normal 2 3 9 2 2 3 2 2" xfId="17607" xr:uid="{00000000-0005-0000-0000-0000E9440000}"/>
    <cellStyle name="Normal 2 3 9 2 2 3 2 2 2" xfId="37659" xr:uid="{00000000-0005-0000-0000-0000EA440000}"/>
    <cellStyle name="Normal 2 3 9 2 2 3 2 3" xfId="28629" xr:uid="{00000000-0005-0000-0000-0000EB440000}"/>
    <cellStyle name="Normal 2 3 9 2 2 3 3" xfId="13125" xr:uid="{00000000-0005-0000-0000-0000EC440000}"/>
    <cellStyle name="Normal 2 3 9 2 2 3 3 2" xfId="33177" xr:uid="{00000000-0005-0000-0000-0000ED440000}"/>
    <cellStyle name="Normal 2 3 9 2 2 3 4" xfId="24147" xr:uid="{00000000-0005-0000-0000-0000EE440000}"/>
    <cellStyle name="Normal 2 3 9 2 2 4" xfId="5589" xr:uid="{00000000-0005-0000-0000-0000EF440000}"/>
    <cellStyle name="Normal 2 3 9 2 2 4 2" xfId="14619" xr:uid="{00000000-0005-0000-0000-0000F0440000}"/>
    <cellStyle name="Normal 2 3 9 2 2 4 2 2" xfId="34671" xr:uid="{00000000-0005-0000-0000-0000F1440000}"/>
    <cellStyle name="Normal 2 3 9 2 2 4 3" xfId="25641" xr:uid="{00000000-0005-0000-0000-0000F2440000}"/>
    <cellStyle name="Normal 2 3 9 2 2 5" xfId="10137" xr:uid="{00000000-0005-0000-0000-0000F3440000}"/>
    <cellStyle name="Normal 2 3 9 2 2 5 2" xfId="30189" xr:uid="{00000000-0005-0000-0000-0000F4440000}"/>
    <cellStyle name="Normal 2 3 9 2 2 6" xfId="21159" xr:uid="{00000000-0005-0000-0000-0000F5440000}"/>
    <cellStyle name="Normal 2 3 9 2 3" xfId="1858" xr:uid="{00000000-0005-0000-0000-0000F6440000}"/>
    <cellStyle name="Normal 2 3 9 2 3 2" xfId="6340" xr:uid="{00000000-0005-0000-0000-0000F7440000}"/>
    <cellStyle name="Normal 2 3 9 2 3 2 2" xfId="15370" xr:uid="{00000000-0005-0000-0000-0000F8440000}"/>
    <cellStyle name="Normal 2 3 9 2 3 2 2 2" xfId="35422" xr:uid="{00000000-0005-0000-0000-0000F9440000}"/>
    <cellStyle name="Normal 2 3 9 2 3 2 3" xfId="26392" xr:uid="{00000000-0005-0000-0000-0000FA440000}"/>
    <cellStyle name="Normal 2 3 9 2 3 3" xfId="10888" xr:uid="{00000000-0005-0000-0000-0000FB440000}"/>
    <cellStyle name="Normal 2 3 9 2 3 3 2" xfId="30940" xr:uid="{00000000-0005-0000-0000-0000FC440000}"/>
    <cellStyle name="Normal 2 3 9 2 3 4" xfId="21910" xr:uid="{00000000-0005-0000-0000-0000FD440000}"/>
    <cellStyle name="Normal 2 3 9 2 4" xfId="3352" xr:uid="{00000000-0005-0000-0000-0000FE440000}"/>
    <cellStyle name="Normal 2 3 9 2 4 2" xfId="7834" xr:uid="{00000000-0005-0000-0000-0000FF440000}"/>
    <cellStyle name="Normal 2 3 9 2 4 2 2" xfId="16864" xr:uid="{00000000-0005-0000-0000-000000450000}"/>
    <cellStyle name="Normal 2 3 9 2 4 2 2 2" xfId="36916" xr:uid="{00000000-0005-0000-0000-000001450000}"/>
    <cellStyle name="Normal 2 3 9 2 4 2 3" xfId="27886" xr:uid="{00000000-0005-0000-0000-000002450000}"/>
    <cellStyle name="Normal 2 3 9 2 4 3" xfId="12382" xr:uid="{00000000-0005-0000-0000-000003450000}"/>
    <cellStyle name="Normal 2 3 9 2 4 3 2" xfId="32434" xr:uid="{00000000-0005-0000-0000-000004450000}"/>
    <cellStyle name="Normal 2 3 9 2 4 4" xfId="23404" xr:uid="{00000000-0005-0000-0000-000005450000}"/>
    <cellStyle name="Normal 2 3 9 2 5" xfId="4846" xr:uid="{00000000-0005-0000-0000-000006450000}"/>
    <cellStyle name="Normal 2 3 9 2 5 2" xfId="13876" xr:uid="{00000000-0005-0000-0000-000007450000}"/>
    <cellStyle name="Normal 2 3 9 2 5 2 2" xfId="33928" xr:uid="{00000000-0005-0000-0000-000008450000}"/>
    <cellStyle name="Normal 2 3 9 2 5 3" xfId="24898" xr:uid="{00000000-0005-0000-0000-000009450000}"/>
    <cellStyle name="Normal 2 3 9 2 6" xfId="9394" xr:uid="{00000000-0005-0000-0000-00000A450000}"/>
    <cellStyle name="Normal 2 3 9 2 6 2" xfId="29446" xr:uid="{00000000-0005-0000-0000-00000B450000}"/>
    <cellStyle name="Normal 2 3 9 2 7" xfId="20416" xr:uid="{00000000-0005-0000-0000-00000C450000}"/>
    <cellStyle name="Normal 2 3 9 3" xfId="550" xr:uid="{00000000-0005-0000-0000-00000D450000}"/>
    <cellStyle name="Normal 2 3 9 3 2" xfId="1297" xr:uid="{00000000-0005-0000-0000-00000E450000}"/>
    <cellStyle name="Normal 2 3 9 3 2 2" xfId="2791" xr:uid="{00000000-0005-0000-0000-00000F450000}"/>
    <cellStyle name="Normal 2 3 9 3 2 2 2" xfId="7273" xr:uid="{00000000-0005-0000-0000-000010450000}"/>
    <cellStyle name="Normal 2 3 9 3 2 2 2 2" xfId="16303" xr:uid="{00000000-0005-0000-0000-000011450000}"/>
    <cellStyle name="Normal 2 3 9 3 2 2 2 2 2" xfId="36355" xr:uid="{00000000-0005-0000-0000-000012450000}"/>
    <cellStyle name="Normal 2 3 9 3 2 2 2 3" xfId="27325" xr:uid="{00000000-0005-0000-0000-000013450000}"/>
    <cellStyle name="Normal 2 3 9 3 2 2 3" xfId="11821" xr:uid="{00000000-0005-0000-0000-000014450000}"/>
    <cellStyle name="Normal 2 3 9 3 2 2 3 2" xfId="31873" xr:uid="{00000000-0005-0000-0000-000015450000}"/>
    <cellStyle name="Normal 2 3 9 3 2 2 4" xfId="22843" xr:uid="{00000000-0005-0000-0000-000016450000}"/>
    <cellStyle name="Normal 2 3 9 3 2 3" xfId="4285" xr:uid="{00000000-0005-0000-0000-000017450000}"/>
    <cellStyle name="Normal 2 3 9 3 2 3 2" xfId="8767" xr:uid="{00000000-0005-0000-0000-000018450000}"/>
    <cellStyle name="Normal 2 3 9 3 2 3 2 2" xfId="17797" xr:uid="{00000000-0005-0000-0000-000019450000}"/>
    <cellStyle name="Normal 2 3 9 3 2 3 2 2 2" xfId="37849" xr:uid="{00000000-0005-0000-0000-00001A450000}"/>
    <cellStyle name="Normal 2 3 9 3 2 3 2 3" xfId="28819" xr:uid="{00000000-0005-0000-0000-00001B450000}"/>
    <cellStyle name="Normal 2 3 9 3 2 3 3" xfId="13315" xr:uid="{00000000-0005-0000-0000-00001C450000}"/>
    <cellStyle name="Normal 2 3 9 3 2 3 3 2" xfId="33367" xr:uid="{00000000-0005-0000-0000-00001D450000}"/>
    <cellStyle name="Normal 2 3 9 3 2 3 4" xfId="24337" xr:uid="{00000000-0005-0000-0000-00001E450000}"/>
    <cellStyle name="Normal 2 3 9 3 2 4" xfId="5779" xr:uid="{00000000-0005-0000-0000-00001F450000}"/>
    <cellStyle name="Normal 2 3 9 3 2 4 2" xfId="14809" xr:uid="{00000000-0005-0000-0000-000020450000}"/>
    <cellStyle name="Normal 2 3 9 3 2 4 2 2" xfId="34861" xr:uid="{00000000-0005-0000-0000-000021450000}"/>
    <cellStyle name="Normal 2 3 9 3 2 4 3" xfId="25831" xr:uid="{00000000-0005-0000-0000-000022450000}"/>
    <cellStyle name="Normal 2 3 9 3 2 5" xfId="10327" xr:uid="{00000000-0005-0000-0000-000023450000}"/>
    <cellStyle name="Normal 2 3 9 3 2 5 2" xfId="30379" xr:uid="{00000000-0005-0000-0000-000024450000}"/>
    <cellStyle name="Normal 2 3 9 3 2 6" xfId="21349" xr:uid="{00000000-0005-0000-0000-000025450000}"/>
    <cellStyle name="Normal 2 3 9 3 3" xfId="2044" xr:uid="{00000000-0005-0000-0000-000026450000}"/>
    <cellStyle name="Normal 2 3 9 3 3 2" xfId="6526" xr:uid="{00000000-0005-0000-0000-000027450000}"/>
    <cellStyle name="Normal 2 3 9 3 3 2 2" xfId="15556" xr:uid="{00000000-0005-0000-0000-000028450000}"/>
    <cellStyle name="Normal 2 3 9 3 3 2 2 2" xfId="35608" xr:uid="{00000000-0005-0000-0000-000029450000}"/>
    <cellStyle name="Normal 2 3 9 3 3 2 3" xfId="26578" xr:uid="{00000000-0005-0000-0000-00002A450000}"/>
    <cellStyle name="Normal 2 3 9 3 3 3" xfId="11074" xr:uid="{00000000-0005-0000-0000-00002B450000}"/>
    <cellStyle name="Normal 2 3 9 3 3 3 2" xfId="31126" xr:uid="{00000000-0005-0000-0000-00002C450000}"/>
    <cellStyle name="Normal 2 3 9 3 3 4" xfId="22096" xr:uid="{00000000-0005-0000-0000-00002D450000}"/>
    <cellStyle name="Normal 2 3 9 3 4" xfId="3538" xr:uid="{00000000-0005-0000-0000-00002E450000}"/>
    <cellStyle name="Normal 2 3 9 3 4 2" xfId="8020" xr:uid="{00000000-0005-0000-0000-00002F450000}"/>
    <cellStyle name="Normal 2 3 9 3 4 2 2" xfId="17050" xr:uid="{00000000-0005-0000-0000-000030450000}"/>
    <cellStyle name="Normal 2 3 9 3 4 2 2 2" xfId="37102" xr:uid="{00000000-0005-0000-0000-000031450000}"/>
    <cellStyle name="Normal 2 3 9 3 4 2 3" xfId="28072" xr:uid="{00000000-0005-0000-0000-000032450000}"/>
    <cellStyle name="Normal 2 3 9 3 4 3" xfId="12568" xr:uid="{00000000-0005-0000-0000-000033450000}"/>
    <cellStyle name="Normal 2 3 9 3 4 3 2" xfId="32620" xr:uid="{00000000-0005-0000-0000-000034450000}"/>
    <cellStyle name="Normal 2 3 9 3 4 4" xfId="23590" xr:uid="{00000000-0005-0000-0000-000035450000}"/>
    <cellStyle name="Normal 2 3 9 3 5" xfId="5032" xr:uid="{00000000-0005-0000-0000-000036450000}"/>
    <cellStyle name="Normal 2 3 9 3 5 2" xfId="14062" xr:uid="{00000000-0005-0000-0000-000037450000}"/>
    <cellStyle name="Normal 2 3 9 3 5 2 2" xfId="34114" xr:uid="{00000000-0005-0000-0000-000038450000}"/>
    <cellStyle name="Normal 2 3 9 3 5 3" xfId="25084" xr:uid="{00000000-0005-0000-0000-000039450000}"/>
    <cellStyle name="Normal 2 3 9 3 6" xfId="9580" xr:uid="{00000000-0005-0000-0000-00003A450000}"/>
    <cellStyle name="Normal 2 3 9 3 6 2" xfId="29632" xr:uid="{00000000-0005-0000-0000-00003B450000}"/>
    <cellStyle name="Normal 2 3 9 3 7" xfId="20602" xr:uid="{00000000-0005-0000-0000-00003C450000}"/>
    <cellStyle name="Normal 2 3 9 4" xfId="736" xr:uid="{00000000-0005-0000-0000-00003D450000}"/>
    <cellStyle name="Normal 2 3 9 4 2" xfId="1483" xr:uid="{00000000-0005-0000-0000-00003E450000}"/>
    <cellStyle name="Normal 2 3 9 4 2 2" xfId="2977" xr:uid="{00000000-0005-0000-0000-00003F450000}"/>
    <cellStyle name="Normal 2 3 9 4 2 2 2" xfId="7459" xr:uid="{00000000-0005-0000-0000-000040450000}"/>
    <cellStyle name="Normal 2 3 9 4 2 2 2 2" xfId="16489" xr:uid="{00000000-0005-0000-0000-000041450000}"/>
    <cellStyle name="Normal 2 3 9 4 2 2 2 2 2" xfId="36541" xr:uid="{00000000-0005-0000-0000-000042450000}"/>
    <cellStyle name="Normal 2 3 9 4 2 2 2 3" xfId="27511" xr:uid="{00000000-0005-0000-0000-000043450000}"/>
    <cellStyle name="Normal 2 3 9 4 2 2 3" xfId="12007" xr:uid="{00000000-0005-0000-0000-000044450000}"/>
    <cellStyle name="Normal 2 3 9 4 2 2 3 2" xfId="32059" xr:uid="{00000000-0005-0000-0000-000045450000}"/>
    <cellStyle name="Normal 2 3 9 4 2 2 4" xfId="23029" xr:uid="{00000000-0005-0000-0000-000046450000}"/>
    <cellStyle name="Normal 2 3 9 4 2 3" xfId="4471" xr:uid="{00000000-0005-0000-0000-000047450000}"/>
    <cellStyle name="Normal 2 3 9 4 2 3 2" xfId="8953" xr:uid="{00000000-0005-0000-0000-000048450000}"/>
    <cellStyle name="Normal 2 3 9 4 2 3 2 2" xfId="17983" xr:uid="{00000000-0005-0000-0000-000049450000}"/>
    <cellStyle name="Normal 2 3 9 4 2 3 2 2 2" xfId="38035" xr:uid="{00000000-0005-0000-0000-00004A450000}"/>
    <cellStyle name="Normal 2 3 9 4 2 3 2 3" xfId="29005" xr:uid="{00000000-0005-0000-0000-00004B450000}"/>
    <cellStyle name="Normal 2 3 9 4 2 3 3" xfId="13501" xr:uid="{00000000-0005-0000-0000-00004C450000}"/>
    <cellStyle name="Normal 2 3 9 4 2 3 3 2" xfId="33553" xr:uid="{00000000-0005-0000-0000-00004D450000}"/>
    <cellStyle name="Normal 2 3 9 4 2 3 4" xfId="24523" xr:uid="{00000000-0005-0000-0000-00004E450000}"/>
    <cellStyle name="Normal 2 3 9 4 2 4" xfId="5965" xr:uid="{00000000-0005-0000-0000-00004F450000}"/>
    <cellStyle name="Normal 2 3 9 4 2 4 2" xfId="14995" xr:uid="{00000000-0005-0000-0000-000050450000}"/>
    <cellStyle name="Normal 2 3 9 4 2 4 2 2" xfId="35047" xr:uid="{00000000-0005-0000-0000-000051450000}"/>
    <cellStyle name="Normal 2 3 9 4 2 4 3" xfId="26017" xr:uid="{00000000-0005-0000-0000-000052450000}"/>
    <cellStyle name="Normal 2 3 9 4 2 5" xfId="10513" xr:uid="{00000000-0005-0000-0000-000053450000}"/>
    <cellStyle name="Normal 2 3 9 4 2 5 2" xfId="30565" xr:uid="{00000000-0005-0000-0000-000054450000}"/>
    <cellStyle name="Normal 2 3 9 4 2 6" xfId="21535" xr:uid="{00000000-0005-0000-0000-000055450000}"/>
    <cellStyle name="Normal 2 3 9 4 3" xfId="2230" xr:uid="{00000000-0005-0000-0000-000056450000}"/>
    <cellStyle name="Normal 2 3 9 4 3 2" xfId="6712" xr:uid="{00000000-0005-0000-0000-000057450000}"/>
    <cellStyle name="Normal 2 3 9 4 3 2 2" xfId="15742" xr:uid="{00000000-0005-0000-0000-000058450000}"/>
    <cellStyle name="Normal 2 3 9 4 3 2 2 2" xfId="35794" xr:uid="{00000000-0005-0000-0000-000059450000}"/>
    <cellStyle name="Normal 2 3 9 4 3 2 3" xfId="26764" xr:uid="{00000000-0005-0000-0000-00005A450000}"/>
    <cellStyle name="Normal 2 3 9 4 3 3" xfId="11260" xr:uid="{00000000-0005-0000-0000-00005B450000}"/>
    <cellStyle name="Normal 2 3 9 4 3 3 2" xfId="31312" xr:uid="{00000000-0005-0000-0000-00005C450000}"/>
    <cellStyle name="Normal 2 3 9 4 3 4" xfId="22282" xr:uid="{00000000-0005-0000-0000-00005D450000}"/>
    <cellStyle name="Normal 2 3 9 4 4" xfId="3724" xr:uid="{00000000-0005-0000-0000-00005E450000}"/>
    <cellStyle name="Normal 2 3 9 4 4 2" xfId="8206" xr:uid="{00000000-0005-0000-0000-00005F450000}"/>
    <cellStyle name="Normal 2 3 9 4 4 2 2" xfId="17236" xr:uid="{00000000-0005-0000-0000-000060450000}"/>
    <cellStyle name="Normal 2 3 9 4 4 2 2 2" xfId="37288" xr:uid="{00000000-0005-0000-0000-000061450000}"/>
    <cellStyle name="Normal 2 3 9 4 4 2 3" xfId="28258" xr:uid="{00000000-0005-0000-0000-000062450000}"/>
    <cellStyle name="Normal 2 3 9 4 4 3" xfId="12754" xr:uid="{00000000-0005-0000-0000-000063450000}"/>
    <cellStyle name="Normal 2 3 9 4 4 3 2" xfId="32806" xr:uid="{00000000-0005-0000-0000-000064450000}"/>
    <cellStyle name="Normal 2 3 9 4 4 4" xfId="23776" xr:uid="{00000000-0005-0000-0000-000065450000}"/>
    <cellStyle name="Normal 2 3 9 4 5" xfId="5218" xr:uid="{00000000-0005-0000-0000-000066450000}"/>
    <cellStyle name="Normal 2 3 9 4 5 2" xfId="14248" xr:uid="{00000000-0005-0000-0000-000067450000}"/>
    <cellStyle name="Normal 2 3 9 4 5 2 2" xfId="34300" xr:uid="{00000000-0005-0000-0000-000068450000}"/>
    <cellStyle name="Normal 2 3 9 4 5 3" xfId="25270" xr:uid="{00000000-0005-0000-0000-000069450000}"/>
    <cellStyle name="Normal 2 3 9 4 6" xfId="9766" xr:uid="{00000000-0005-0000-0000-00006A450000}"/>
    <cellStyle name="Normal 2 3 9 4 6 2" xfId="29818" xr:uid="{00000000-0005-0000-0000-00006B450000}"/>
    <cellStyle name="Normal 2 3 9 4 7" xfId="20788" xr:uid="{00000000-0005-0000-0000-00006C450000}"/>
    <cellStyle name="Normal 2 3 9 5" xfId="923" xr:uid="{00000000-0005-0000-0000-00006D450000}"/>
    <cellStyle name="Normal 2 3 9 5 2" xfId="2417" xr:uid="{00000000-0005-0000-0000-00006E450000}"/>
    <cellStyle name="Normal 2 3 9 5 2 2" xfId="6899" xr:uid="{00000000-0005-0000-0000-00006F450000}"/>
    <cellStyle name="Normal 2 3 9 5 2 2 2" xfId="15929" xr:uid="{00000000-0005-0000-0000-000070450000}"/>
    <cellStyle name="Normal 2 3 9 5 2 2 2 2" xfId="35981" xr:uid="{00000000-0005-0000-0000-000071450000}"/>
    <cellStyle name="Normal 2 3 9 5 2 2 3" xfId="26951" xr:uid="{00000000-0005-0000-0000-000072450000}"/>
    <cellStyle name="Normal 2 3 9 5 2 3" xfId="11447" xr:uid="{00000000-0005-0000-0000-000073450000}"/>
    <cellStyle name="Normal 2 3 9 5 2 3 2" xfId="31499" xr:uid="{00000000-0005-0000-0000-000074450000}"/>
    <cellStyle name="Normal 2 3 9 5 2 4" xfId="22469" xr:uid="{00000000-0005-0000-0000-000075450000}"/>
    <cellStyle name="Normal 2 3 9 5 3" xfId="3911" xr:uid="{00000000-0005-0000-0000-000076450000}"/>
    <cellStyle name="Normal 2 3 9 5 3 2" xfId="8393" xr:uid="{00000000-0005-0000-0000-000077450000}"/>
    <cellStyle name="Normal 2 3 9 5 3 2 2" xfId="17423" xr:uid="{00000000-0005-0000-0000-000078450000}"/>
    <cellStyle name="Normal 2 3 9 5 3 2 2 2" xfId="37475" xr:uid="{00000000-0005-0000-0000-000079450000}"/>
    <cellStyle name="Normal 2 3 9 5 3 2 3" xfId="28445" xr:uid="{00000000-0005-0000-0000-00007A450000}"/>
    <cellStyle name="Normal 2 3 9 5 3 3" xfId="12941" xr:uid="{00000000-0005-0000-0000-00007B450000}"/>
    <cellStyle name="Normal 2 3 9 5 3 3 2" xfId="32993" xr:uid="{00000000-0005-0000-0000-00007C450000}"/>
    <cellStyle name="Normal 2 3 9 5 3 4" xfId="23963" xr:uid="{00000000-0005-0000-0000-00007D450000}"/>
    <cellStyle name="Normal 2 3 9 5 4" xfId="5405" xr:uid="{00000000-0005-0000-0000-00007E450000}"/>
    <cellStyle name="Normal 2 3 9 5 4 2" xfId="14435" xr:uid="{00000000-0005-0000-0000-00007F450000}"/>
    <cellStyle name="Normal 2 3 9 5 4 2 2" xfId="34487" xr:uid="{00000000-0005-0000-0000-000080450000}"/>
    <cellStyle name="Normal 2 3 9 5 4 3" xfId="25457" xr:uid="{00000000-0005-0000-0000-000081450000}"/>
    <cellStyle name="Normal 2 3 9 5 5" xfId="9953" xr:uid="{00000000-0005-0000-0000-000082450000}"/>
    <cellStyle name="Normal 2 3 9 5 5 2" xfId="30005" xr:uid="{00000000-0005-0000-0000-000083450000}"/>
    <cellStyle name="Normal 2 3 9 5 6" xfId="20975" xr:uid="{00000000-0005-0000-0000-000084450000}"/>
    <cellStyle name="Normal 2 3 9 6" xfId="1672" xr:uid="{00000000-0005-0000-0000-000085450000}"/>
    <cellStyle name="Normal 2 3 9 6 2" xfId="6154" xr:uid="{00000000-0005-0000-0000-000086450000}"/>
    <cellStyle name="Normal 2 3 9 6 2 2" xfId="15184" xr:uid="{00000000-0005-0000-0000-000087450000}"/>
    <cellStyle name="Normal 2 3 9 6 2 2 2" xfId="35236" xr:uid="{00000000-0005-0000-0000-000088450000}"/>
    <cellStyle name="Normal 2 3 9 6 2 3" xfId="26206" xr:uid="{00000000-0005-0000-0000-000089450000}"/>
    <cellStyle name="Normal 2 3 9 6 3" xfId="10702" xr:uid="{00000000-0005-0000-0000-00008A450000}"/>
    <cellStyle name="Normal 2 3 9 6 3 2" xfId="30754" xr:uid="{00000000-0005-0000-0000-00008B450000}"/>
    <cellStyle name="Normal 2 3 9 6 4" xfId="21724" xr:uid="{00000000-0005-0000-0000-00008C450000}"/>
    <cellStyle name="Normal 2 3 9 7" xfId="3166" xr:uid="{00000000-0005-0000-0000-00008D450000}"/>
    <cellStyle name="Normal 2 3 9 7 2" xfId="7648" xr:uid="{00000000-0005-0000-0000-00008E450000}"/>
    <cellStyle name="Normal 2 3 9 7 2 2" xfId="16678" xr:uid="{00000000-0005-0000-0000-00008F450000}"/>
    <cellStyle name="Normal 2 3 9 7 2 2 2" xfId="36730" xr:uid="{00000000-0005-0000-0000-000090450000}"/>
    <cellStyle name="Normal 2 3 9 7 2 3" xfId="27700" xr:uid="{00000000-0005-0000-0000-000091450000}"/>
    <cellStyle name="Normal 2 3 9 7 3" xfId="12196" xr:uid="{00000000-0005-0000-0000-000092450000}"/>
    <cellStyle name="Normal 2 3 9 7 3 2" xfId="32248" xr:uid="{00000000-0005-0000-0000-000093450000}"/>
    <cellStyle name="Normal 2 3 9 7 4" xfId="23218" xr:uid="{00000000-0005-0000-0000-000094450000}"/>
    <cellStyle name="Normal 2 3 9 8" xfId="4660" xr:uid="{00000000-0005-0000-0000-000095450000}"/>
    <cellStyle name="Normal 2 3 9 8 2" xfId="13690" xr:uid="{00000000-0005-0000-0000-000096450000}"/>
    <cellStyle name="Normal 2 3 9 8 2 2" xfId="33742" xr:uid="{00000000-0005-0000-0000-000097450000}"/>
    <cellStyle name="Normal 2 3 9 8 3" xfId="24712" xr:uid="{00000000-0005-0000-0000-000098450000}"/>
    <cellStyle name="Normal 2 3 9 9" xfId="9208" xr:uid="{00000000-0005-0000-0000-000099450000}"/>
    <cellStyle name="Normal 2 3 9 9 2" xfId="29260" xr:uid="{00000000-0005-0000-0000-00009A450000}"/>
    <cellStyle name="Normal 2 4" xfId="20" xr:uid="{00000000-0005-0000-0000-00009B450000}"/>
    <cellStyle name="Normal 2 4 10" xfId="392" xr:uid="{00000000-0005-0000-0000-00009C450000}"/>
    <cellStyle name="Normal 2 4 10 2" xfId="1139" xr:uid="{00000000-0005-0000-0000-00009D450000}"/>
    <cellStyle name="Normal 2 4 10 2 2" xfId="2633" xr:uid="{00000000-0005-0000-0000-00009E450000}"/>
    <cellStyle name="Normal 2 4 10 2 2 2" xfId="7115" xr:uid="{00000000-0005-0000-0000-00009F450000}"/>
    <cellStyle name="Normal 2 4 10 2 2 2 2" xfId="16145" xr:uid="{00000000-0005-0000-0000-0000A0450000}"/>
    <cellStyle name="Normal 2 4 10 2 2 2 2 2" xfId="36197" xr:uid="{00000000-0005-0000-0000-0000A1450000}"/>
    <cellStyle name="Normal 2 4 10 2 2 2 3" xfId="27167" xr:uid="{00000000-0005-0000-0000-0000A2450000}"/>
    <cellStyle name="Normal 2 4 10 2 2 3" xfId="11663" xr:uid="{00000000-0005-0000-0000-0000A3450000}"/>
    <cellStyle name="Normal 2 4 10 2 2 3 2" xfId="31715" xr:uid="{00000000-0005-0000-0000-0000A4450000}"/>
    <cellStyle name="Normal 2 4 10 2 2 4" xfId="22685" xr:uid="{00000000-0005-0000-0000-0000A5450000}"/>
    <cellStyle name="Normal 2 4 10 2 3" xfId="4127" xr:uid="{00000000-0005-0000-0000-0000A6450000}"/>
    <cellStyle name="Normal 2 4 10 2 3 2" xfId="8609" xr:uid="{00000000-0005-0000-0000-0000A7450000}"/>
    <cellStyle name="Normal 2 4 10 2 3 2 2" xfId="17639" xr:uid="{00000000-0005-0000-0000-0000A8450000}"/>
    <cellStyle name="Normal 2 4 10 2 3 2 2 2" xfId="37691" xr:uid="{00000000-0005-0000-0000-0000A9450000}"/>
    <cellStyle name="Normal 2 4 10 2 3 2 3" xfId="28661" xr:uid="{00000000-0005-0000-0000-0000AA450000}"/>
    <cellStyle name="Normal 2 4 10 2 3 3" xfId="13157" xr:uid="{00000000-0005-0000-0000-0000AB450000}"/>
    <cellStyle name="Normal 2 4 10 2 3 3 2" xfId="33209" xr:uid="{00000000-0005-0000-0000-0000AC450000}"/>
    <cellStyle name="Normal 2 4 10 2 3 4" xfId="24179" xr:uid="{00000000-0005-0000-0000-0000AD450000}"/>
    <cellStyle name="Normal 2 4 10 2 4" xfId="5621" xr:uid="{00000000-0005-0000-0000-0000AE450000}"/>
    <cellStyle name="Normal 2 4 10 2 4 2" xfId="14651" xr:uid="{00000000-0005-0000-0000-0000AF450000}"/>
    <cellStyle name="Normal 2 4 10 2 4 2 2" xfId="34703" xr:uid="{00000000-0005-0000-0000-0000B0450000}"/>
    <cellStyle name="Normal 2 4 10 2 4 3" xfId="25673" xr:uid="{00000000-0005-0000-0000-0000B1450000}"/>
    <cellStyle name="Normal 2 4 10 2 5" xfId="10169" xr:uid="{00000000-0005-0000-0000-0000B2450000}"/>
    <cellStyle name="Normal 2 4 10 2 5 2" xfId="30221" xr:uid="{00000000-0005-0000-0000-0000B3450000}"/>
    <cellStyle name="Normal 2 4 10 2 6" xfId="21191" xr:uid="{00000000-0005-0000-0000-0000B4450000}"/>
    <cellStyle name="Normal 2 4 10 3" xfId="1886" xr:uid="{00000000-0005-0000-0000-0000B5450000}"/>
    <cellStyle name="Normal 2 4 10 3 2" xfId="6368" xr:uid="{00000000-0005-0000-0000-0000B6450000}"/>
    <cellStyle name="Normal 2 4 10 3 2 2" xfId="15398" xr:uid="{00000000-0005-0000-0000-0000B7450000}"/>
    <cellStyle name="Normal 2 4 10 3 2 2 2" xfId="35450" xr:uid="{00000000-0005-0000-0000-0000B8450000}"/>
    <cellStyle name="Normal 2 4 10 3 2 3" xfId="26420" xr:uid="{00000000-0005-0000-0000-0000B9450000}"/>
    <cellStyle name="Normal 2 4 10 3 3" xfId="10916" xr:uid="{00000000-0005-0000-0000-0000BA450000}"/>
    <cellStyle name="Normal 2 4 10 3 3 2" xfId="30968" xr:uid="{00000000-0005-0000-0000-0000BB450000}"/>
    <cellStyle name="Normal 2 4 10 3 4" xfId="21938" xr:uid="{00000000-0005-0000-0000-0000BC450000}"/>
    <cellStyle name="Normal 2 4 10 4" xfId="3380" xr:uid="{00000000-0005-0000-0000-0000BD450000}"/>
    <cellStyle name="Normal 2 4 10 4 2" xfId="7862" xr:uid="{00000000-0005-0000-0000-0000BE450000}"/>
    <cellStyle name="Normal 2 4 10 4 2 2" xfId="16892" xr:uid="{00000000-0005-0000-0000-0000BF450000}"/>
    <cellStyle name="Normal 2 4 10 4 2 2 2" xfId="36944" xr:uid="{00000000-0005-0000-0000-0000C0450000}"/>
    <cellStyle name="Normal 2 4 10 4 2 3" xfId="27914" xr:uid="{00000000-0005-0000-0000-0000C1450000}"/>
    <cellStyle name="Normal 2 4 10 4 3" xfId="12410" xr:uid="{00000000-0005-0000-0000-0000C2450000}"/>
    <cellStyle name="Normal 2 4 10 4 3 2" xfId="32462" xr:uid="{00000000-0005-0000-0000-0000C3450000}"/>
    <cellStyle name="Normal 2 4 10 4 4" xfId="23432" xr:uid="{00000000-0005-0000-0000-0000C4450000}"/>
    <cellStyle name="Normal 2 4 10 5" xfId="4874" xr:uid="{00000000-0005-0000-0000-0000C5450000}"/>
    <cellStyle name="Normal 2 4 10 5 2" xfId="13904" xr:uid="{00000000-0005-0000-0000-0000C6450000}"/>
    <cellStyle name="Normal 2 4 10 5 2 2" xfId="33956" xr:uid="{00000000-0005-0000-0000-0000C7450000}"/>
    <cellStyle name="Normal 2 4 10 5 3" xfId="24926" xr:uid="{00000000-0005-0000-0000-0000C8450000}"/>
    <cellStyle name="Normal 2 4 10 6" xfId="9422" xr:uid="{00000000-0005-0000-0000-0000C9450000}"/>
    <cellStyle name="Normal 2 4 10 6 2" xfId="29474" xr:uid="{00000000-0005-0000-0000-0000CA450000}"/>
    <cellStyle name="Normal 2 4 10 7" xfId="20444" xr:uid="{00000000-0005-0000-0000-0000CB450000}"/>
    <cellStyle name="Normal 2 4 11" xfId="578" xr:uid="{00000000-0005-0000-0000-0000CC450000}"/>
    <cellStyle name="Normal 2 4 11 2" xfId="1325" xr:uid="{00000000-0005-0000-0000-0000CD450000}"/>
    <cellStyle name="Normal 2 4 11 2 2" xfId="2819" xr:uid="{00000000-0005-0000-0000-0000CE450000}"/>
    <cellStyle name="Normal 2 4 11 2 2 2" xfId="7301" xr:uid="{00000000-0005-0000-0000-0000CF450000}"/>
    <cellStyle name="Normal 2 4 11 2 2 2 2" xfId="16331" xr:uid="{00000000-0005-0000-0000-0000D0450000}"/>
    <cellStyle name="Normal 2 4 11 2 2 2 2 2" xfId="36383" xr:uid="{00000000-0005-0000-0000-0000D1450000}"/>
    <cellStyle name="Normal 2 4 11 2 2 2 3" xfId="27353" xr:uid="{00000000-0005-0000-0000-0000D2450000}"/>
    <cellStyle name="Normal 2 4 11 2 2 3" xfId="11849" xr:uid="{00000000-0005-0000-0000-0000D3450000}"/>
    <cellStyle name="Normal 2 4 11 2 2 3 2" xfId="31901" xr:uid="{00000000-0005-0000-0000-0000D4450000}"/>
    <cellStyle name="Normal 2 4 11 2 2 4" xfId="22871" xr:uid="{00000000-0005-0000-0000-0000D5450000}"/>
    <cellStyle name="Normal 2 4 11 2 3" xfId="4313" xr:uid="{00000000-0005-0000-0000-0000D6450000}"/>
    <cellStyle name="Normal 2 4 11 2 3 2" xfId="8795" xr:uid="{00000000-0005-0000-0000-0000D7450000}"/>
    <cellStyle name="Normal 2 4 11 2 3 2 2" xfId="17825" xr:uid="{00000000-0005-0000-0000-0000D8450000}"/>
    <cellStyle name="Normal 2 4 11 2 3 2 2 2" xfId="37877" xr:uid="{00000000-0005-0000-0000-0000D9450000}"/>
    <cellStyle name="Normal 2 4 11 2 3 2 3" xfId="28847" xr:uid="{00000000-0005-0000-0000-0000DA450000}"/>
    <cellStyle name="Normal 2 4 11 2 3 3" xfId="13343" xr:uid="{00000000-0005-0000-0000-0000DB450000}"/>
    <cellStyle name="Normal 2 4 11 2 3 3 2" xfId="33395" xr:uid="{00000000-0005-0000-0000-0000DC450000}"/>
    <cellStyle name="Normal 2 4 11 2 3 4" xfId="24365" xr:uid="{00000000-0005-0000-0000-0000DD450000}"/>
    <cellStyle name="Normal 2 4 11 2 4" xfId="5807" xr:uid="{00000000-0005-0000-0000-0000DE450000}"/>
    <cellStyle name="Normal 2 4 11 2 4 2" xfId="14837" xr:uid="{00000000-0005-0000-0000-0000DF450000}"/>
    <cellStyle name="Normal 2 4 11 2 4 2 2" xfId="34889" xr:uid="{00000000-0005-0000-0000-0000E0450000}"/>
    <cellStyle name="Normal 2 4 11 2 4 3" xfId="25859" xr:uid="{00000000-0005-0000-0000-0000E1450000}"/>
    <cellStyle name="Normal 2 4 11 2 5" xfId="10355" xr:uid="{00000000-0005-0000-0000-0000E2450000}"/>
    <cellStyle name="Normal 2 4 11 2 5 2" xfId="30407" xr:uid="{00000000-0005-0000-0000-0000E3450000}"/>
    <cellStyle name="Normal 2 4 11 2 6" xfId="21377" xr:uid="{00000000-0005-0000-0000-0000E4450000}"/>
    <cellStyle name="Normal 2 4 11 3" xfId="2072" xr:uid="{00000000-0005-0000-0000-0000E5450000}"/>
    <cellStyle name="Normal 2 4 11 3 2" xfId="6554" xr:uid="{00000000-0005-0000-0000-0000E6450000}"/>
    <cellStyle name="Normal 2 4 11 3 2 2" xfId="15584" xr:uid="{00000000-0005-0000-0000-0000E7450000}"/>
    <cellStyle name="Normal 2 4 11 3 2 2 2" xfId="35636" xr:uid="{00000000-0005-0000-0000-0000E8450000}"/>
    <cellStyle name="Normal 2 4 11 3 2 3" xfId="26606" xr:uid="{00000000-0005-0000-0000-0000E9450000}"/>
    <cellStyle name="Normal 2 4 11 3 3" xfId="11102" xr:uid="{00000000-0005-0000-0000-0000EA450000}"/>
    <cellStyle name="Normal 2 4 11 3 3 2" xfId="31154" xr:uid="{00000000-0005-0000-0000-0000EB450000}"/>
    <cellStyle name="Normal 2 4 11 3 4" xfId="22124" xr:uid="{00000000-0005-0000-0000-0000EC450000}"/>
    <cellStyle name="Normal 2 4 11 4" xfId="3566" xr:uid="{00000000-0005-0000-0000-0000ED450000}"/>
    <cellStyle name="Normal 2 4 11 4 2" xfId="8048" xr:uid="{00000000-0005-0000-0000-0000EE450000}"/>
    <cellStyle name="Normal 2 4 11 4 2 2" xfId="17078" xr:uid="{00000000-0005-0000-0000-0000EF450000}"/>
    <cellStyle name="Normal 2 4 11 4 2 2 2" xfId="37130" xr:uid="{00000000-0005-0000-0000-0000F0450000}"/>
    <cellStyle name="Normal 2 4 11 4 2 3" xfId="28100" xr:uid="{00000000-0005-0000-0000-0000F1450000}"/>
    <cellStyle name="Normal 2 4 11 4 3" xfId="12596" xr:uid="{00000000-0005-0000-0000-0000F2450000}"/>
    <cellStyle name="Normal 2 4 11 4 3 2" xfId="32648" xr:uid="{00000000-0005-0000-0000-0000F3450000}"/>
    <cellStyle name="Normal 2 4 11 4 4" xfId="23618" xr:uid="{00000000-0005-0000-0000-0000F4450000}"/>
    <cellStyle name="Normal 2 4 11 5" xfId="5060" xr:uid="{00000000-0005-0000-0000-0000F5450000}"/>
    <cellStyle name="Normal 2 4 11 5 2" xfId="14090" xr:uid="{00000000-0005-0000-0000-0000F6450000}"/>
    <cellStyle name="Normal 2 4 11 5 2 2" xfId="34142" xr:uid="{00000000-0005-0000-0000-0000F7450000}"/>
    <cellStyle name="Normal 2 4 11 5 3" xfId="25112" xr:uid="{00000000-0005-0000-0000-0000F8450000}"/>
    <cellStyle name="Normal 2 4 11 6" xfId="9608" xr:uid="{00000000-0005-0000-0000-0000F9450000}"/>
    <cellStyle name="Normal 2 4 11 6 2" xfId="29660" xr:uid="{00000000-0005-0000-0000-0000FA450000}"/>
    <cellStyle name="Normal 2 4 11 7" xfId="20630" xr:uid="{00000000-0005-0000-0000-0000FB450000}"/>
    <cellStyle name="Normal 2 4 12" xfId="765" xr:uid="{00000000-0005-0000-0000-0000FC450000}"/>
    <cellStyle name="Normal 2 4 12 2" xfId="2259" xr:uid="{00000000-0005-0000-0000-0000FD450000}"/>
    <cellStyle name="Normal 2 4 12 2 2" xfId="6741" xr:uid="{00000000-0005-0000-0000-0000FE450000}"/>
    <cellStyle name="Normal 2 4 12 2 2 2" xfId="15771" xr:uid="{00000000-0005-0000-0000-0000FF450000}"/>
    <cellStyle name="Normal 2 4 12 2 2 2 2" xfId="35823" xr:uid="{00000000-0005-0000-0000-000000460000}"/>
    <cellStyle name="Normal 2 4 12 2 2 3" xfId="26793" xr:uid="{00000000-0005-0000-0000-000001460000}"/>
    <cellStyle name="Normal 2 4 12 2 3" xfId="11289" xr:uid="{00000000-0005-0000-0000-000002460000}"/>
    <cellStyle name="Normal 2 4 12 2 3 2" xfId="31341" xr:uid="{00000000-0005-0000-0000-000003460000}"/>
    <cellStyle name="Normal 2 4 12 2 4" xfId="22311" xr:uid="{00000000-0005-0000-0000-000004460000}"/>
    <cellStyle name="Normal 2 4 12 3" xfId="3753" xr:uid="{00000000-0005-0000-0000-000005460000}"/>
    <cellStyle name="Normal 2 4 12 3 2" xfId="8235" xr:uid="{00000000-0005-0000-0000-000006460000}"/>
    <cellStyle name="Normal 2 4 12 3 2 2" xfId="17265" xr:uid="{00000000-0005-0000-0000-000007460000}"/>
    <cellStyle name="Normal 2 4 12 3 2 2 2" xfId="37317" xr:uid="{00000000-0005-0000-0000-000008460000}"/>
    <cellStyle name="Normal 2 4 12 3 2 3" xfId="28287" xr:uid="{00000000-0005-0000-0000-000009460000}"/>
    <cellStyle name="Normal 2 4 12 3 3" xfId="12783" xr:uid="{00000000-0005-0000-0000-00000A460000}"/>
    <cellStyle name="Normal 2 4 12 3 3 2" xfId="32835" xr:uid="{00000000-0005-0000-0000-00000B460000}"/>
    <cellStyle name="Normal 2 4 12 3 4" xfId="23805" xr:uid="{00000000-0005-0000-0000-00000C460000}"/>
    <cellStyle name="Normal 2 4 12 4" xfId="5247" xr:uid="{00000000-0005-0000-0000-00000D460000}"/>
    <cellStyle name="Normal 2 4 12 4 2" xfId="14277" xr:uid="{00000000-0005-0000-0000-00000E460000}"/>
    <cellStyle name="Normal 2 4 12 4 2 2" xfId="34329" xr:uid="{00000000-0005-0000-0000-00000F460000}"/>
    <cellStyle name="Normal 2 4 12 4 3" xfId="25299" xr:uid="{00000000-0005-0000-0000-000010460000}"/>
    <cellStyle name="Normal 2 4 12 5" xfId="9795" xr:uid="{00000000-0005-0000-0000-000011460000}"/>
    <cellStyle name="Normal 2 4 12 5 2" xfId="29847" xr:uid="{00000000-0005-0000-0000-000012460000}"/>
    <cellStyle name="Normal 2 4 12 6" xfId="20817" xr:uid="{00000000-0005-0000-0000-000013460000}"/>
    <cellStyle name="Normal 2 4 13" xfId="1514" xr:uid="{00000000-0005-0000-0000-000014460000}"/>
    <cellStyle name="Normal 2 4 13 2" xfId="5996" xr:uid="{00000000-0005-0000-0000-000015460000}"/>
    <cellStyle name="Normal 2 4 13 2 2" xfId="15026" xr:uid="{00000000-0005-0000-0000-000016460000}"/>
    <cellStyle name="Normal 2 4 13 2 2 2" xfId="35078" xr:uid="{00000000-0005-0000-0000-000017460000}"/>
    <cellStyle name="Normal 2 4 13 2 3" xfId="26048" xr:uid="{00000000-0005-0000-0000-000018460000}"/>
    <cellStyle name="Normal 2 4 13 3" xfId="10544" xr:uid="{00000000-0005-0000-0000-000019460000}"/>
    <cellStyle name="Normal 2 4 13 3 2" xfId="30596" xr:uid="{00000000-0005-0000-0000-00001A460000}"/>
    <cellStyle name="Normal 2 4 13 4" xfId="21566" xr:uid="{00000000-0005-0000-0000-00001B460000}"/>
    <cellStyle name="Normal 2 4 14" xfId="3008" xr:uid="{00000000-0005-0000-0000-00001C460000}"/>
    <cellStyle name="Normal 2 4 14 2" xfId="7490" xr:uid="{00000000-0005-0000-0000-00001D460000}"/>
    <cellStyle name="Normal 2 4 14 2 2" xfId="16520" xr:uid="{00000000-0005-0000-0000-00001E460000}"/>
    <cellStyle name="Normal 2 4 14 2 2 2" xfId="36572" xr:uid="{00000000-0005-0000-0000-00001F460000}"/>
    <cellStyle name="Normal 2 4 14 2 3" xfId="27542" xr:uid="{00000000-0005-0000-0000-000020460000}"/>
    <cellStyle name="Normal 2 4 14 3" xfId="12038" xr:uid="{00000000-0005-0000-0000-000021460000}"/>
    <cellStyle name="Normal 2 4 14 3 2" xfId="32090" xr:uid="{00000000-0005-0000-0000-000022460000}"/>
    <cellStyle name="Normal 2 4 14 4" xfId="23060" xr:uid="{00000000-0005-0000-0000-000023460000}"/>
    <cellStyle name="Normal 2 4 15" xfId="4502" xr:uid="{00000000-0005-0000-0000-000024460000}"/>
    <cellStyle name="Normal 2 4 15 2" xfId="13532" xr:uid="{00000000-0005-0000-0000-000025460000}"/>
    <cellStyle name="Normal 2 4 15 2 2" xfId="33584" xr:uid="{00000000-0005-0000-0000-000026460000}"/>
    <cellStyle name="Normal 2 4 15 3" xfId="24554" xr:uid="{00000000-0005-0000-0000-000027460000}"/>
    <cellStyle name="Normal 2 4 16" xfId="9050" xr:uid="{00000000-0005-0000-0000-000028460000}"/>
    <cellStyle name="Normal 2 4 16 2" xfId="29102" xr:uid="{00000000-0005-0000-0000-000029460000}"/>
    <cellStyle name="Normal 2 4 17" xfId="20072" xr:uid="{00000000-0005-0000-0000-00002A460000}"/>
    <cellStyle name="Normal 2 4 2" xfId="43" xr:uid="{00000000-0005-0000-0000-00002B460000}"/>
    <cellStyle name="Normal 2 4 2 10" xfId="20095" xr:uid="{00000000-0005-0000-0000-00002C460000}"/>
    <cellStyle name="Normal 2 4 2 2" xfId="229" xr:uid="{00000000-0005-0000-0000-00002D460000}"/>
    <cellStyle name="Normal 2 4 2 2 2" xfId="974" xr:uid="{00000000-0005-0000-0000-00002E460000}"/>
    <cellStyle name="Normal 2 4 2 2 2 2" xfId="2468" xr:uid="{00000000-0005-0000-0000-00002F460000}"/>
    <cellStyle name="Normal 2 4 2 2 2 2 2" xfId="6950" xr:uid="{00000000-0005-0000-0000-000030460000}"/>
    <cellStyle name="Normal 2 4 2 2 2 2 2 2" xfId="15980" xr:uid="{00000000-0005-0000-0000-000031460000}"/>
    <cellStyle name="Normal 2 4 2 2 2 2 2 2 2" xfId="36032" xr:uid="{00000000-0005-0000-0000-000032460000}"/>
    <cellStyle name="Normal 2 4 2 2 2 2 2 3" xfId="27002" xr:uid="{00000000-0005-0000-0000-000033460000}"/>
    <cellStyle name="Normal 2 4 2 2 2 2 3" xfId="11498" xr:uid="{00000000-0005-0000-0000-000034460000}"/>
    <cellStyle name="Normal 2 4 2 2 2 2 3 2" xfId="31550" xr:uid="{00000000-0005-0000-0000-000035460000}"/>
    <cellStyle name="Normal 2 4 2 2 2 2 4" xfId="22520" xr:uid="{00000000-0005-0000-0000-000036460000}"/>
    <cellStyle name="Normal 2 4 2 2 2 3" xfId="3962" xr:uid="{00000000-0005-0000-0000-000037460000}"/>
    <cellStyle name="Normal 2 4 2 2 2 3 2" xfId="8444" xr:uid="{00000000-0005-0000-0000-000038460000}"/>
    <cellStyle name="Normal 2 4 2 2 2 3 2 2" xfId="17474" xr:uid="{00000000-0005-0000-0000-000039460000}"/>
    <cellStyle name="Normal 2 4 2 2 2 3 2 2 2" xfId="37526" xr:uid="{00000000-0005-0000-0000-00003A460000}"/>
    <cellStyle name="Normal 2 4 2 2 2 3 2 3" xfId="28496" xr:uid="{00000000-0005-0000-0000-00003B460000}"/>
    <cellStyle name="Normal 2 4 2 2 2 3 3" xfId="12992" xr:uid="{00000000-0005-0000-0000-00003C460000}"/>
    <cellStyle name="Normal 2 4 2 2 2 3 3 2" xfId="33044" xr:uid="{00000000-0005-0000-0000-00003D460000}"/>
    <cellStyle name="Normal 2 4 2 2 2 3 4" xfId="24014" xr:uid="{00000000-0005-0000-0000-00003E460000}"/>
    <cellStyle name="Normal 2 4 2 2 2 4" xfId="5456" xr:uid="{00000000-0005-0000-0000-00003F460000}"/>
    <cellStyle name="Normal 2 4 2 2 2 4 2" xfId="14486" xr:uid="{00000000-0005-0000-0000-000040460000}"/>
    <cellStyle name="Normal 2 4 2 2 2 4 2 2" xfId="34538" xr:uid="{00000000-0005-0000-0000-000041460000}"/>
    <cellStyle name="Normal 2 4 2 2 2 4 3" xfId="25508" xr:uid="{00000000-0005-0000-0000-000042460000}"/>
    <cellStyle name="Normal 2 4 2 2 2 5" xfId="10004" xr:uid="{00000000-0005-0000-0000-000043460000}"/>
    <cellStyle name="Normal 2 4 2 2 2 5 2" xfId="30056" xr:uid="{00000000-0005-0000-0000-000044460000}"/>
    <cellStyle name="Normal 2 4 2 2 2 6" xfId="21026" xr:uid="{00000000-0005-0000-0000-000045460000}"/>
    <cellStyle name="Normal 2 4 2 2 3" xfId="1723" xr:uid="{00000000-0005-0000-0000-000046460000}"/>
    <cellStyle name="Normal 2 4 2 2 3 2" xfId="6205" xr:uid="{00000000-0005-0000-0000-000047460000}"/>
    <cellStyle name="Normal 2 4 2 2 3 2 2" xfId="15235" xr:uid="{00000000-0005-0000-0000-000048460000}"/>
    <cellStyle name="Normal 2 4 2 2 3 2 2 2" xfId="35287" xr:uid="{00000000-0005-0000-0000-000049460000}"/>
    <cellStyle name="Normal 2 4 2 2 3 2 3" xfId="26257" xr:uid="{00000000-0005-0000-0000-00004A460000}"/>
    <cellStyle name="Normal 2 4 2 2 3 3" xfId="10753" xr:uid="{00000000-0005-0000-0000-00004B460000}"/>
    <cellStyle name="Normal 2 4 2 2 3 3 2" xfId="30805" xr:uid="{00000000-0005-0000-0000-00004C460000}"/>
    <cellStyle name="Normal 2 4 2 2 3 4" xfId="21775" xr:uid="{00000000-0005-0000-0000-00004D460000}"/>
    <cellStyle name="Normal 2 4 2 2 4" xfId="3217" xr:uid="{00000000-0005-0000-0000-00004E460000}"/>
    <cellStyle name="Normal 2 4 2 2 4 2" xfId="7699" xr:uid="{00000000-0005-0000-0000-00004F460000}"/>
    <cellStyle name="Normal 2 4 2 2 4 2 2" xfId="16729" xr:uid="{00000000-0005-0000-0000-000050460000}"/>
    <cellStyle name="Normal 2 4 2 2 4 2 2 2" xfId="36781" xr:uid="{00000000-0005-0000-0000-000051460000}"/>
    <cellStyle name="Normal 2 4 2 2 4 2 3" xfId="27751" xr:uid="{00000000-0005-0000-0000-000052460000}"/>
    <cellStyle name="Normal 2 4 2 2 4 3" xfId="12247" xr:uid="{00000000-0005-0000-0000-000053460000}"/>
    <cellStyle name="Normal 2 4 2 2 4 3 2" xfId="32299" xr:uid="{00000000-0005-0000-0000-000054460000}"/>
    <cellStyle name="Normal 2 4 2 2 4 4" xfId="23269" xr:uid="{00000000-0005-0000-0000-000055460000}"/>
    <cellStyle name="Normal 2 4 2 2 5" xfId="4711" xr:uid="{00000000-0005-0000-0000-000056460000}"/>
    <cellStyle name="Normal 2 4 2 2 5 2" xfId="13741" xr:uid="{00000000-0005-0000-0000-000057460000}"/>
    <cellStyle name="Normal 2 4 2 2 5 2 2" xfId="33793" xr:uid="{00000000-0005-0000-0000-000058460000}"/>
    <cellStyle name="Normal 2 4 2 2 5 3" xfId="24763" xr:uid="{00000000-0005-0000-0000-000059460000}"/>
    <cellStyle name="Normal 2 4 2 2 6" xfId="9259" xr:uid="{00000000-0005-0000-0000-00005A460000}"/>
    <cellStyle name="Normal 2 4 2 2 6 2" xfId="29311" xr:uid="{00000000-0005-0000-0000-00005B460000}"/>
    <cellStyle name="Normal 2 4 2 2 7" xfId="20281" xr:uid="{00000000-0005-0000-0000-00005C460000}"/>
    <cellStyle name="Normal 2 4 2 3" xfId="415" xr:uid="{00000000-0005-0000-0000-00005D460000}"/>
    <cellStyle name="Normal 2 4 2 3 2" xfId="1162" xr:uid="{00000000-0005-0000-0000-00005E460000}"/>
    <cellStyle name="Normal 2 4 2 3 2 2" xfId="2656" xr:uid="{00000000-0005-0000-0000-00005F460000}"/>
    <cellStyle name="Normal 2 4 2 3 2 2 2" xfId="7138" xr:uid="{00000000-0005-0000-0000-000060460000}"/>
    <cellStyle name="Normal 2 4 2 3 2 2 2 2" xfId="16168" xr:uid="{00000000-0005-0000-0000-000061460000}"/>
    <cellStyle name="Normal 2 4 2 3 2 2 2 2 2" xfId="36220" xr:uid="{00000000-0005-0000-0000-000062460000}"/>
    <cellStyle name="Normal 2 4 2 3 2 2 2 3" xfId="27190" xr:uid="{00000000-0005-0000-0000-000063460000}"/>
    <cellStyle name="Normal 2 4 2 3 2 2 3" xfId="11686" xr:uid="{00000000-0005-0000-0000-000064460000}"/>
    <cellStyle name="Normal 2 4 2 3 2 2 3 2" xfId="31738" xr:uid="{00000000-0005-0000-0000-000065460000}"/>
    <cellStyle name="Normal 2 4 2 3 2 2 4" xfId="22708" xr:uid="{00000000-0005-0000-0000-000066460000}"/>
    <cellStyle name="Normal 2 4 2 3 2 3" xfId="4150" xr:uid="{00000000-0005-0000-0000-000067460000}"/>
    <cellStyle name="Normal 2 4 2 3 2 3 2" xfId="8632" xr:uid="{00000000-0005-0000-0000-000068460000}"/>
    <cellStyle name="Normal 2 4 2 3 2 3 2 2" xfId="17662" xr:uid="{00000000-0005-0000-0000-000069460000}"/>
    <cellStyle name="Normal 2 4 2 3 2 3 2 2 2" xfId="37714" xr:uid="{00000000-0005-0000-0000-00006A460000}"/>
    <cellStyle name="Normal 2 4 2 3 2 3 2 3" xfId="28684" xr:uid="{00000000-0005-0000-0000-00006B460000}"/>
    <cellStyle name="Normal 2 4 2 3 2 3 3" xfId="13180" xr:uid="{00000000-0005-0000-0000-00006C460000}"/>
    <cellStyle name="Normal 2 4 2 3 2 3 3 2" xfId="33232" xr:uid="{00000000-0005-0000-0000-00006D460000}"/>
    <cellStyle name="Normal 2 4 2 3 2 3 4" xfId="24202" xr:uid="{00000000-0005-0000-0000-00006E460000}"/>
    <cellStyle name="Normal 2 4 2 3 2 4" xfId="5644" xr:uid="{00000000-0005-0000-0000-00006F460000}"/>
    <cellStyle name="Normal 2 4 2 3 2 4 2" xfId="14674" xr:uid="{00000000-0005-0000-0000-000070460000}"/>
    <cellStyle name="Normal 2 4 2 3 2 4 2 2" xfId="34726" xr:uid="{00000000-0005-0000-0000-000071460000}"/>
    <cellStyle name="Normal 2 4 2 3 2 4 3" xfId="25696" xr:uid="{00000000-0005-0000-0000-000072460000}"/>
    <cellStyle name="Normal 2 4 2 3 2 5" xfId="10192" xr:uid="{00000000-0005-0000-0000-000073460000}"/>
    <cellStyle name="Normal 2 4 2 3 2 5 2" xfId="30244" xr:uid="{00000000-0005-0000-0000-000074460000}"/>
    <cellStyle name="Normal 2 4 2 3 2 6" xfId="21214" xr:uid="{00000000-0005-0000-0000-000075460000}"/>
    <cellStyle name="Normal 2 4 2 3 3" xfId="1909" xr:uid="{00000000-0005-0000-0000-000076460000}"/>
    <cellStyle name="Normal 2 4 2 3 3 2" xfId="6391" xr:uid="{00000000-0005-0000-0000-000077460000}"/>
    <cellStyle name="Normal 2 4 2 3 3 2 2" xfId="15421" xr:uid="{00000000-0005-0000-0000-000078460000}"/>
    <cellStyle name="Normal 2 4 2 3 3 2 2 2" xfId="35473" xr:uid="{00000000-0005-0000-0000-000079460000}"/>
    <cellStyle name="Normal 2 4 2 3 3 2 3" xfId="26443" xr:uid="{00000000-0005-0000-0000-00007A460000}"/>
    <cellStyle name="Normal 2 4 2 3 3 3" xfId="10939" xr:uid="{00000000-0005-0000-0000-00007B460000}"/>
    <cellStyle name="Normal 2 4 2 3 3 3 2" xfId="30991" xr:uid="{00000000-0005-0000-0000-00007C460000}"/>
    <cellStyle name="Normal 2 4 2 3 3 4" xfId="21961" xr:uid="{00000000-0005-0000-0000-00007D460000}"/>
    <cellStyle name="Normal 2 4 2 3 4" xfId="3403" xr:uid="{00000000-0005-0000-0000-00007E460000}"/>
    <cellStyle name="Normal 2 4 2 3 4 2" xfId="7885" xr:uid="{00000000-0005-0000-0000-00007F460000}"/>
    <cellStyle name="Normal 2 4 2 3 4 2 2" xfId="16915" xr:uid="{00000000-0005-0000-0000-000080460000}"/>
    <cellStyle name="Normal 2 4 2 3 4 2 2 2" xfId="36967" xr:uid="{00000000-0005-0000-0000-000081460000}"/>
    <cellStyle name="Normal 2 4 2 3 4 2 3" xfId="27937" xr:uid="{00000000-0005-0000-0000-000082460000}"/>
    <cellStyle name="Normal 2 4 2 3 4 3" xfId="12433" xr:uid="{00000000-0005-0000-0000-000083460000}"/>
    <cellStyle name="Normal 2 4 2 3 4 3 2" xfId="32485" xr:uid="{00000000-0005-0000-0000-000084460000}"/>
    <cellStyle name="Normal 2 4 2 3 4 4" xfId="23455" xr:uid="{00000000-0005-0000-0000-000085460000}"/>
    <cellStyle name="Normal 2 4 2 3 5" xfId="4897" xr:uid="{00000000-0005-0000-0000-000086460000}"/>
    <cellStyle name="Normal 2 4 2 3 5 2" xfId="13927" xr:uid="{00000000-0005-0000-0000-000087460000}"/>
    <cellStyle name="Normal 2 4 2 3 5 2 2" xfId="33979" xr:uid="{00000000-0005-0000-0000-000088460000}"/>
    <cellStyle name="Normal 2 4 2 3 5 3" xfId="24949" xr:uid="{00000000-0005-0000-0000-000089460000}"/>
    <cellStyle name="Normal 2 4 2 3 6" xfId="9445" xr:uid="{00000000-0005-0000-0000-00008A460000}"/>
    <cellStyle name="Normal 2 4 2 3 6 2" xfId="29497" xr:uid="{00000000-0005-0000-0000-00008B460000}"/>
    <cellStyle name="Normal 2 4 2 3 7" xfId="20467" xr:uid="{00000000-0005-0000-0000-00008C460000}"/>
    <cellStyle name="Normal 2 4 2 4" xfId="601" xr:uid="{00000000-0005-0000-0000-00008D460000}"/>
    <cellStyle name="Normal 2 4 2 4 2" xfId="1348" xr:uid="{00000000-0005-0000-0000-00008E460000}"/>
    <cellStyle name="Normal 2 4 2 4 2 2" xfId="2842" xr:uid="{00000000-0005-0000-0000-00008F460000}"/>
    <cellStyle name="Normal 2 4 2 4 2 2 2" xfId="7324" xr:uid="{00000000-0005-0000-0000-000090460000}"/>
    <cellStyle name="Normal 2 4 2 4 2 2 2 2" xfId="16354" xr:uid="{00000000-0005-0000-0000-000091460000}"/>
    <cellStyle name="Normal 2 4 2 4 2 2 2 2 2" xfId="36406" xr:uid="{00000000-0005-0000-0000-000092460000}"/>
    <cellStyle name="Normal 2 4 2 4 2 2 2 3" xfId="27376" xr:uid="{00000000-0005-0000-0000-000093460000}"/>
    <cellStyle name="Normal 2 4 2 4 2 2 3" xfId="11872" xr:uid="{00000000-0005-0000-0000-000094460000}"/>
    <cellStyle name="Normal 2 4 2 4 2 2 3 2" xfId="31924" xr:uid="{00000000-0005-0000-0000-000095460000}"/>
    <cellStyle name="Normal 2 4 2 4 2 2 4" xfId="22894" xr:uid="{00000000-0005-0000-0000-000096460000}"/>
    <cellStyle name="Normal 2 4 2 4 2 3" xfId="4336" xr:uid="{00000000-0005-0000-0000-000097460000}"/>
    <cellStyle name="Normal 2 4 2 4 2 3 2" xfId="8818" xr:uid="{00000000-0005-0000-0000-000098460000}"/>
    <cellStyle name="Normal 2 4 2 4 2 3 2 2" xfId="17848" xr:uid="{00000000-0005-0000-0000-000099460000}"/>
    <cellStyle name="Normal 2 4 2 4 2 3 2 2 2" xfId="37900" xr:uid="{00000000-0005-0000-0000-00009A460000}"/>
    <cellStyle name="Normal 2 4 2 4 2 3 2 3" xfId="28870" xr:uid="{00000000-0005-0000-0000-00009B460000}"/>
    <cellStyle name="Normal 2 4 2 4 2 3 3" xfId="13366" xr:uid="{00000000-0005-0000-0000-00009C460000}"/>
    <cellStyle name="Normal 2 4 2 4 2 3 3 2" xfId="33418" xr:uid="{00000000-0005-0000-0000-00009D460000}"/>
    <cellStyle name="Normal 2 4 2 4 2 3 4" xfId="24388" xr:uid="{00000000-0005-0000-0000-00009E460000}"/>
    <cellStyle name="Normal 2 4 2 4 2 4" xfId="5830" xr:uid="{00000000-0005-0000-0000-00009F460000}"/>
    <cellStyle name="Normal 2 4 2 4 2 4 2" xfId="14860" xr:uid="{00000000-0005-0000-0000-0000A0460000}"/>
    <cellStyle name="Normal 2 4 2 4 2 4 2 2" xfId="34912" xr:uid="{00000000-0005-0000-0000-0000A1460000}"/>
    <cellStyle name="Normal 2 4 2 4 2 4 3" xfId="25882" xr:uid="{00000000-0005-0000-0000-0000A2460000}"/>
    <cellStyle name="Normal 2 4 2 4 2 5" xfId="10378" xr:uid="{00000000-0005-0000-0000-0000A3460000}"/>
    <cellStyle name="Normal 2 4 2 4 2 5 2" xfId="30430" xr:uid="{00000000-0005-0000-0000-0000A4460000}"/>
    <cellStyle name="Normal 2 4 2 4 2 6" xfId="21400" xr:uid="{00000000-0005-0000-0000-0000A5460000}"/>
    <cellStyle name="Normal 2 4 2 4 3" xfId="2095" xr:uid="{00000000-0005-0000-0000-0000A6460000}"/>
    <cellStyle name="Normal 2 4 2 4 3 2" xfId="6577" xr:uid="{00000000-0005-0000-0000-0000A7460000}"/>
    <cellStyle name="Normal 2 4 2 4 3 2 2" xfId="15607" xr:uid="{00000000-0005-0000-0000-0000A8460000}"/>
    <cellStyle name="Normal 2 4 2 4 3 2 2 2" xfId="35659" xr:uid="{00000000-0005-0000-0000-0000A9460000}"/>
    <cellStyle name="Normal 2 4 2 4 3 2 3" xfId="26629" xr:uid="{00000000-0005-0000-0000-0000AA460000}"/>
    <cellStyle name="Normal 2 4 2 4 3 3" xfId="11125" xr:uid="{00000000-0005-0000-0000-0000AB460000}"/>
    <cellStyle name="Normal 2 4 2 4 3 3 2" xfId="31177" xr:uid="{00000000-0005-0000-0000-0000AC460000}"/>
    <cellStyle name="Normal 2 4 2 4 3 4" xfId="22147" xr:uid="{00000000-0005-0000-0000-0000AD460000}"/>
    <cellStyle name="Normal 2 4 2 4 4" xfId="3589" xr:uid="{00000000-0005-0000-0000-0000AE460000}"/>
    <cellStyle name="Normal 2 4 2 4 4 2" xfId="8071" xr:uid="{00000000-0005-0000-0000-0000AF460000}"/>
    <cellStyle name="Normal 2 4 2 4 4 2 2" xfId="17101" xr:uid="{00000000-0005-0000-0000-0000B0460000}"/>
    <cellStyle name="Normal 2 4 2 4 4 2 2 2" xfId="37153" xr:uid="{00000000-0005-0000-0000-0000B1460000}"/>
    <cellStyle name="Normal 2 4 2 4 4 2 3" xfId="28123" xr:uid="{00000000-0005-0000-0000-0000B2460000}"/>
    <cellStyle name="Normal 2 4 2 4 4 3" xfId="12619" xr:uid="{00000000-0005-0000-0000-0000B3460000}"/>
    <cellStyle name="Normal 2 4 2 4 4 3 2" xfId="32671" xr:uid="{00000000-0005-0000-0000-0000B4460000}"/>
    <cellStyle name="Normal 2 4 2 4 4 4" xfId="23641" xr:uid="{00000000-0005-0000-0000-0000B5460000}"/>
    <cellStyle name="Normal 2 4 2 4 5" xfId="5083" xr:uid="{00000000-0005-0000-0000-0000B6460000}"/>
    <cellStyle name="Normal 2 4 2 4 5 2" xfId="14113" xr:uid="{00000000-0005-0000-0000-0000B7460000}"/>
    <cellStyle name="Normal 2 4 2 4 5 2 2" xfId="34165" xr:uid="{00000000-0005-0000-0000-0000B8460000}"/>
    <cellStyle name="Normal 2 4 2 4 5 3" xfId="25135" xr:uid="{00000000-0005-0000-0000-0000B9460000}"/>
    <cellStyle name="Normal 2 4 2 4 6" xfId="9631" xr:uid="{00000000-0005-0000-0000-0000BA460000}"/>
    <cellStyle name="Normal 2 4 2 4 6 2" xfId="29683" xr:uid="{00000000-0005-0000-0000-0000BB460000}"/>
    <cellStyle name="Normal 2 4 2 4 7" xfId="20653" xr:uid="{00000000-0005-0000-0000-0000BC460000}"/>
    <cellStyle name="Normal 2 4 2 5" xfId="788" xr:uid="{00000000-0005-0000-0000-0000BD460000}"/>
    <cellStyle name="Normal 2 4 2 5 2" xfId="2282" xr:uid="{00000000-0005-0000-0000-0000BE460000}"/>
    <cellStyle name="Normal 2 4 2 5 2 2" xfId="6764" xr:uid="{00000000-0005-0000-0000-0000BF460000}"/>
    <cellStyle name="Normal 2 4 2 5 2 2 2" xfId="15794" xr:uid="{00000000-0005-0000-0000-0000C0460000}"/>
    <cellStyle name="Normal 2 4 2 5 2 2 2 2" xfId="35846" xr:uid="{00000000-0005-0000-0000-0000C1460000}"/>
    <cellStyle name="Normal 2 4 2 5 2 2 3" xfId="26816" xr:uid="{00000000-0005-0000-0000-0000C2460000}"/>
    <cellStyle name="Normal 2 4 2 5 2 3" xfId="11312" xr:uid="{00000000-0005-0000-0000-0000C3460000}"/>
    <cellStyle name="Normal 2 4 2 5 2 3 2" xfId="31364" xr:uid="{00000000-0005-0000-0000-0000C4460000}"/>
    <cellStyle name="Normal 2 4 2 5 2 4" xfId="22334" xr:uid="{00000000-0005-0000-0000-0000C5460000}"/>
    <cellStyle name="Normal 2 4 2 5 3" xfId="3776" xr:uid="{00000000-0005-0000-0000-0000C6460000}"/>
    <cellStyle name="Normal 2 4 2 5 3 2" xfId="8258" xr:uid="{00000000-0005-0000-0000-0000C7460000}"/>
    <cellStyle name="Normal 2 4 2 5 3 2 2" xfId="17288" xr:uid="{00000000-0005-0000-0000-0000C8460000}"/>
    <cellStyle name="Normal 2 4 2 5 3 2 2 2" xfId="37340" xr:uid="{00000000-0005-0000-0000-0000C9460000}"/>
    <cellStyle name="Normal 2 4 2 5 3 2 3" xfId="28310" xr:uid="{00000000-0005-0000-0000-0000CA460000}"/>
    <cellStyle name="Normal 2 4 2 5 3 3" xfId="12806" xr:uid="{00000000-0005-0000-0000-0000CB460000}"/>
    <cellStyle name="Normal 2 4 2 5 3 3 2" xfId="32858" xr:uid="{00000000-0005-0000-0000-0000CC460000}"/>
    <cellStyle name="Normal 2 4 2 5 3 4" xfId="23828" xr:uid="{00000000-0005-0000-0000-0000CD460000}"/>
    <cellStyle name="Normal 2 4 2 5 4" xfId="5270" xr:uid="{00000000-0005-0000-0000-0000CE460000}"/>
    <cellStyle name="Normal 2 4 2 5 4 2" xfId="14300" xr:uid="{00000000-0005-0000-0000-0000CF460000}"/>
    <cellStyle name="Normal 2 4 2 5 4 2 2" xfId="34352" xr:uid="{00000000-0005-0000-0000-0000D0460000}"/>
    <cellStyle name="Normal 2 4 2 5 4 3" xfId="25322" xr:uid="{00000000-0005-0000-0000-0000D1460000}"/>
    <cellStyle name="Normal 2 4 2 5 5" xfId="9818" xr:uid="{00000000-0005-0000-0000-0000D2460000}"/>
    <cellStyle name="Normal 2 4 2 5 5 2" xfId="29870" xr:uid="{00000000-0005-0000-0000-0000D3460000}"/>
    <cellStyle name="Normal 2 4 2 5 6" xfId="20840" xr:uid="{00000000-0005-0000-0000-0000D4460000}"/>
    <cellStyle name="Normal 2 4 2 6" xfId="1537" xr:uid="{00000000-0005-0000-0000-0000D5460000}"/>
    <cellStyle name="Normal 2 4 2 6 2" xfId="6019" xr:uid="{00000000-0005-0000-0000-0000D6460000}"/>
    <cellStyle name="Normal 2 4 2 6 2 2" xfId="15049" xr:uid="{00000000-0005-0000-0000-0000D7460000}"/>
    <cellStyle name="Normal 2 4 2 6 2 2 2" xfId="35101" xr:uid="{00000000-0005-0000-0000-0000D8460000}"/>
    <cellStyle name="Normal 2 4 2 6 2 3" xfId="26071" xr:uid="{00000000-0005-0000-0000-0000D9460000}"/>
    <cellStyle name="Normal 2 4 2 6 3" xfId="10567" xr:uid="{00000000-0005-0000-0000-0000DA460000}"/>
    <cellStyle name="Normal 2 4 2 6 3 2" xfId="30619" xr:uid="{00000000-0005-0000-0000-0000DB460000}"/>
    <cellStyle name="Normal 2 4 2 6 4" xfId="21589" xr:uid="{00000000-0005-0000-0000-0000DC460000}"/>
    <cellStyle name="Normal 2 4 2 7" xfId="3031" xr:uid="{00000000-0005-0000-0000-0000DD460000}"/>
    <cellStyle name="Normal 2 4 2 7 2" xfId="7513" xr:uid="{00000000-0005-0000-0000-0000DE460000}"/>
    <cellStyle name="Normal 2 4 2 7 2 2" xfId="16543" xr:uid="{00000000-0005-0000-0000-0000DF460000}"/>
    <cellStyle name="Normal 2 4 2 7 2 2 2" xfId="36595" xr:uid="{00000000-0005-0000-0000-0000E0460000}"/>
    <cellStyle name="Normal 2 4 2 7 2 3" xfId="27565" xr:uid="{00000000-0005-0000-0000-0000E1460000}"/>
    <cellStyle name="Normal 2 4 2 7 3" xfId="12061" xr:uid="{00000000-0005-0000-0000-0000E2460000}"/>
    <cellStyle name="Normal 2 4 2 7 3 2" xfId="32113" xr:uid="{00000000-0005-0000-0000-0000E3460000}"/>
    <cellStyle name="Normal 2 4 2 7 4" xfId="23083" xr:uid="{00000000-0005-0000-0000-0000E4460000}"/>
    <cellStyle name="Normal 2 4 2 8" xfId="4525" xr:uid="{00000000-0005-0000-0000-0000E5460000}"/>
    <cellStyle name="Normal 2 4 2 8 2" xfId="13555" xr:uid="{00000000-0005-0000-0000-0000E6460000}"/>
    <cellStyle name="Normal 2 4 2 8 2 2" xfId="33607" xr:uid="{00000000-0005-0000-0000-0000E7460000}"/>
    <cellStyle name="Normal 2 4 2 8 3" xfId="24577" xr:uid="{00000000-0005-0000-0000-0000E8460000}"/>
    <cellStyle name="Normal 2 4 2 9" xfId="9073" xr:uid="{00000000-0005-0000-0000-0000E9460000}"/>
    <cellStyle name="Normal 2 4 2 9 2" xfId="29125" xr:uid="{00000000-0005-0000-0000-0000EA460000}"/>
    <cellStyle name="Normal 2 4 3" xfId="66" xr:uid="{00000000-0005-0000-0000-0000EB460000}"/>
    <cellStyle name="Normal 2 4 3 10" xfId="20118" xr:uid="{00000000-0005-0000-0000-0000EC460000}"/>
    <cellStyle name="Normal 2 4 3 2" xfId="252" xr:uid="{00000000-0005-0000-0000-0000ED460000}"/>
    <cellStyle name="Normal 2 4 3 2 2" xfId="997" xr:uid="{00000000-0005-0000-0000-0000EE460000}"/>
    <cellStyle name="Normal 2 4 3 2 2 2" xfId="2491" xr:uid="{00000000-0005-0000-0000-0000EF460000}"/>
    <cellStyle name="Normal 2 4 3 2 2 2 2" xfId="6973" xr:uid="{00000000-0005-0000-0000-0000F0460000}"/>
    <cellStyle name="Normal 2 4 3 2 2 2 2 2" xfId="16003" xr:uid="{00000000-0005-0000-0000-0000F1460000}"/>
    <cellStyle name="Normal 2 4 3 2 2 2 2 2 2" xfId="36055" xr:uid="{00000000-0005-0000-0000-0000F2460000}"/>
    <cellStyle name="Normal 2 4 3 2 2 2 2 3" xfId="27025" xr:uid="{00000000-0005-0000-0000-0000F3460000}"/>
    <cellStyle name="Normal 2 4 3 2 2 2 3" xfId="11521" xr:uid="{00000000-0005-0000-0000-0000F4460000}"/>
    <cellStyle name="Normal 2 4 3 2 2 2 3 2" xfId="31573" xr:uid="{00000000-0005-0000-0000-0000F5460000}"/>
    <cellStyle name="Normal 2 4 3 2 2 2 4" xfId="22543" xr:uid="{00000000-0005-0000-0000-0000F6460000}"/>
    <cellStyle name="Normal 2 4 3 2 2 3" xfId="3985" xr:uid="{00000000-0005-0000-0000-0000F7460000}"/>
    <cellStyle name="Normal 2 4 3 2 2 3 2" xfId="8467" xr:uid="{00000000-0005-0000-0000-0000F8460000}"/>
    <cellStyle name="Normal 2 4 3 2 2 3 2 2" xfId="17497" xr:uid="{00000000-0005-0000-0000-0000F9460000}"/>
    <cellStyle name="Normal 2 4 3 2 2 3 2 2 2" xfId="37549" xr:uid="{00000000-0005-0000-0000-0000FA460000}"/>
    <cellStyle name="Normal 2 4 3 2 2 3 2 3" xfId="28519" xr:uid="{00000000-0005-0000-0000-0000FB460000}"/>
    <cellStyle name="Normal 2 4 3 2 2 3 3" xfId="13015" xr:uid="{00000000-0005-0000-0000-0000FC460000}"/>
    <cellStyle name="Normal 2 4 3 2 2 3 3 2" xfId="33067" xr:uid="{00000000-0005-0000-0000-0000FD460000}"/>
    <cellStyle name="Normal 2 4 3 2 2 3 4" xfId="24037" xr:uid="{00000000-0005-0000-0000-0000FE460000}"/>
    <cellStyle name="Normal 2 4 3 2 2 4" xfId="5479" xr:uid="{00000000-0005-0000-0000-0000FF460000}"/>
    <cellStyle name="Normal 2 4 3 2 2 4 2" xfId="14509" xr:uid="{00000000-0005-0000-0000-000000470000}"/>
    <cellStyle name="Normal 2 4 3 2 2 4 2 2" xfId="34561" xr:uid="{00000000-0005-0000-0000-000001470000}"/>
    <cellStyle name="Normal 2 4 3 2 2 4 3" xfId="25531" xr:uid="{00000000-0005-0000-0000-000002470000}"/>
    <cellStyle name="Normal 2 4 3 2 2 5" xfId="10027" xr:uid="{00000000-0005-0000-0000-000003470000}"/>
    <cellStyle name="Normal 2 4 3 2 2 5 2" xfId="30079" xr:uid="{00000000-0005-0000-0000-000004470000}"/>
    <cellStyle name="Normal 2 4 3 2 2 6" xfId="21049" xr:uid="{00000000-0005-0000-0000-000005470000}"/>
    <cellStyle name="Normal 2 4 3 2 3" xfId="1746" xr:uid="{00000000-0005-0000-0000-000006470000}"/>
    <cellStyle name="Normal 2 4 3 2 3 2" xfId="6228" xr:uid="{00000000-0005-0000-0000-000007470000}"/>
    <cellStyle name="Normal 2 4 3 2 3 2 2" xfId="15258" xr:uid="{00000000-0005-0000-0000-000008470000}"/>
    <cellStyle name="Normal 2 4 3 2 3 2 2 2" xfId="35310" xr:uid="{00000000-0005-0000-0000-000009470000}"/>
    <cellStyle name="Normal 2 4 3 2 3 2 3" xfId="26280" xr:uid="{00000000-0005-0000-0000-00000A470000}"/>
    <cellStyle name="Normal 2 4 3 2 3 3" xfId="10776" xr:uid="{00000000-0005-0000-0000-00000B470000}"/>
    <cellStyle name="Normal 2 4 3 2 3 3 2" xfId="30828" xr:uid="{00000000-0005-0000-0000-00000C470000}"/>
    <cellStyle name="Normal 2 4 3 2 3 4" xfId="21798" xr:uid="{00000000-0005-0000-0000-00000D470000}"/>
    <cellStyle name="Normal 2 4 3 2 4" xfId="3240" xr:uid="{00000000-0005-0000-0000-00000E470000}"/>
    <cellStyle name="Normal 2 4 3 2 4 2" xfId="7722" xr:uid="{00000000-0005-0000-0000-00000F470000}"/>
    <cellStyle name="Normal 2 4 3 2 4 2 2" xfId="16752" xr:uid="{00000000-0005-0000-0000-000010470000}"/>
    <cellStyle name="Normal 2 4 3 2 4 2 2 2" xfId="36804" xr:uid="{00000000-0005-0000-0000-000011470000}"/>
    <cellStyle name="Normal 2 4 3 2 4 2 3" xfId="27774" xr:uid="{00000000-0005-0000-0000-000012470000}"/>
    <cellStyle name="Normal 2 4 3 2 4 3" xfId="12270" xr:uid="{00000000-0005-0000-0000-000013470000}"/>
    <cellStyle name="Normal 2 4 3 2 4 3 2" xfId="32322" xr:uid="{00000000-0005-0000-0000-000014470000}"/>
    <cellStyle name="Normal 2 4 3 2 4 4" xfId="23292" xr:uid="{00000000-0005-0000-0000-000015470000}"/>
    <cellStyle name="Normal 2 4 3 2 5" xfId="4734" xr:uid="{00000000-0005-0000-0000-000016470000}"/>
    <cellStyle name="Normal 2 4 3 2 5 2" xfId="13764" xr:uid="{00000000-0005-0000-0000-000017470000}"/>
    <cellStyle name="Normal 2 4 3 2 5 2 2" xfId="33816" xr:uid="{00000000-0005-0000-0000-000018470000}"/>
    <cellStyle name="Normal 2 4 3 2 5 3" xfId="24786" xr:uid="{00000000-0005-0000-0000-000019470000}"/>
    <cellStyle name="Normal 2 4 3 2 6" xfId="9282" xr:uid="{00000000-0005-0000-0000-00001A470000}"/>
    <cellStyle name="Normal 2 4 3 2 6 2" xfId="29334" xr:uid="{00000000-0005-0000-0000-00001B470000}"/>
    <cellStyle name="Normal 2 4 3 2 7" xfId="20304" xr:uid="{00000000-0005-0000-0000-00001C470000}"/>
    <cellStyle name="Normal 2 4 3 3" xfId="438" xr:uid="{00000000-0005-0000-0000-00001D470000}"/>
    <cellStyle name="Normal 2 4 3 3 2" xfId="1185" xr:uid="{00000000-0005-0000-0000-00001E470000}"/>
    <cellStyle name="Normal 2 4 3 3 2 2" xfId="2679" xr:uid="{00000000-0005-0000-0000-00001F470000}"/>
    <cellStyle name="Normal 2 4 3 3 2 2 2" xfId="7161" xr:uid="{00000000-0005-0000-0000-000020470000}"/>
    <cellStyle name="Normal 2 4 3 3 2 2 2 2" xfId="16191" xr:uid="{00000000-0005-0000-0000-000021470000}"/>
    <cellStyle name="Normal 2 4 3 3 2 2 2 2 2" xfId="36243" xr:uid="{00000000-0005-0000-0000-000022470000}"/>
    <cellStyle name="Normal 2 4 3 3 2 2 2 3" xfId="27213" xr:uid="{00000000-0005-0000-0000-000023470000}"/>
    <cellStyle name="Normal 2 4 3 3 2 2 3" xfId="11709" xr:uid="{00000000-0005-0000-0000-000024470000}"/>
    <cellStyle name="Normal 2 4 3 3 2 2 3 2" xfId="31761" xr:uid="{00000000-0005-0000-0000-000025470000}"/>
    <cellStyle name="Normal 2 4 3 3 2 2 4" xfId="22731" xr:uid="{00000000-0005-0000-0000-000026470000}"/>
    <cellStyle name="Normal 2 4 3 3 2 3" xfId="4173" xr:uid="{00000000-0005-0000-0000-000027470000}"/>
    <cellStyle name="Normal 2 4 3 3 2 3 2" xfId="8655" xr:uid="{00000000-0005-0000-0000-000028470000}"/>
    <cellStyle name="Normal 2 4 3 3 2 3 2 2" xfId="17685" xr:uid="{00000000-0005-0000-0000-000029470000}"/>
    <cellStyle name="Normal 2 4 3 3 2 3 2 2 2" xfId="37737" xr:uid="{00000000-0005-0000-0000-00002A470000}"/>
    <cellStyle name="Normal 2 4 3 3 2 3 2 3" xfId="28707" xr:uid="{00000000-0005-0000-0000-00002B470000}"/>
    <cellStyle name="Normal 2 4 3 3 2 3 3" xfId="13203" xr:uid="{00000000-0005-0000-0000-00002C470000}"/>
    <cellStyle name="Normal 2 4 3 3 2 3 3 2" xfId="33255" xr:uid="{00000000-0005-0000-0000-00002D470000}"/>
    <cellStyle name="Normal 2 4 3 3 2 3 4" xfId="24225" xr:uid="{00000000-0005-0000-0000-00002E470000}"/>
    <cellStyle name="Normal 2 4 3 3 2 4" xfId="5667" xr:uid="{00000000-0005-0000-0000-00002F470000}"/>
    <cellStyle name="Normal 2 4 3 3 2 4 2" xfId="14697" xr:uid="{00000000-0005-0000-0000-000030470000}"/>
    <cellStyle name="Normal 2 4 3 3 2 4 2 2" xfId="34749" xr:uid="{00000000-0005-0000-0000-000031470000}"/>
    <cellStyle name="Normal 2 4 3 3 2 4 3" xfId="25719" xr:uid="{00000000-0005-0000-0000-000032470000}"/>
    <cellStyle name="Normal 2 4 3 3 2 5" xfId="10215" xr:uid="{00000000-0005-0000-0000-000033470000}"/>
    <cellStyle name="Normal 2 4 3 3 2 5 2" xfId="30267" xr:uid="{00000000-0005-0000-0000-000034470000}"/>
    <cellStyle name="Normal 2 4 3 3 2 6" xfId="21237" xr:uid="{00000000-0005-0000-0000-000035470000}"/>
    <cellStyle name="Normal 2 4 3 3 3" xfId="1932" xr:uid="{00000000-0005-0000-0000-000036470000}"/>
    <cellStyle name="Normal 2 4 3 3 3 2" xfId="6414" xr:uid="{00000000-0005-0000-0000-000037470000}"/>
    <cellStyle name="Normal 2 4 3 3 3 2 2" xfId="15444" xr:uid="{00000000-0005-0000-0000-000038470000}"/>
    <cellStyle name="Normal 2 4 3 3 3 2 2 2" xfId="35496" xr:uid="{00000000-0005-0000-0000-000039470000}"/>
    <cellStyle name="Normal 2 4 3 3 3 2 3" xfId="26466" xr:uid="{00000000-0005-0000-0000-00003A470000}"/>
    <cellStyle name="Normal 2 4 3 3 3 3" xfId="10962" xr:uid="{00000000-0005-0000-0000-00003B470000}"/>
    <cellStyle name="Normal 2 4 3 3 3 3 2" xfId="31014" xr:uid="{00000000-0005-0000-0000-00003C470000}"/>
    <cellStyle name="Normal 2 4 3 3 3 4" xfId="21984" xr:uid="{00000000-0005-0000-0000-00003D470000}"/>
    <cellStyle name="Normal 2 4 3 3 4" xfId="3426" xr:uid="{00000000-0005-0000-0000-00003E470000}"/>
    <cellStyle name="Normal 2 4 3 3 4 2" xfId="7908" xr:uid="{00000000-0005-0000-0000-00003F470000}"/>
    <cellStyle name="Normal 2 4 3 3 4 2 2" xfId="16938" xr:uid="{00000000-0005-0000-0000-000040470000}"/>
    <cellStyle name="Normal 2 4 3 3 4 2 2 2" xfId="36990" xr:uid="{00000000-0005-0000-0000-000041470000}"/>
    <cellStyle name="Normal 2 4 3 3 4 2 3" xfId="27960" xr:uid="{00000000-0005-0000-0000-000042470000}"/>
    <cellStyle name="Normal 2 4 3 3 4 3" xfId="12456" xr:uid="{00000000-0005-0000-0000-000043470000}"/>
    <cellStyle name="Normal 2 4 3 3 4 3 2" xfId="32508" xr:uid="{00000000-0005-0000-0000-000044470000}"/>
    <cellStyle name="Normal 2 4 3 3 4 4" xfId="23478" xr:uid="{00000000-0005-0000-0000-000045470000}"/>
    <cellStyle name="Normal 2 4 3 3 5" xfId="4920" xr:uid="{00000000-0005-0000-0000-000046470000}"/>
    <cellStyle name="Normal 2 4 3 3 5 2" xfId="13950" xr:uid="{00000000-0005-0000-0000-000047470000}"/>
    <cellStyle name="Normal 2 4 3 3 5 2 2" xfId="34002" xr:uid="{00000000-0005-0000-0000-000048470000}"/>
    <cellStyle name="Normal 2 4 3 3 5 3" xfId="24972" xr:uid="{00000000-0005-0000-0000-000049470000}"/>
    <cellStyle name="Normal 2 4 3 3 6" xfId="9468" xr:uid="{00000000-0005-0000-0000-00004A470000}"/>
    <cellStyle name="Normal 2 4 3 3 6 2" xfId="29520" xr:uid="{00000000-0005-0000-0000-00004B470000}"/>
    <cellStyle name="Normal 2 4 3 3 7" xfId="20490" xr:uid="{00000000-0005-0000-0000-00004C470000}"/>
    <cellStyle name="Normal 2 4 3 4" xfId="624" xr:uid="{00000000-0005-0000-0000-00004D470000}"/>
    <cellStyle name="Normal 2 4 3 4 2" xfId="1371" xr:uid="{00000000-0005-0000-0000-00004E470000}"/>
    <cellStyle name="Normal 2 4 3 4 2 2" xfId="2865" xr:uid="{00000000-0005-0000-0000-00004F470000}"/>
    <cellStyle name="Normal 2 4 3 4 2 2 2" xfId="7347" xr:uid="{00000000-0005-0000-0000-000050470000}"/>
    <cellStyle name="Normal 2 4 3 4 2 2 2 2" xfId="16377" xr:uid="{00000000-0005-0000-0000-000051470000}"/>
    <cellStyle name="Normal 2 4 3 4 2 2 2 2 2" xfId="36429" xr:uid="{00000000-0005-0000-0000-000052470000}"/>
    <cellStyle name="Normal 2 4 3 4 2 2 2 3" xfId="27399" xr:uid="{00000000-0005-0000-0000-000053470000}"/>
    <cellStyle name="Normal 2 4 3 4 2 2 3" xfId="11895" xr:uid="{00000000-0005-0000-0000-000054470000}"/>
    <cellStyle name="Normal 2 4 3 4 2 2 3 2" xfId="31947" xr:uid="{00000000-0005-0000-0000-000055470000}"/>
    <cellStyle name="Normal 2 4 3 4 2 2 4" xfId="22917" xr:uid="{00000000-0005-0000-0000-000056470000}"/>
    <cellStyle name="Normal 2 4 3 4 2 3" xfId="4359" xr:uid="{00000000-0005-0000-0000-000057470000}"/>
    <cellStyle name="Normal 2 4 3 4 2 3 2" xfId="8841" xr:uid="{00000000-0005-0000-0000-000058470000}"/>
    <cellStyle name="Normal 2 4 3 4 2 3 2 2" xfId="17871" xr:uid="{00000000-0005-0000-0000-000059470000}"/>
    <cellStyle name="Normal 2 4 3 4 2 3 2 2 2" xfId="37923" xr:uid="{00000000-0005-0000-0000-00005A470000}"/>
    <cellStyle name="Normal 2 4 3 4 2 3 2 3" xfId="28893" xr:uid="{00000000-0005-0000-0000-00005B470000}"/>
    <cellStyle name="Normal 2 4 3 4 2 3 3" xfId="13389" xr:uid="{00000000-0005-0000-0000-00005C470000}"/>
    <cellStyle name="Normal 2 4 3 4 2 3 3 2" xfId="33441" xr:uid="{00000000-0005-0000-0000-00005D470000}"/>
    <cellStyle name="Normal 2 4 3 4 2 3 4" xfId="24411" xr:uid="{00000000-0005-0000-0000-00005E470000}"/>
    <cellStyle name="Normal 2 4 3 4 2 4" xfId="5853" xr:uid="{00000000-0005-0000-0000-00005F470000}"/>
    <cellStyle name="Normal 2 4 3 4 2 4 2" xfId="14883" xr:uid="{00000000-0005-0000-0000-000060470000}"/>
    <cellStyle name="Normal 2 4 3 4 2 4 2 2" xfId="34935" xr:uid="{00000000-0005-0000-0000-000061470000}"/>
    <cellStyle name="Normal 2 4 3 4 2 4 3" xfId="25905" xr:uid="{00000000-0005-0000-0000-000062470000}"/>
    <cellStyle name="Normal 2 4 3 4 2 5" xfId="10401" xr:uid="{00000000-0005-0000-0000-000063470000}"/>
    <cellStyle name="Normal 2 4 3 4 2 5 2" xfId="30453" xr:uid="{00000000-0005-0000-0000-000064470000}"/>
    <cellStyle name="Normal 2 4 3 4 2 6" xfId="21423" xr:uid="{00000000-0005-0000-0000-000065470000}"/>
    <cellStyle name="Normal 2 4 3 4 3" xfId="2118" xr:uid="{00000000-0005-0000-0000-000066470000}"/>
    <cellStyle name="Normal 2 4 3 4 3 2" xfId="6600" xr:uid="{00000000-0005-0000-0000-000067470000}"/>
    <cellStyle name="Normal 2 4 3 4 3 2 2" xfId="15630" xr:uid="{00000000-0005-0000-0000-000068470000}"/>
    <cellStyle name="Normal 2 4 3 4 3 2 2 2" xfId="35682" xr:uid="{00000000-0005-0000-0000-000069470000}"/>
    <cellStyle name="Normal 2 4 3 4 3 2 3" xfId="26652" xr:uid="{00000000-0005-0000-0000-00006A470000}"/>
    <cellStyle name="Normal 2 4 3 4 3 3" xfId="11148" xr:uid="{00000000-0005-0000-0000-00006B470000}"/>
    <cellStyle name="Normal 2 4 3 4 3 3 2" xfId="31200" xr:uid="{00000000-0005-0000-0000-00006C470000}"/>
    <cellStyle name="Normal 2 4 3 4 3 4" xfId="22170" xr:uid="{00000000-0005-0000-0000-00006D470000}"/>
    <cellStyle name="Normal 2 4 3 4 4" xfId="3612" xr:uid="{00000000-0005-0000-0000-00006E470000}"/>
    <cellStyle name="Normal 2 4 3 4 4 2" xfId="8094" xr:uid="{00000000-0005-0000-0000-00006F470000}"/>
    <cellStyle name="Normal 2 4 3 4 4 2 2" xfId="17124" xr:uid="{00000000-0005-0000-0000-000070470000}"/>
    <cellStyle name="Normal 2 4 3 4 4 2 2 2" xfId="37176" xr:uid="{00000000-0005-0000-0000-000071470000}"/>
    <cellStyle name="Normal 2 4 3 4 4 2 3" xfId="28146" xr:uid="{00000000-0005-0000-0000-000072470000}"/>
    <cellStyle name="Normal 2 4 3 4 4 3" xfId="12642" xr:uid="{00000000-0005-0000-0000-000073470000}"/>
    <cellStyle name="Normal 2 4 3 4 4 3 2" xfId="32694" xr:uid="{00000000-0005-0000-0000-000074470000}"/>
    <cellStyle name="Normal 2 4 3 4 4 4" xfId="23664" xr:uid="{00000000-0005-0000-0000-000075470000}"/>
    <cellStyle name="Normal 2 4 3 4 5" xfId="5106" xr:uid="{00000000-0005-0000-0000-000076470000}"/>
    <cellStyle name="Normal 2 4 3 4 5 2" xfId="14136" xr:uid="{00000000-0005-0000-0000-000077470000}"/>
    <cellStyle name="Normal 2 4 3 4 5 2 2" xfId="34188" xr:uid="{00000000-0005-0000-0000-000078470000}"/>
    <cellStyle name="Normal 2 4 3 4 5 3" xfId="25158" xr:uid="{00000000-0005-0000-0000-000079470000}"/>
    <cellStyle name="Normal 2 4 3 4 6" xfId="9654" xr:uid="{00000000-0005-0000-0000-00007A470000}"/>
    <cellStyle name="Normal 2 4 3 4 6 2" xfId="29706" xr:uid="{00000000-0005-0000-0000-00007B470000}"/>
    <cellStyle name="Normal 2 4 3 4 7" xfId="20676" xr:uid="{00000000-0005-0000-0000-00007C470000}"/>
    <cellStyle name="Normal 2 4 3 5" xfId="811" xr:uid="{00000000-0005-0000-0000-00007D470000}"/>
    <cellStyle name="Normal 2 4 3 5 2" xfId="2305" xr:uid="{00000000-0005-0000-0000-00007E470000}"/>
    <cellStyle name="Normal 2 4 3 5 2 2" xfId="6787" xr:uid="{00000000-0005-0000-0000-00007F470000}"/>
    <cellStyle name="Normal 2 4 3 5 2 2 2" xfId="15817" xr:uid="{00000000-0005-0000-0000-000080470000}"/>
    <cellStyle name="Normal 2 4 3 5 2 2 2 2" xfId="35869" xr:uid="{00000000-0005-0000-0000-000081470000}"/>
    <cellStyle name="Normal 2 4 3 5 2 2 3" xfId="26839" xr:uid="{00000000-0005-0000-0000-000082470000}"/>
    <cellStyle name="Normal 2 4 3 5 2 3" xfId="11335" xr:uid="{00000000-0005-0000-0000-000083470000}"/>
    <cellStyle name="Normal 2 4 3 5 2 3 2" xfId="31387" xr:uid="{00000000-0005-0000-0000-000084470000}"/>
    <cellStyle name="Normal 2 4 3 5 2 4" xfId="22357" xr:uid="{00000000-0005-0000-0000-000085470000}"/>
    <cellStyle name="Normal 2 4 3 5 3" xfId="3799" xr:uid="{00000000-0005-0000-0000-000086470000}"/>
    <cellStyle name="Normal 2 4 3 5 3 2" xfId="8281" xr:uid="{00000000-0005-0000-0000-000087470000}"/>
    <cellStyle name="Normal 2 4 3 5 3 2 2" xfId="17311" xr:uid="{00000000-0005-0000-0000-000088470000}"/>
    <cellStyle name="Normal 2 4 3 5 3 2 2 2" xfId="37363" xr:uid="{00000000-0005-0000-0000-000089470000}"/>
    <cellStyle name="Normal 2 4 3 5 3 2 3" xfId="28333" xr:uid="{00000000-0005-0000-0000-00008A470000}"/>
    <cellStyle name="Normal 2 4 3 5 3 3" xfId="12829" xr:uid="{00000000-0005-0000-0000-00008B470000}"/>
    <cellStyle name="Normal 2 4 3 5 3 3 2" xfId="32881" xr:uid="{00000000-0005-0000-0000-00008C470000}"/>
    <cellStyle name="Normal 2 4 3 5 3 4" xfId="23851" xr:uid="{00000000-0005-0000-0000-00008D470000}"/>
    <cellStyle name="Normal 2 4 3 5 4" xfId="5293" xr:uid="{00000000-0005-0000-0000-00008E470000}"/>
    <cellStyle name="Normal 2 4 3 5 4 2" xfId="14323" xr:uid="{00000000-0005-0000-0000-00008F470000}"/>
    <cellStyle name="Normal 2 4 3 5 4 2 2" xfId="34375" xr:uid="{00000000-0005-0000-0000-000090470000}"/>
    <cellStyle name="Normal 2 4 3 5 4 3" xfId="25345" xr:uid="{00000000-0005-0000-0000-000091470000}"/>
    <cellStyle name="Normal 2 4 3 5 5" xfId="9841" xr:uid="{00000000-0005-0000-0000-000092470000}"/>
    <cellStyle name="Normal 2 4 3 5 5 2" xfId="29893" xr:uid="{00000000-0005-0000-0000-000093470000}"/>
    <cellStyle name="Normal 2 4 3 5 6" xfId="20863" xr:uid="{00000000-0005-0000-0000-000094470000}"/>
    <cellStyle name="Normal 2 4 3 6" xfId="1560" xr:uid="{00000000-0005-0000-0000-000095470000}"/>
    <cellStyle name="Normal 2 4 3 6 2" xfId="6042" xr:uid="{00000000-0005-0000-0000-000096470000}"/>
    <cellStyle name="Normal 2 4 3 6 2 2" xfId="15072" xr:uid="{00000000-0005-0000-0000-000097470000}"/>
    <cellStyle name="Normal 2 4 3 6 2 2 2" xfId="35124" xr:uid="{00000000-0005-0000-0000-000098470000}"/>
    <cellStyle name="Normal 2 4 3 6 2 3" xfId="26094" xr:uid="{00000000-0005-0000-0000-000099470000}"/>
    <cellStyle name="Normal 2 4 3 6 3" xfId="10590" xr:uid="{00000000-0005-0000-0000-00009A470000}"/>
    <cellStyle name="Normal 2 4 3 6 3 2" xfId="30642" xr:uid="{00000000-0005-0000-0000-00009B470000}"/>
    <cellStyle name="Normal 2 4 3 6 4" xfId="21612" xr:uid="{00000000-0005-0000-0000-00009C470000}"/>
    <cellStyle name="Normal 2 4 3 7" xfId="3054" xr:uid="{00000000-0005-0000-0000-00009D470000}"/>
    <cellStyle name="Normal 2 4 3 7 2" xfId="7536" xr:uid="{00000000-0005-0000-0000-00009E470000}"/>
    <cellStyle name="Normal 2 4 3 7 2 2" xfId="16566" xr:uid="{00000000-0005-0000-0000-00009F470000}"/>
    <cellStyle name="Normal 2 4 3 7 2 2 2" xfId="36618" xr:uid="{00000000-0005-0000-0000-0000A0470000}"/>
    <cellStyle name="Normal 2 4 3 7 2 3" xfId="27588" xr:uid="{00000000-0005-0000-0000-0000A1470000}"/>
    <cellStyle name="Normal 2 4 3 7 3" xfId="12084" xr:uid="{00000000-0005-0000-0000-0000A2470000}"/>
    <cellStyle name="Normal 2 4 3 7 3 2" xfId="32136" xr:uid="{00000000-0005-0000-0000-0000A3470000}"/>
    <cellStyle name="Normal 2 4 3 7 4" xfId="23106" xr:uid="{00000000-0005-0000-0000-0000A4470000}"/>
    <cellStyle name="Normal 2 4 3 8" xfId="4548" xr:uid="{00000000-0005-0000-0000-0000A5470000}"/>
    <cellStyle name="Normal 2 4 3 8 2" xfId="13578" xr:uid="{00000000-0005-0000-0000-0000A6470000}"/>
    <cellStyle name="Normal 2 4 3 8 2 2" xfId="33630" xr:uid="{00000000-0005-0000-0000-0000A7470000}"/>
    <cellStyle name="Normal 2 4 3 8 3" xfId="24600" xr:uid="{00000000-0005-0000-0000-0000A8470000}"/>
    <cellStyle name="Normal 2 4 3 9" xfId="9096" xr:uid="{00000000-0005-0000-0000-0000A9470000}"/>
    <cellStyle name="Normal 2 4 3 9 2" xfId="29148" xr:uid="{00000000-0005-0000-0000-0000AA470000}"/>
    <cellStyle name="Normal 2 4 4" xfId="90" xr:uid="{00000000-0005-0000-0000-0000AB470000}"/>
    <cellStyle name="Normal 2 4 4 10" xfId="20142" xr:uid="{00000000-0005-0000-0000-0000AC470000}"/>
    <cellStyle name="Normal 2 4 4 2" xfId="276" xr:uid="{00000000-0005-0000-0000-0000AD470000}"/>
    <cellStyle name="Normal 2 4 4 2 2" xfId="1020" xr:uid="{00000000-0005-0000-0000-0000AE470000}"/>
    <cellStyle name="Normal 2 4 4 2 2 2" xfId="2514" xr:uid="{00000000-0005-0000-0000-0000AF470000}"/>
    <cellStyle name="Normal 2 4 4 2 2 2 2" xfId="6996" xr:uid="{00000000-0005-0000-0000-0000B0470000}"/>
    <cellStyle name="Normal 2 4 4 2 2 2 2 2" xfId="16026" xr:uid="{00000000-0005-0000-0000-0000B1470000}"/>
    <cellStyle name="Normal 2 4 4 2 2 2 2 2 2" xfId="36078" xr:uid="{00000000-0005-0000-0000-0000B2470000}"/>
    <cellStyle name="Normal 2 4 4 2 2 2 2 3" xfId="27048" xr:uid="{00000000-0005-0000-0000-0000B3470000}"/>
    <cellStyle name="Normal 2 4 4 2 2 2 3" xfId="11544" xr:uid="{00000000-0005-0000-0000-0000B4470000}"/>
    <cellStyle name="Normal 2 4 4 2 2 2 3 2" xfId="31596" xr:uid="{00000000-0005-0000-0000-0000B5470000}"/>
    <cellStyle name="Normal 2 4 4 2 2 2 4" xfId="22566" xr:uid="{00000000-0005-0000-0000-0000B6470000}"/>
    <cellStyle name="Normal 2 4 4 2 2 3" xfId="4008" xr:uid="{00000000-0005-0000-0000-0000B7470000}"/>
    <cellStyle name="Normal 2 4 4 2 2 3 2" xfId="8490" xr:uid="{00000000-0005-0000-0000-0000B8470000}"/>
    <cellStyle name="Normal 2 4 4 2 2 3 2 2" xfId="17520" xr:uid="{00000000-0005-0000-0000-0000B9470000}"/>
    <cellStyle name="Normal 2 4 4 2 2 3 2 2 2" xfId="37572" xr:uid="{00000000-0005-0000-0000-0000BA470000}"/>
    <cellStyle name="Normal 2 4 4 2 2 3 2 3" xfId="28542" xr:uid="{00000000-0005-0000-0000-0000BB470000}"/>
    <cellStyle name="Normal 2 4 4 2 2 3 3" xfId="13038" xr:uid="{00000000-0005-0000-0000-0000BC470000}"/>
    <cellStyle name="Normal 2 4 4 2 2 3 3 2" xfId="33090" xr:uid="{00000000-0005-0000-0000-0000BD470000}"/>
    <cellStyle name="Normal 2 4 4 2 2 3 4" xfId="24060" xr:uid="{00000000-0005-0000-0000-0000BE470000}"/>
    <cellStyle name="Normal 2 4 4 2 2 4" xfId="5502" xr:uid="{00000000-0005-0000-0000-0000BF470000}"/>
    <cellStyle name="Normal 2 4 4 2 2 4 2" xfId="14532" xr:uid="{00000000-0005-0000-0000-0000C0470000}"/>
    <cellStyle name="Normal 2 4 4 2 2 4 2 2" xfId="34584" xr:uid="{00000000-0005-0000-0000-0000C1470000}"/>
    <cellStyle name="Normal 2 4 4 2 2 4 3" xfId="25554" xr:uid="{00000000-0005-0000-0000-0000C2470000}"/>
    <cellStyle name="Normal 2 4 4 2 2 5" xfId="10050" xr:uid="{00000000-0005-0000-0000-0000C3470000}"/>
    <cellStyle name="Normal 2 4 4 2 2 5 2" xfId="30102" xr:uid="{00000000-0005-0000-0000-0000C4470000}"/>
    <cellStyle name="Normal 2 4 4 2 2 6" xfId="21072" xr:uid="{00000000-0005-0000-0000-0000C5470000}"/>
    <cellStyle name="Normal 2 4 4 2 3" xfId="1770" xr:uid="{00000000-0005-0000-0000-0000C6470000}"/>
    <cellStyle name="Normal 2 4 4 2 3 2" xfId="6252" xr:uid="{00000000-0005-0000-0000-0000C7470000}"/>
    <cellStyle name="Normal 2 4 4 2 3 2 2" xfId="15282" xr:uid="{00000000-0005-0000-0000-0000C8470000}"/>
    <cellStyle name="Normal 2 4 4 2 3 2 2 2" xfId="35334" xr:uid="{00000000-0005-0000-0000-0000C9470000}"/>
    <cellStyle name="Normal 2 4 4 2 3 2 3" xfId="26304" xr:uid="{00000000-0005-0000-0000-0000CA470000}"/>
    <cellStyle name="Normal 2 4 4 2 3 3" xfId="10800" xr:uid="{00000000-0005-0000-0000-0000CB470000}"/>
    <cellStyle name="Normal 2 4 4 2 3 3 2" xfId="30852" xr:uid="{00000000-0005-0000-0000-0000CC470000}"/>
    <cellStyle name="Normal 2 4 4 2 3 4" xfId="21822" xr:uid="{00000000-0005-0000-0000-0000CD470000}"/>
    <cellStyle name="Normal 2 4 4 2 4" xfId="3264" xr:uid="{00000000-0005-0000-0000-0000CE470000}"/>
    <cellStyle name="Normal 2 4 4 2 4 2" xfId="7746" xr:uid="{00000000-0005-0000-0000-0000CF470000}"/>
    <cellStyle name="Normal 2 4 4 2 4 2 2" xfId="16776" xr:uid="{00000000-0005-0000-0000-0000D0470000}"/>
    <cellStyle name="Normal 2 4 4 2 4 2 2 2" xfId="36828" xr:uid="{00000000-0005-0000-0000-0000D1470000}"/>
    <cellStyle name="Normal 2 4 4 2 4 2 3" xfId="27798" xr:uid="{00000000-0005-0000-0000-0000D2470000}"/>
    <cellStyle name="Normal 2 4 4 2 4 3" xfId="12294" xr:uid="{00000000-0005-0000-0000-0000D3470000}"/>
    <cellStyle name="Normal 2 4 4 2 4 3 2" xfId="32346" xr:uid="{00000000-0005-0000-0000-0000D4470000}"/>
    <cellStyle name="Normal 2 4 4 2 4 4" xfId="23316" xr:uid="{00000000-0005-0000-0000-0000D5470000}"/>
    <cellStyle name="Normal 2 4 4 2 5" xfId="4758" xr:uid="{00000000-0005-0000-0000-0000D6470000}"/>
    <cellStyle name="Normal 2 4 4 2 5 2" xfId="13788" xr:uid="{00000000-0005-0000-0000-0000D7470000}"/>
    <cellStyle name="Normal 2 4 4 2 5 2 2" xfId="33840" xr:uid="{00000000-0005-0000-0000-0000D8470000}"/>
    <cellStyle name="Normal 2 4 4 2 5 3" xfId="24810" xr:uid="{00000000-0005-0000-0000-0000D9470000}"/>
    <cellStyle name="Normal 2 4 4 2 6" xfId="9306" xr:uid="{00000000-0005-0000-0000-0000DA470000}"/>
    <cellStyle name="Normal 2 4 4 2 6 2" xfId="29358" xr:uid="{00000000-0005-0000-0000-0000DB470000}"/>
    <cellStyle name="Normal 2 4 4 2 7" xfId="20328" xr:uid="{00000000-0005-0000-0000-0000DC470000}"/>
    <cellStyle name="Normal 2 4 4 3" xfId="462" xr:uid="{00000000-0005-0000-0000-0000DD470000}"/>
    <cellStyle name="Normal 2 4 4 3 2" xfId="1209" xr:uid="{00000000-0005-0000-0000-0000DE470000}"/>
    <cellStyle name="Normal 2 4 4 3 2 2" xfId="2703" xr:uid="{00000000-0005-0000-0000-0000DF470000}"/>
    <cellStyle name="Normal 2 4 4 3 2 2 2" xfId="7185" xr:uid="{00000000-0005-0000-0000-0000E0470000}"/>
    <cellStyle name="Normal 2 4 4 3 2 2 2 2" xfId="16215" xr:uid="{00000000-0005-0000-0000-0000E1470000}"/>
    <cellStyle name="Normal 2 4 4 3 2 2 2 2 2" xfId="36267" xr:uid="{00000000-0005-0000-0000-0000E2470000}"/>
    <cellStyle name="Normal 2 4 4 3 2 2 2 3" xfId="27237" xr:uid="{00000000-0005-0000-0000-0000E3470000}"/>
    <cellStyle name="Normal 2 4 4 3 2 2 3" xfId="11733" xr:uid="{00000000-0005-0000-0000-0000E4470000}"/>
    <cellStyle name="Normal 2 4 4 3 2 2 3 2" xfId="31785" xr:uid="{00000000-0005-0000-0000-0000E5470000}"/>
    <cellStyle name="Normal 2 4 4 3 2 2 4" xfId="22755" xr:uid="{00000000-0005-0000-0000-0000E6470000}"/>
    <cellStyle name="Normal 2 4 4 3 2 3" xfId="4197" xr:uid="{00000000-0005-0000-0000-0000E7470000}"/>
    <cellStyle name="Normal 2 4 4 3 2 3 2" xfId="8679" xr:uid="{00000000-0005-0000-0000-0000E8470000}"/>
    <cellStyle name="Normal 2 4 4 3 2 3 2 2" xfId="17709" xr:uid="{00000000-0005-0000-0000-0000E9470000}"/>
    <cellStyle name="Normal 2 4 4 3 2 3 2 2 2" xfId="37761" xr:uid="{00000000-0005-0000-0000-0000EA470000}"/>
    <cellStyle name="Normal 2 4 4 3 2 3 2 3" xfId="28731" xr:uid="{00000000-0005-0000-0000-0000EB470000}"/>
    <cellStyle name="Normal 2 4 4 3 2 3 3" xfId="13227" xr:uid="{00000000-0005-0000-0000-0000EC470000}"/>
    <cellStyle name="Normal 2 4 4 3 2 3 3 2" xfId="33279" xr:uid="{00000000-0005-0000-0000-0000ED470000}"/>
    <cellStyle name="Normal 2 4 4 3 2 3 4" xfId="24249" xr:uid="{00000000-0005-0000-0000-0000EE470000}"/>
    <cellStyle name="Normal 2 4 4 3 2 4" xfId="5691" xr:uid="{00000000-0005-0000-0000-0000EF470000}"/>
    <cellStyle name="Normal 2 4 4 3 2 4 2" xfId="14721" xr:uid="{00000000-0005-0000-0000-0000F0470000}"/>
    <cellStyle name="Normal 2 4 4 3 2 4 2 2" xfId="34773" xr:uid="{00000000-0005-0000-0000-0000F1470000}"/>
    <cellStyle name="Normal 2 4 4 3 2 4 3" xfId="25743" xr:uid="{00000000-0005-0000-0000-0000F2470000}"/>
    <cellStyle name="Normal 2 4 4 3 2 5" xfId="10239" xr:uid="{00000000-0005-0000-0000-0000F3470000}"/>
    <cellStyle name="Normal 2 4 4 3 2 5 2" xfId="30291" xr:uid="{00000000-0005-0000-0000-0000F4470000}"/>
    <cellStyle name="Normal 2 4 4 3 2 6" xfId="21261" xr:uid="{00000000-0005-0000-0000-0000F5470000}"/>
    <cellStyle name="Normal 2 4 4 3 3" xfId="1956" xr:uid="{00000000-0005-0000-0000-0000F6470000}"/>
    <cellStyle name="Normal 2 4 4 3 3 2" xfId="6438" xr:uid="{00000000-0005-0000-0000-0000F7470000}"/>
    <cellStyle name="Normal 2 4 4 3 3 2 2" xfId="15468" xr:uid="{00000000-0005-0000-0000-0000F8470000}"/>
    <cellStyle name="Normal 2 4 4 3 3 2 2 2" xfId="35520" xr:uid="{00000000-0005-0000-0000-0000F9470000}"/>
    <cellStyle name="Normal 2 4 4 3 3 2 3" xfId="26490" xr:uid="{00000000-0005-0000-0000-0000FA470000}"/>
    <cellStyle name="Normal 2 4 4 3 3 3" xfId="10986" xr:uid="{00000000-0005-0000-0000-0000FB470000}"/>
    <cellStyle name="Normal 2 4 4 3 3 3 2" xfId="31038" xr:uid="{00000000-0005-0000-0000-0000FC470000}"/>
    <cellStyle name="Normal 2 4 4 3 3 4" xfId="22008" xr:uid="{00000000-0005-0000-0000-0000FD470000}"/>
    <cellStyle name="Normal 2 4 4 3 4" xfId="3450" xr:uid="{00000000-0005-0000-0000-0000FE470000}"/>
    <cellStyle name="Normal 2 4 4 3 4 2" xfId="7932" xr:uid="{00000000-0005-0000-0000-0000FF470000}"/>
    <cellStyle name="Normal 2 4 4 3 4 2 2" xfId="16962" xr:uid="{00000000-0005-0000-0000-000000480000}"/>
    <cellStyle name="Normal 2 4 4 3 4 2 2 2" xfId="37014" xr:uid="{00000000-0005-0000-0000-000001480000}"/>
    <cellStyle name="Normal 2 4 4 3 4 2 3" xfId="27984" xr:uid="{00000000-0005-0000-0000-000002480000}"/>
    <cellStyle name="Normal 2 4 4 3 4 3" xfId="12480" xr:uid="{00000000-0005-0000-0000-000003480000}"/>
    <cellStyle name="Normal 2 4 4 3 4 3 2" xfId="32532" xr:uid="{00000000-0005-0000-0000-000004480000}"/>
    <cellStyle name="Normal 2 4 4 3 4 4" xfId="23502" xr:uid="{00000000-0005-0000-0000-000005480000}"/>
    <cellStyle name="Normal 2 4 4 3 5" xfId="4944" xr:uid="{00000000-0005-0000-0000-000006480000}"/>
    <cellStyle name="Normal 2 4 4 3 5 2" xfId="13974" xr:uid="{00000000-0005-0000-0000-000007480000}"/>
    <cellStyle name="Normal 2 4 4 3 5 2 2" xfId="34026" xr:uid="{00000000-0005-0000-0000-000008480000}"/>
    <cellStyle name="Normal 2 4 4 3 5 3" xfId="24996" xr:uid="{00000000-0005-0000-0000-000009480000}"/>
    <cellStyle name="Normal 2 4 4 3 6" xfId="9492" xr:uid="{00000000-0005-0000-0000-00000A480000}"/>
    <cellStyle name="Normal 2 4 4 3 6 2" xfId="29544" xr:uid="{00000000-0005-0000-0000-00000B480000}"/>
    <cellStyle name="Normal 2 4 4 3 7" xfId="20514" xr:uid="{00000000-0005-0000-0000-00000C480000}"/>
    <cellStyle name="Normal 2 4 4 4" xfId="648" xr:uid="{00000000-0005-0000-0000-00000D480000}"/>
    <cellStyle name="Normal 2 4 4 4 2" xfId="1395" xr:uid="{00000000-0005-0000-0000-00000E480000}"/>
    <cellStyle name="Normal 2 4 4 4 2 2" xfId="2889" xr:uid="{00000000-0005-0000-0000-00000F480000}"/>
    <cellStyle name="Normal 2 4 4 4 2 2 2" xfId="7371" xr:uid="{00000000-0005-0000-0000-000010480000}"/>
    <cellStyle name="Normal 2 4 4 4 2 2 2 2" xfId="16401" xr:uid="{00000000-0005-0000-0000-000011480000}"/>
    <cellStyle name="Normal 2 4 4 4 2 2 2 2 2" xfId="36453" xr:uid="{00000000-0005-0000-0000-000012480000}"/>
    <cellStyle name="Normal 2 4 4 4 2 2 2 3" xfId="27423" xr:uid="{00000000-0005-0000-0000-000013480000}"/>
    <cellStyle name="Normal 2 4 4 4 2 2 3" xfId="11919" xr:uid="{00000000-0005-0000-0000-000014480000}"/>
    <cellStyle name="Normal 2 4 4 4 2 2 3 2" xfId="31971" xr:uid="{00000000-0005-0000-0000-000015480000}"/>
    <cellStyle name="Normal 2 4 4 4 2 2 4" xfId="22941" xr:uid="{00000000-0005-0000-0000-000016480000}"/>
    <cellStyle name="Normal 2 4 4 4 2 3" xfId="4383" xr:uid="{00000000-0005-0000-0000-000017480000}"/>
    <cellStyle name="Normal 2 4 4 4 2 3 2" xfId="8865" xr:uid="{00000000-0005-0000-0000-000018480000}"/>
    <cellStyle name="Normal 2 4 4 4 2 3 2 2" xfId="17895" xr:uid="{00000000-0005-0000-0000-000019480000}"/>
    <cellStyle name="Normal 2 4 4 4 2 3 2 2 2" xfId="37947" xr:uid="{00000000-0005-0000-0000-00001A480000}"/>
    <cellStyle name="Normal 2 4 4 4 2 3 2 3" xfId="28917" xr:uid="{00000000-0005-0000-0000-00001B480000}"/>
    <cellStyle name="Normal 2 4 4 4 2 3 3" xfId="13413" xr:uid="{00000000-0005-0000-0000-00001C480000}"/>
    <cellStyle name="Normal 2 4 4 4 2 3 3 2" xfId="33465" xr:uid="{00000000-0005-0000-0000-00001D480000}"/>
    <cellStyle name="Normal 2 4 4 4 2 3 4" xfId="24435" xr:uid="{00000000-0005-0000-0000-00001E480000}"/>
    <cellStyle name="Normal 2 4 4 4 2 4" xfId="5877" xr:uid="{00000000-0005-0000-0000-00001F480000}"/>
    <cellStyle name="Normal 2 4 4 4 2 4 2" xfId="14907" xr:uid="{00000000-0005-0000-0000-000020480000}"/>
    <cellStyle name="Normal 2 4 4 4 2 4 2 2" xfId="34959" xr:uid="{00000000-0005-0000-0000-000021480000}"/>
    <cellStyle name="Normal 2 4 4 4 2 4 3" xfId="25929" xr:uid="{00000000-0005-0000-0000-000022480000}"/>
    <cellStyle name="Normal 2 4 4 4 2 5" xfId="10425" xr:uid="{00000000-0005-0000-0000-000023480000}"/>
    <cellStyle name="Normal 2 4 4 4 2 5 2" xfId="30477" xr:uid="{00000000-0005-0000-0000-000024480000}"/>
    <cellStyle name="Normal 2 4 4 4 2 6" xfId="21447" xr:uid="{00000000-0005-0000-0000-000025480000}"/>
    <cellStyle name="Normal 2 4 4 4 3" xfId="2142" xr:uid="{00000000-0005-0000-0000-000026480000}"/>
    <cellStyle name="Normal 2 4 4 4 3 2" xfId="6624" xr:uid="{00000000-0005-0000-0000-000027480000}"/>
    <cellStyle name="Normal 2 4 4 4 3 2 2" xfId="15654" xr:uid="{00000000-0005-0000-0000-000028480000}"/>
    <cellStyle name="Normal 2 4 4 4 3 2 2 2" xfId="35706" xr:uid="{00000000-0005-0000-0000-000029480000}"/>
    <cellStyle name="Normal 2 4 4 4 3 2 3" xfId="26676" xr:uid="{00000000-0005-0000-0000-00002A480000}"/>
    <cellStyle name="Normal 2 4 4 4 3 3" xfId="11172" xr:uid="{00000000-0005-0000-0000-00002B480000}"/>
    <cellStyle name="Normal 2 4 4 4 3 3 2" xfId="31224" xr:uid="{00000000-0005-0000-0000-00002C480000}"/>
    <cellStyle name="Normal 2 4 4 4 3 4" xfId="22194" xr:uid="{00000000-0005-0000-0000-00002D480000}"/>
    <cellStyle name="Normal 2 4 4 4 4" xfId="3636" xr:uid="{00000000-0005-0000-0000-00002E480000}"/>
    <cellStyle name="Normal 2 4 4 4 4 2" xfId="8118" xr:uid="{00000000-0005-0000-0000-00002F480000}"/>
    <cellStyle name="Normal 2 4 4 4 4 2 2" xfId="17148" xr:uid="{00000000-0005-0000-0000-000030480000}"/>
    <cellStyle name="Normal 2 4 4 4 4 2 2 2" xfId="37200" xr:uid="{00000000-0005-0000-0000-000031480000}"/>
    <cellStyle name="Normal 2 4 4 4 4 2 3" xfId="28170" xr:uid="{00000000-0005-0000-0000-000032480000}"/>
    <cellStyle name="Normal 2 4 4 4 4 3" xfId="12666" xr:uid="{00000000-0005-0000-0000-000033480000}"/>
    <cellStyle name="Normal 2 4 4 4 4 3 2" xfId="32718" xr:uid="{00000000-0005-0000-0000-000034480000}"/>
    <cellStyle name="Normal 2 4 4 4 4 4" xfId="23688" xr:uid="{00000000-0005-0000-0000-000035480000}"/>
    <cellStyle name="Normal 2 4 4 4 5" xfId="5130" xr:uid="{00000000-0005-0000-0000-000036480000}"/>
    <cellStyle name="Normal 2 4 4 4 5 2" xfId="14160" xr:uid="{00000000-0005-0000-0000-000037480000}"/>
    <cellStyle name="Normal 2 4 4 4 5 2 2" xfId="34212" xr:uid="{00000000-0005-0000-0000-000038480000}"/>
    <cellStyle name="Normal 2 4 4 4 5 3" xfId="25182" xr:uid="{00000000-0005-0000-0000-000039480000}"/>
    <cellStyle name="Normal 2 4 4 4 6" xfId="9678" xr:uid="{00000000-0005-0000-0000-00003A480000}"/>
    <cellStyle name="Normal 2 4 4 4 6 2" xfId="29730" xr:uid="{00000000-0005-0000-0000-00003B480000}"/>
    <cellStyle name="Normal 2 4 4 4 7" xfId="20700" xr:uid="{00000000-0005-0000-0000-00003C480000}"/>
    <cellStyle name="Normal 2 4 4 5" xfId="835" xr:uid="{00000000-0005-0000-0000-00003D480000}"/>
    <cellStyle name="Normal 2 4 4 5 2" xfId="2329" xr:uid="{00000000-0005-0000-0000-00003E480000}"/>
    <cellStyle name="Normal 2 4 4 5 2 2" xfId="6811" xr:uid="{00000000-0005-0000-0000-00003F480000}"/>
    <cellStyle name="Normal 2 4 4 5 2 2 2" xfId="15841" xr:uid="{00000000-0005-0000-0000-000040480000}"/>
    <cellStyle name="Normal 2 4 4 5 2 2 2 2" xfId="35893" xr:uid="{00000000-0005-0000-0000-000041480000}"/>
    <cellStyle name="Normal 2 4 4 5 2 2 3" xfId="26863" xr:uid="{00000000-0005-0000-0000-000042480000}"/>
    <cellStyle name="Normal 2 4 4 5 2 3" xfId="11359" xr:uid="{00000000-0005-0000-0000-000043480000}"/>
    <cellStyle name="Normal 2 4 4 5 2 3 2" xfId="31411" xr:uid="{00000000-0005-0000-0000-000044480000}"/>
    <cellStyle name="Normal 2 4 4 5 2 4" xfId="22381" xr:uid="{00000000-0005-0000-0000-000045480000}"/>
    <cellStyle name="Normal 2 4 4 5 3" xfId="3823" xr:uid="{00000000-0005-0000-0000-000046480000}"/>
    <cellStyle name="Normal 2 4 4 5 3 2" xfId="8305" xr:uid="{00000000-0005-0000-0000-000047480000}"/>
    <cellStyle name="Normal 2 4 4 5 3 2 2" xfId="17335" xr:uid="{00000000-0005-0000-0000-000048480000}"/>
    <cellStyle name="Normal 2 4 4 5 3 2 2 2" xfId="37387" xr:uid="{00000000-0005-0000-0000-000049480000}"/>
    <cellStyle name="Normal 2 4 4 5 3 2 3" xfId="28357" xr:uid="{00000000-0005-0000-0000-00004A480000}"/>
    <cellStyle name="Normal 2 4 4 5 3 3" xfId="12853" xr:uid="{00000000-0005-0000-0000-00004B480000}"/>
    <cellStyle name="Normal 2 4 4 5 3 3 2" xfId="32905" xr:uid="{00000000-0005-0000-0000-00004C480000}"/>
    <cellStyle name="Normal 2 4 4 5 3 4" xfId="23875" xr:uid="{00000000-0005-0000-0000-00004D480000}"/>
    <cellStyle name="Normal 2 4 4 5 4" xfId="5317" xr:uid="{00000000-0005-0000-0000-00004E480000}"/>
    <cellStyle name="Normal 2 4 4 5 4 2" xfId="14347" xr:uid="{00000000-0005-0000-0000-00004F480000}"/>
    <cellStyle name="Normal 2 4 4 5 4 2 2" xfId="34399" xr:uid="{00000000-0005-0000-0000-000050480000}"/>
    <cellStyle name="Normal 2 4 4 5 4 3" xfId="25369" xr:uid="{00000000-0005-0000-0000-000051480000}"/>
    <cellStyle name="Normal 2 4 4 5 5" xfId="9865" xr:uid="{00000000-0005-0000-0000-000052480000}"/>
    <cellStyle name="Normal 2 4 4 5 5 2" xfId="29917" xr:uid="{00000000-0005-0000-0000-000053480000}"/>
    <cellStyle name="Normal 2 4 4 5 6" xfId="20887" xr:uid="{00000000-0005-0000-0000-000054480000}"/>
    <cellStyle name="Normal 2 4 4 6" xfId="1584" xr:uid="{00000000-0005-0000-0000-000055480000}"/>
    <cellStyle name="Normal 2 4 4 6 2" xfId="6066" xr:uid="{00000000-0005-0000-0000-000056480000}"/>
    <cellStyle name="Normal 2 4 4 6 2 2" xfId="15096" xr:uid="{00000000-0005-0000-0000-000057480000}"/>
    <cellStyle name="Normal 2 4 4 6 2 2 2" xfId="35148" xr:uid="{00000000-0005-0000-0000-000058480000}"/>
    <cellStyle name="Normal 2 4 4 6 2 3" xfId="26118" xr:uid="{00000000-0005-0000-0000-000059480000}"/>
    <cellStyle name="Normal 2 4 4 6 3" xfId="10614" xr:uid="{00000000-0005-0000-0000-00005A480000}"/>
    <cellStyle name="Normal 2 4 4 6 3 2" xfId="30666" xr:uid="{00000000-0005-0000-0000-00005B480000}"/>
    <cellStyle name="Normal 2 4 4 6 4" xfId="21636" xr:uid="{00000000-0005-0000-0000-00005C480000}"/>
    <cellStyle name="Normal 2 4 4 7" xfId="3078" xr:uid="{00000000-0005-0000-0000-00005D480000}"/>
    <cellStyle name="Normal 2 4 4 7 2" xfId="7560" xr:uid="{00000000-0005-0000-0000-00005E480000}"/>
    <cellStyle name="Normal 2 4 4 7 2 2" xfId="16590" xr:uid="{00000000-0005-0000-0000-00005F480000}"/>
    <cellStyle name="Normal 2 4 4 7 2 2 2" xfId="36642" xr:uid="{00000000-0005-0000-0000-000060480000}"/>
    <cellStyle name="Normal 2 4 4 7 2 3" xfId="27612" xr:uid="{00000000-0005-0000-0000-000061480000}"/>
    <cellStyle name="Normal 2 4 4 7 3" xfId="12108" xr:uid="{00000000-0005-0000-0000-000062480000}"/>
    <cellStyle name="Normal 2 4 4 7 3 2" xfId="32160" xr:uid="{00000000-0005-0000-0000-000063480000}"/>
    <cellStyle name="Normal 2 4 4 7 4" xfId="23130" xr:uid="{00000000-0005-0000-0000-000064480000}"/>
    <cellStyle name="Normal 2 4 4 8" xfId="4572" xr:uid="{00000000-0005-0000-0000-000065480000}"/>
    <cellStyle name="Normal 2 4 4 8 2" xfId="13602" xr:uid="{00000000-0005-0000-0000-000066480000}"/>
    <cellStyle name="Normal 2 4 4 8 2 2" xfId="33654" xr:uid="{00000000-0005-0000-0000-000067480000}"/>
    <cellStyle name="Normal 2 4 4 8 3" xfId="24624" xr:uid="{00000000-0005-0000-0000-000068480000}"/>
    <cellStyle name="Normal 2 4 4 9" xfId="9120" xr:uid="{00000000-0005-0000-0000-000069480000}"/>
    <cellStyle name="Normal 2 4 4 9 2" xfId="29172" xr:uid="{00000000-0005-0000-0000-00006A480000}"/>
    <cellStyle name="Normal 2 4 5" xfId="111" xr:uid="{00000000-0005-0000-0000-00006B480000}"/>
    <cellStyle name="Normal 2 4 5 10" xfId="20163" xr:uid="{00000000-0005-0000-0000-00006C480000}"/>
    <cellStyle name="Normal 2 4 5 2" xfId="297" xr:uid="{00000000-0005-0000-0000-00006D480000}"/>
    <cellStyle name="Normal 2 4 5 2 2" xfId="1040" xr:uid="{00000000-0005-0000-0000-00006E480000}"/>
    <cellStyle name="Normal 2 4 5 2 2 2" xfId="2534" xr:uid="{00000000-0005-0000-0000-00006F480000}"/>
    <cellStyle name="Normal 2 4 5 2 2 2 2" xfId="7016" xr:uid="{00000000-0005-0000-0000-000070480000}"/>
    <cellStyle name="Normal 2 4 5 2 2 2 2 2" xfId="16046" xr:uid="{00000000-0005-0000-0000-000071480000}"/>
    <cellStyle name="Normal 2 4 5 2 2 2 2 2 2" xfId="36098" xr:uid="{00000000-0005-0000-0000-000072480000}"/>
    <cellStyle name="Normal 2 4 5 2 2 2 2 3" xfId="27068" xr:uid="{00000000-0005-0000-0000-000073480000}"/>
    <cellStyle name="Normal 2 4 5 2 2 2 3" xfId="11564" xr:uid="{00000000-0005-0000-0000-000074480000}"/>
    <cellStyle name="Normal 2 4 5 2 2 2 3 2" xfId="31616" xr:uid="{00000000-0005-0000-0000-000075480000}"/>
    <cellStyle name="Normal 2 4 5 2 2 2 4" xfId="22586" xr:uid="{00000000-0005-0000-0000-000076480000}"/>
    <cellStyle name="Normal 2 4 5 2 2 3" xfId="4028" xr:uid="{00000000-0005-0000-0000-000077480000}"/>
    <cellStyle name="Normal 2 4 5 2 2 3 2" xfId="8510" xr:uid="{00000000-0005-0000-0000-000078480000}"/>
    <cellStyle name="Normal 2 4 5 2 2 3 2 2" xfId="17540" xr:uid="{00000000-0005-0000-0000-000079480000}"/>
    <cellStyle name="Normal 2 4 5 2 2 3 2 2 2" xfId="37592" xr:uid="{00000000-0005-0000-0000-00007A480000}"/>
    <cellStyle name="Normal 2 4 5 2 2 3 2 3" xfId="28562" xr:uid="{00000000-0005-0000-0000-00007B480000}"/>
    <cellStyle name="Normal 2 4 5 2 2 3 3" xfId="13058" xr:uid="{00000000-0005-0000-0000-00007C480000}"/>
    <cellStyle name="Normal 2 4 5 2 2 3 3 2" xfId="33110" xr:uid="{00000000-0005-0000-0000-00007D480000}"/>
    <cellStyle name="Normal 2 4 5 2 2 3 4" xfId="24080" xr:uid="{00000000-0005-0000-0000-00007E480000}"/>
    <cellStyle name="Normal 2 4 5 2 2 4" xfId="5522" xr:uid="{00000000-0005-0000-0000-00007F480000}"/>
    <cellStyle name="Normal 2 4 5 2 2 4 2" xfId="14552" xr:uid="{00000000-0005-0000-0000-000080480000}"/>
    <cellStyle name="Normal 2 4 5 2 2 4 2 2" xfId="34604" xr:uid="{00000000-0005-0000-0000-000081480000}"/>
    <cellStyle name="Normal 2 4 5 2 2 4 3" xfId="25574" xr:uid="{00000000-0005-0000-0000-000082480000}"/>
    <cellStyle name="Normal 2 4 5 2 2 5" xfId="10070" xr:uid="{00000000-0005-0000-0000-000083480000}"/>
    <cellStyle name="Normal 2 4 5 2 2 5 2" xfId="30122" xr:uid="{00000000-0005-0000-0000-000084480000}"/>
    <cellStyle name="Normal 2 4 5 2 2 6" xfId="21092" xr:uid="{00000000-0005-0000-0000-000085480000}"/>
    <cellStyle name="Normal 2 4 5 2 3" xfId="1791" xr:uid="{00000000-0005-0000-0000-000086480000}"/>
    <cellStyle name="Normal 2 4 5 2 3 2" xfId="6273" xr:uid="{00000000-0005-0000-0000-000087480000}"/>
    <cellStyle name="Normal 2 4 5 2 3 2 2" xfId="15303" xr:uid="{00000000-0005-0000-0000-000088480000}"/>
    <cellStyle name="Normal 2 4 5 2 3 2 2 2" xfId="35355" xr:uid="{00000000-0005-0000-0000-000089480000}"/>
    <cellStyle name="Normal 2 4 5 2 3 2 3" xfId="26325" xr:uid="{00000000-0005-0000-0000-00008A480000}"/>
    <cellStyle name="Normal 2 4 5 2 3 3" xfId="10821" xr:uid="{00000000-0005-0000-0000-00008B480000}"/>
    <cellStyle name="Normal 2 4 5 2 3 3 2" xfId="30873" xr:uid="{00000000-0005-0000-0000-00008C480000}"/>
    <cellStyle name="Normal 2 4 5 2 3 4" xfId="21843" xr:uid="{00000000-0005-0000-0000-00008D480000}"/>
    <cellStyle name="Normal 2 4 5 2 4" xfId="3285" xr:uid="{00000000-0005-0000-0000-00008E480000}"/>
    <cellStyle name="Normal 2 4 5 2 4 2" xfId="7767" xr:uid="{00000000-0005-0000-0000-00008F480000}"/>
    <cellStyle name="Normal 2 4 5 2 4 2 2" xfId="16797" xr:uid="{00000000-0005-0000-0000-000090480000}"/>
    <cellStyle name="Normal 2 4 5 2 4 2 2 2" xfId="36849" xr:uid="{00000000-0005-0000-0000-000091480000}"/>
    <cellStyle name="Normal 2 4 5 2 4 2 3" xfId="27819" xr:uid="{00000000-0005-0000-0000-000092480000}"/>
    <cellStyle name="Normal 2 4 5 2 4 3" xfId="12315" xr:uid="{00000000-0005-0000-0000-000093480000}"/>
    <cellStyle name="Normal 2 4 5 2 4 3 2" xfId="32367" xr:uid="{00000000-0005-0000-0000-000094480000}"/>
    <cellStyle name="Normal 2 4 5 2 4 4" xfId="23337" xr:uid="{00000000-0005-0000-0000-000095480000}"/>
    <cellStyle name="Normal 2 4 5 2 5" xfId="4779" xr:uid="{00000000-0005-0000-0000-000096480000}"/>
    <cellStyle name="Normal 2 4 5 2 5 2" xfId="13809" xr:uid="{00000000-0005-0000-0000-000097480000}"/>
    <cellStyle name="Normal 2 4 5 2 5 2 2" xfId="33861" xr:uid="{00000000-0005-0000-0000-000098480000}"/>
    <cellStyle name="Normal 2 4 5 2 5 3" xfId="24831" xr:uid="{00000000-0005-0000-0000-000099480000}"/>
    <cellStyle name="Normal 2 4 5 2 6" xfId="9327" xr:uid="{00000000-0005-0000-0000-00009A480000}"/>
    <cellStyle name="Normal 2 4 5 2 6 2" xfId="29379" xr:uid="{00000000-0005-0000-0000-00009B480000}"/>
    <cellStyle name="Normal 2 4 5 2 7" xfId="20349" xr:uid="{00000000-0005-0000-0000-00009C480000}"/>
    <cellStyle name="Normal 2 4 5 3" xfId="483" xr:uid="{00000000-0005-0000-0000-00009D480000}"/>
    <cellStyle name="Normal 2 4 5 3 2" xfId="1230" xr:uid="{00000000-0005-0000-0000-00009E480000}"/>
    <cellStyle name="Normal 2 4 5 3 2 2" xfId="2724" xr:uid="{00000000-0005-0000-0000-00009F480000}"/>
    <cellStyle name="Normal 2 4 5 3 2 2 2" xfId="7206" xr:uid="{00000000-0005-0000-0000-0000A0480000}"/>
    <cellStyle name="Normal 2 4 5 3 2 2 2 2" xfId="16236" xr:uid="{00000000-0005-0000-0000-0000A1480000}"/>
    <cellStyle name="Normal 2 4 5 3 2 2 2 2 2" xfId="36288" xr:uid="{00000000-0005-0000-0000-0000A2480000}"/>
    <cellStyle name="Normal 2 4 5 3 2 2 2 3" xfId="27258" xr:uid="{00000000-0005-0000-0000-0000A3480000}"/>
    <cellStyle name="Normal 2 4 5 3 2 2 3" xfId="11754" xr:uid="{00000000-0005-0000-0000-0000A4480000}"/>
    <cellStyle name="Normal 2 4 5 3 2 2 3 2" xfId="31806" xr:uid="{00000000-0005-0000-0000-0000A5480000}"/>
    <cellStyle name="Normal 2 4 5 3 2 2 4" xfId="22776" xr:uid="{00000000-0005-0000-0000-0000A6480000}"/>
    <cellStyle name="Normal 2 4 5 3 2 3" xfId="4218" xr:uid="{00000000-0005-0000-0000-0000A7480000}"/>
    <cellStyle name="Normal 2 4 5 3 2 3 2" xfId="8700" xr:uid="{00000000-0005-0000-0000-0000A8480000}"/>
    <cellStyle name="Normal 2 4 5 3 2 3 2 2" xfId="17730" xr:uid="{00000000-0005-0000-0000-0000A9480000}"/>
    <cellStyle name="Normal 2 4 5 3 2 3 2 2 2" xfId="37782" xr:uid="{00000000-0005-0000-0000-0000AA480000}"/>
    <cellStyle name="Normal 2 4 5 3 2 3 2 3" xfId="28752" xr:uid="{00000000-0005-0000-0000-0000AB480000}"/>
    <cellStyle name="Normal 2 4 5 3 2 3 3" xfId="13248" xr:uid="{00000000-0005-0000-0000-0000AC480000}"/>
    <cellStyle name="Normal 2 4 5 3 2 3 3 2" xfId="33300" xr:uid="{00000000-0005-0000-0000-0000AD480000}"/>
    <cellStyle name="Normal 2 4 5 3 2 3 4" xfId="24270" xr:uid="{00000000-0005-0000-0000-0000AE480000}"/>
    <cellStyle name="Normal 2 4 5 3 2 4" xfId="5712" xr:uid="{00000000-0005-0000-0000-0000AF480000}"/>
    <cellStyle name="Normal 2 4 5 3 2 4 2" xfId="14742" xr:uid="{00000000-0005-0000-0000-0000B0480000}"/>
    <cellStyle name="Normal 2 4 5 3 2 4 2 2" xfId="34794" xr:uid="{00000000-0005-0000-0000-0000B1480000}"/>
    <cellStyle name="Normal 2 4 5 3 2 4 3" xfId="25764" xr:uid="{00000000-0005-0000-0000-0000B2480000}"/>
    <cellStyle name="Normal 2 4 5 3 2 5" xfId="10260" xr:uid="{00000000-0005-0000-0000-0000B3480000}"/>
    <cellStyle name="Normal 2 4 5 3 2 5 2" xfId="30312" xr:uid="{00000000-0005-0000-0000-0000B4480000}"/>
    <cellStyle name="Normal 2 4 5 3 2 6" xfId="21282" xr:uid="{00000000-0005-0000-0000-0000B5480000}"/>
    <cellStyle name="Normal 2 4 5 3 3" xfId="1977" xr:uid="{00000000-0005-0000-0000-0000B6480000}"/>
    <cellStyle name="Normal 2 4 5 3 3 2" xfId="6459" xr:uid="{00000000-0005-0000-0000-0000B7480000}"/>
    <cellStyle name="Normal 2 4 5 3 3 2 2" xfId="15489" xr:uid="{00000000-0005-0000-0000-0000B8480000}"/>
    <cellStyle name="Normal 2 4 5 3 3 2 2 2" xfId="35541" xr:uid="{00000000-0005-0000-0000-0000B9480000}"/>
    <cellStyle name="Normal 2 4 5 3 3 2 3" xfId="26511" xr:uid="{00000000-0005-0000-0000-0000BA480000}"/>
    <cellStyle name="Normal 2 4 5 3 3 3" xfId="11007" xr:uid="{00000000-0005-0000-0000-0000BB480000}"/>
    <cellStyle name="Normal 2 4 5 3 3 3 2" xfId="31059" xr:uid="{00000000-0005-0000-0000-0000BC480000}"/>
    <cellStyle name="Normal 2 4 5 3 3 4" xfId="22029" xr:uid="{00000000-0005-0000-0000-0000BD480000}"/>
    <cellStyle name="Normal 2 4 5 3 4" xfId="3471" xr:uid="{00000000-0005-0000-0000-0000BE480000}"/>
    <cellStyle name="Normal 2 4 5 3 4 2" xfId="7953" xr:uid="{00000000-0005-0000-0000-0000BF480000}"/>
    <cellStyle name="Normal 2 4 5 3 4 2 2" xfId="16983" xr:uid="{00000000-0005-0000-0000-0000C0480000}"/>
    <cellStyle name="Normal 2 4 5 3 4 2 2 2" xfId="37035" xr:uid="{00000000-0005-0000-0000-0000C1480000}"/>
    <cellStyle name="Normal 2 4 5 3 4 2 3" xfId="28005" xr:uid="{00000000-0005-0000-0000-0000C2480000}"/>
    <cellStyle name="Normal 2 4 5 3 4 3" xfId="12501" xr:uid="{00000000-0005-0000-0000-0000C3480000}"/>
    <cellStyle name="Normal 2 4 5 3 4 3 2" xfId="32553" xr:uid="{00000000-0005-0000-0000-0000C4480000}"/>
    <cellStyle name="Normal 2 4 5 3 4 4" xfId="23523" xr:uid="{00000000-0005-0000-0000-0000C5480000}"/>
    <cellStyle name="Normal 2 4 5 3 5" xfId="4965" xr:uid="{00000000-0005-0000-0000-0000C6480000}"/>
    <cellStyle name="Normal 2 4 5 3 5 2" xfId="13995" xr:uid="{00000000-0005-0000-0000-0000C7480000}"/>
    <cellStyle name="Normal 2 4 5 3 5 2 2" xfId="34047" xr:uid="{00000000-0005-0000-0000-0000C8480000}"/>
    <cellStyle name="Normal 2 4 5 3 5 3" xfId="25017" xr:uid="{00000000-0005-0000-0000-0000C9480000}"/>
    <cellStyle name="Normal 2 4 5 3 6" xfId="9513" xr:uid="{00000000-0005-0000-0000-0000CA480000}"/>
    <cellStyle name="Normal 2 4 5 3 6 2" xfId="29565" xr:uid="{00000000-0005-0000-0000-0000CB480000}"/>
    <cellStyle name="Normal 2 4 5 3 7" xfId="20535" xr:uid="{00000000-0005-0000-0000-0000CC480000}"/>
    <cellStyle name="Normal 2 4 5 4" xfId="669" xr:uid="{00000000-0005-0000-0000-0000CD480000}"/>
    <cellStyle name="Normal 2 4 5 4 2" xfId="1416" xr:uid="{00000000-0005-0000-0000-0000CE480000}"/>
    <cellStyle name="Normal 2 4 5 4 2 2" xfId="2910" xr:uid="{00000000-0005-0000-0000-0000CF480000}"/>
    <cellStyle name="Normal 2 4 5 4 2 2 2" xfId="7392" xr:uid="{00000000-0005-0000-0000-0000D0480000}"/>
    <cellStyle name="Normal 2 4 5 4 2 2 2 2" xfId="16422" xr:uid="{00000000-0005-0000-0000-0000D1480000}"/>
    <cellStyle name="Normal 2 4 5 4 2 2 2 2 2" xfId="36474" xr:uid="{00000000-0005-0000-0000-0000D2480000}"/>
    <cellStyle name="Normal 2 4 5 4 2 2 2 3" xfId="27444" xr:uid="{00000000-0005-0000-0000-0000D3480000}"/>
    <cellStyle name="Normal 2 4 5 4 2 2 3" xfId="11940" xr:uid="{00000000-0005-0000-0000-0000D4480000}"/>
    <cellStyle name="Normal 2 4 5 4 2 2 3 2" xfId="31992" xr:uid="{00000000-0005-0000-0000-0000D5480000}"/>
    <cellStyle name="Normal 2 4 5 4 2 2 4" xfId="22962" xr:uid="{00000000-0005-0000-0000-0000D6480000}"/>
    <cellStyle name="Normal 2 4 5 4 2 3" xfId="4404" xr:uid="{00000000-0005-0000-0000-0000D7480000}"/>
    <cellStyle name="Normal 2 4 5 4 2 3 2" xfId="8886" xr:uid="{00000000-0005-0000-0000-0000D8480000}"/>
    <cellStyle name="Normal 2 4 5 4 2 3 2 2" xfId="17916" xr:uid="{00000000-0005-0000-0000-0000D9480000}"/>
    <cellStyle name="Normal 2 4 5 4 2 3 2 2 2" xfId="37968" xr:uid="{00000000-0005-0000-0000-0000DA480000}"/>
    <cellStyle name="Normal 2 4 5 4 2 3 2 3" xfId="28938" xr:uid="{00000000-0005-0000-0000-0000DB480000}"/>
    <cellStyle name="Normal 2 4 5 4 2 3 3" xfId="13434" xr:uid="{00000000-0005-0000-0000-0000DC480000}"/>
    <cellStyle name="Normal 2 4 5 4 2 3 3 2" xfId="33486" xr:uid="{00000000-0005-0000-0000-0000DD480000}"/>
    <cellStyle name="Normal 2 4 5 4 2 3 4" xfId="24456" xr:uid="{00000000-0005-0000-0000-0000DE480000}"/>
    <cellStyle name="Normal 2 4 5 4 2 4" xfId="5898" xr:uid="{00000000-0005-0000-0000-0000DF480000}"/>
    <cellStyle name="Normal 2 4 5 4 2 4 2" xfId="14928" xr:uid="{00000000-0005-0000-0000-0000E0480000}"/>
    <cellStyle name="Normal 2 4 5 4 2 4 2 2" xfId="34980" xr:uid="{00000000-0005-0000-0000-0000E1480000}"/>
    <cellStyle name="Normal 2 4 5 4 2 4 3" xfId="25950" xr:uid="{00000000-0005-0000-0000-0000E2480000}"/>
    <cellStyle name="Normal 2 4 5 4 2 5" xfId="10446" xr:uid="{00000000-0005-0000-0000-0000E3480000}"/>
    <cellStyle name="Normal 2 4 5 4 2 5 2" xfId="30498" xr:uid="{00000000-0005-0000-0000-0000E4480000}"/>
    <cellStyle name="Normal 2 4 5 4 2 6" xfId="21468" xr:uid="{00000000-0005-0000-0000-0000E5480000}"/>
    <cellStyle name="Normal 2 4 5 4 3" xfId="2163" xr:uid="{00000000-0005-0000-0000-0000E6480000}"/>
    <cellStyle name="Normal 2 4 5 4 3 2" xfId="6645" xr:uid="{00000000-0005-0000-0000-0000E7480000}"/>
    <cellStyle name="Normal 2 4 5 4 3 2 2" xfId="15675" xr:uid="{00000000-0005-0000-0000-0000E8480000}"/>
    <cellStyle name="Normal 2 4 5 4 3 2 2 2" xfId="35727" xr:uid="{00000000-0005-0000-0000-0000E9480000}"/>
    <cellStyle name="Normal 2 4 5 4 3 2 3" xfId="26697" xr:uid="{00000000-0005-0000-0000-0000EA480000}"/>
    <cellStyle name="Normal 2 4 5 4 3 3" xfId="11193" xr:uid="{00000000-0005-0000-0000-0000EB480000}"/>
    <cellStyle name="Normal 2 4 5 4 3 3 2" xfId="31245" xr:uid="{00000000-0005-0000-0000-0000EC480000}"/>
    <cellStyle name="Normal 2 4 5 4 3 4" xfId="22215" xr:uid="{00000000-0005-0000-0000-0000ED480000}"/>
    <cellStyle name="Normal 2 4 5 4 4" xfId="3657" xr:uid="{00000000-0005-0000-0000-0000EE480000}"/>
    <cellStyle name="Normal 2 4 5 4 4 2" xfId="8139" xr:uid="{00000000-0005-0000-0000-0000EF480000}"/>
    <cellStyle name="Normal 2 4 5 4 4 2 2" xfId="17169" xr:uid="{00000000-0005-0000-0000-0000F0480000}"/>
    <cellStyle name="Normal 2 4 5 4 4 2 2 2" xfId="37221" xr:uid="{00000000-0005-0000-0000-0000F1480000}"/>
    <cellStyle name="Normal 2 4 5 4 4 2 3" xfId="28191" xr:uid="{00000000-0005-0000-0000-0000F2480000}"/>
    <cellStyle name="Normal 2 4 5 4 4 3" xfId="12687" xr:uid="{00000000-0005-0000-0000-0000F3480000}"/>
    <cellStyle name="Normal 2 4 5 4 4 3 2" xfId="32739" xr:uid="{00000000-0005-0000-0000-0000F4480000}"/>
    <cellStyle name="Normal 2 4 5 4 4 4" xfId="23709" xr:uid="{00000000-0005-0000-0000-0000F5480000}"/>
    <cellStyle name="Normal 2 4 5 4 5" xfId="5151" xr:uid="{00000000-0005-0000-0000-0000F6480000}"/>
    <cellStyle name="Normal 2 4 5 4 5 2" xfId="14181" xr:uid="{00000000-0005-0000-0000-0000F7480000}"/>
    <cellStyle name="Normal 2 4 5 4 5 2 2" xfId="34233" xr:uid="{00000000-0005-0000-0000-0000F8480000}"/>
    <cellStyle name="Normal 2 4 5 4 5 3" xfId="25203" xr:uid="{00000000-0005-0000-0000-0000F9480000}"/>
    <cellStyle name="Normal 2 4 5 4 6" xfId="9699" xr:uid="{00000000-0005-0000-0000-0000FA480000}"/>
    <cellStyle name="Normal 2 4 5 4 6 2" xfId="29751" xr:uid="{00000000-0005-0000-0000-0000FB480000}"/>
    <cellStyle name="Normal 2 4 5 4 7" xfId="20721" xr:uid="{00000000-0005-0000-0000-0000FC480000}"/>
    <cellStyle name="Normal 2 4 5 5" xfId="856" xr:uid="{00000000-0005-0000-0000-0000FD480000}"/>
    <cellStyle name="Normal 2 4 5 5 2" xfId="2350" xr:uid="{00000000-0005-0000-0000-0000FE480000}"/>
    <cellStyle name="Normal 2 4 5 5 2 2" xfId="6832" xr:uid="{00000000-0005-0000-0000-0000FF480000}"/>
    <cellStyle name="Normal 2 4 5 5 2 2 2" xfId="15862" xr:uid="{00000000-0005-0000-0000-000000490000}"/>
    <cellStyle name="Normal 2 4 5 5 2 2 2 2" xfId="35914" xr:uid="{00000000-0005-0000-0000-000001490000}"/>
    <cellStyle name="Normal 2 4 5 5 2 2 3" xfId="26884" xr:uid="{00000000-0005-0000-0000-000002490000}"/>
    <cellStyle name="Normal 2 4 5 5 2 3" xfId="11380" xr:uid="{00000000-0005-0000-0000-000003490000}"/>
    <cellStyle name="Normal 2 4 5 5 2 3 2" xfId="31432" xr:uid="{00000000-0005-0000-0000-000004490000}"/>
    <cellStyle name="Normal 2 4 5 5 2 4" xfId="22402" xr:uid="{00000000-0005-0000-0000-000005490000}"/>
    <cellStyle name="Normal 2 4 5 5 3" xfId="3844" xr:uid="{00000000-0005-0000-0000-000006490000}"/>
    <cellStyle name="Normal 2 4 5 5 3 2" xfId="8326" xr:uid="{00000000-0005-0000-0000-000007490000}"/>
    <cellStyle name="Normal 2 4 5 5 3 2 2" xfId="17356" xr:uid="{00000000-0005-0000-0000-000008490000}"/>
    <cellStyle name="Normal 2 4 5 5 3 2 2 2" xfId="37408" xr:uid="{00000000-0005-0000-0000-000009490000}"/>
    <cellStyle name="Normal 2 4 5 5 3 2 3" xfId="28378" xr:uid="{00000000-0005-0000-0000-00000A490000}"/>
    <cellStyle name="Normal 2 4 5 5 3 3" xfId="12874" xr:uid="{00000000-0005-0000-0000-00000B490000}"/>
    <cellStyle name="Normal 2 4 5 5 3 3 2" xfId="32926" xr:uid="{00000000-0005-0000-0000-00000C490000}"/>
    <cellStyle name="Normal 2 4 5 5 3 4" xfId="23896" xr:uid="{00000000-0005-0000-0000-00000D490000}"/>
    <cellStyle name="Normal 2 4 5 5 4" xfId="5338" xr:uid="{00000000-0005-0000-0000-00000E490000}"/>
    <cellStyle name="Normal 2 4 5 5 4 2" xfId="14368" xr:uid="{00000000-0005-0000-0000-00000F490000}"/>
    <cellStyle name="Normal 2 4 5 5 4 2 2" xfId="34420" xr:uid="{00000000-0005-0000-0000-000010490000}"/>
    <cellStyle name="Normal 2 4 5 5 4 3" xfId="25390" xr:uid="{00000000-0005-0000-0000-000011490000}"/>
    <cellStyle name="Normal 2 4 5 5 5" xfId="9886" xr:uid="{00000000-0005-0000-0000-000012490000}"/>
    <cellStyle name="Normal 2 4 5 5 5 2" xfId="29938" xr:uid="{00000000-0005-0000-0000-000013490000}"/>
    <cellStyle name="Normal 2 4 5 5 6" xfId="20908" xr:uid="{00000000-0005-0000-0000-000014490000}"/>
    <cellStyle name="Normal 2 4 5 6" xfId="1605" xr:uid="{00000000-0005-0000-0000-000015490000}"/>
    <cellStyle name="Normal 2 4 5 6 2" xfId="6087" xr:uid="{00000000-0005-0000-0000-000016490000}"/>
    <cellStyle name="Normal 2 4 5 6 2 2" xfId="15117" xr:uid="{00000000-0005-0000-0000-000017490000}"/>
    <cellStyle name="Normal 2 4 5 6 2 2 2" xfId="35169" xr:uid="{00000000-0005-0000-0000-000018490000}"/>
    <cellStyle name="Normal 2 4 5 6 2 3" xfId="26139" xr:uid="{00000000-0005-0000-0000-000019490000}"/>
    <cellStyle name="Normal 2 4 5 6 3" xfId="10635" xr:uid="{00000000-0005-0000-0000-00001A490000}"/>
    <cellStyle name="Normal 2 4 5 6 3 2" xfId="30687" xr:uid="{00000000-0005-0000-0000-00001B490000}"/>
    <cellStyle name="Normal 2 4 5 6 4" xfId="21657" xr:uid="{00000000-0005-0000-0000-00001C490000}"/>
    <cellStyle name="Normal 2 4 5 7" xfId="3099" xr:uid="{00000000-0005-0000-0000-00001D490000}"/>
    <cellStyle name="Normal 2 4 5 7 2" xfId="7581" xr:uid="{00000000-0005-0000-0000-00001E490000}"/>
    <cellStyle name="Normal 2 4 5 7 2 2" xfId="16611" xr:uid="{00000000-0005-0000-0000-00001F490000}"/>
    <cellStyle name="Normal 2 4 5 7 2 2 2" xfId="36663" xr:uid="{00000000-0005-0000-0000-000020490000}"/>
    <cellStyle name="Normal 2 4 5 7 2 3" xfId="27633" xr:uid="{00000000-0005-0000-0000-000021490000}"/>
    <cellStyle name="Normal 2 4 5 7 3" xfId="12129" xr:uid="{00000000-0005-0000-0000-000022490000}"/>
    <cellStyle name="Normal 2 4 5 7 3 2" xfId="32181" xr:uid="{00000000-0005-0000-0000-000023490000}"/>
    <cellStyle name="Normal 2 4 5 7 4" xfId="23151" xr:uid="{00000000-0005-0000-0000-000024490000}"/>
    <cellStyle name="Normal 2 4 5 8" xfId="4593" xr:uid="{00000000-0005-0000-0000-000025490000}"/>
    <cellStyle name="Normal 2 4 5 8 2" xfId="13623" xr:uid="{00000000-0005-0000-0000-000026490000}"/>
    <cellStyle name="Normal 2 4 5 8 2 2" xfId="33675" xr:uid="{00000000-0005-0000-0000-000027490000}"/>
    <cellStyle name="Normal 2 4 5 8 3" xfId="24645" xr:uid="{00000000-0005-0000-0000-000028490000}"/>
    <cellStyle name="Normal 2 4 5 9" xfId="9141" xr:uid="{00000000-0005-0000-0000-000029490000}"/>
    <cellStyle name="Normal 2 4 5 9 2" xfId="29193" xr:uid="{00000000-0005-0000-0000-00002A490000}"/>
    <cellStyle name="Normal 2 4 6" xfId="137" xr:uid="{00000000-0005-0000-0000-00002B490000}"/>
    <cellStyle name="Normal 2 4 6 10" xfId="20189" xr:uid="{00000000-0005-0000-0000-00002C490000}"/>
    <cellStyle name="Normal 2 4 6 2" xfId="323" xr:uid="{00000000-0005-0000-0000-00002D490000}"/>
    <cellStyle name="Normal 2 4 6 2 2" xfId="1066" xr:uid="{00000000-0005-0000-0000-00002E490000}"/>
    <cellStyle name="Normal 2 4 6 2 2 2" xfId="2560" xr:uid="{00000000-0005-0000-0000-00002F490000}"/>
    <cellStyle name="Normal 2 4 6 2 2 2 2" xfId="7042" xr:uid="{00000000-0005-0000-0000-000030490000}"/>
    <cellStyle name="Normal 2 4 6 2 2 2 2 2" xfId="16072" xr:uid="{00000000-0005-0000-0000-000031490000}"/>
    <cellStyle name="Normal 2 4 6 2 2 2 2 2 2" xfId="36124" xr:uid="{00000000-0005-0000-0000-000032490000}"/>
    <cellStyle name="Normal 2 4 6 2 2 2 2 3" xfId="27094" xr:uid="{00000000-0005-0000-0000-000033490000}"/>
    <cellStyle name="Normal 2 4 6 2 2 2 3" xfId="11590" xr:uid="{00000000-0005-0000-0000-000034490000}"/>
    <cellStyle name="Normal 2 4 6 2 2 2 3 2" xfId="31642" xr:uid="{00000000-0005-0000-0000-000035490000}"/>
    <cellStyle name="Normal 2 4 6 2 2 2 4" xfId="22612" xr:uid="{00000000-0005-0000-0000-000036490000}"/>
    <cellStyle name="Normal 2 4 6 2 2 3" xfId="4054" xr:uid="{00000000-0005-0000-0000-000037490000}"/>
    <cellStyle name="Normal 2 4 6 2 2 3 2" xfId="8536" xr:uid="{00000000-0005-0000-0000-000038490000}"/>
    <cellStyle name="Normal 2 4 6 2 2 3 2 2" xfId="17566" xr:uid="{00000000-0005-0000-0000-000039490000}"/>
    <cellStyle name="Normal 2 4 6 2 2 3 2 2 2" xfId="37618" xr:uid="{00000000-0005-0000-0000-00003A490000}"/>
    <cellStyle name="Normal 2 4 6 2 2 3 2 3" xfId="28588" xr:uid="{00000000-0005-0000-0000-00003B490000}"/>
    <cellStyle name="Normal 2 4 6 2 2 3 3" xfId="13084" xr:uid="{00000000-0005-0000-0000-00003C490000}"/>
    <cellStyle name="Normal 2 4 6 2 2 3 3 2" xfId="33136" xr:uid="{00000000-0005-0000-0000-00003D490000}"/>
    <cellStyle name="Normal 2 4 6 2 2 3 4" xfId="24106" xr:uid="{00000000-0005-0000-0000-00003E490000}"/>
    <cellStyle name="Normal 2 4 6 2 2 4" xfId="5548" xr:uid="{00000000-0005-0000-0000-00003F490000}"/>
    <cellStyle name="Normal 2 4 6 2 2 4 2" xfId="14578" xr:uid="{00000000-0005-0000-0000-000040490000}"/>
    <cellStyle name="Normal 2 4 6 2 2 4 2 2" xfId="34630" xr:uid="{00000000-0005-0000-0000-000041490000}"/>
    <cellStyle name="Normal 2 4 6 2 2 4 3" xfId="25600" xr:uid="{00000000-0005-0000-0000-000042490000}"/>
    <cellStyle name="Normal 2 4 6 2 2 5" xfId="10096" xr:uid="{00000000-0005-0000-0000-000043490000}"/>
    <cellStyle name="Normal 2 4 6 2 2 5 2" xfId="30148" xr:uid="{00000000-0005-0000-0000-000044490000}"/>
    <cellStyle name="Normal 2 4 6 2 2 6" xfId="21118" xr:uid="{00000000-0005-0000-0000-000045490000}"/>
    <cellStyle name="Normal 2 4 6 2 3" xfId="1817" xr:uid="{00000000-0005-0000-0000-000046490000}"/>
    <cellStyle name="Normal 2 4 6 2 3 2" xfId="6299" xr:uid="{00000000-0005-0000-0000-000047490000}"/>
    <cellStyle name="Normal 2 4 6 2 3 2 2" xfId="15329" xr:uid="{00000000-0005-0000-0000-000048490000}"/>
    <cellStyle name="Normal 2 4 6 2 3 2 2 2" xfId="35381" xr:uid="{00000000-0005-0000-0000-000049490000}"/>
    <cellStyle name="Normal 2 4 6 2 3 2 3" xfId="26351" xr:uid="{00000000-0005-0000-0000-00004A490000}"/>
    <cellStyle name="Normal 2 4 6 2 3 3" xfId="10847" xr:uid="{00000000-0005-0000-0000-00004B490000}"/>
    <cellStyle name="Normal 2 4 6 2 3 3 2" xfId="30899" xr:uid="{00000000-0005-0000-0000-00004C490000}"/>
    <cellStyle name="Normal 2 4 6 2 3 4" xfId="21869" xr:uid="{00000000-0005-0000-0000-00004D490000}"/>
    <cellStyle name="Normal 2 4 6 2 4" xfId="3311" xr:uid="{00000000-0005-0000-0000-00004E490000}"/>
    <cellStyle name="Normal 2 4 6 2 4 2" xfId="7793" xr:uid="{00000000-0005-0000-0000-00004F490000}"/>
    <cellStyle name="Normal 2 4 6 2 4 2 2" xfId="16823" xr:uid="{00000000-0005-0000-0000-000050490000}"/>
    <cellStyle name="Normal 2 4 6 2 4 2 2 2" xfId="36875" xr:uid="{00000000-0005-0000-0000-000051490000}"/>
    <cellStyle name="Normal 2 4 6 2 4 2 3" xfId="27845" xr:uid="{00000000-0005-0000-0000-000052490000}"/>
    <cellStyle name="Normal 2 4 6 2 4 3" xfId="12341" xr:uid="{00000000-0005-0000-0000-000053490000}"/>
    <cellStyle name="Normal 2 4 6 2 4 3 2" xfId="32393" xr:uid="{00000000-0005-0000-0000-000054490000}"/>
    <cellStyle name="Normal 2 4 6 2 4 4" xfId="23363" xr:uid="{00000000-0005-0000-0000-000055490000}"/>
    <cellStyle name="Normal 2 4 6 2 5" xfId="4805" xr:uid="{00000000-0005-0000-0000-000056490000}"/>
    <cellStyle name="Normal 2 4 6 2 5 2" xfId="13835" xr:uid="{00000000-0005-0000-0000-000057490000}"/>
    <cellStyle name="Normal 2 4 6 2 5 2 2" xfId="33887" xr:uid="{00000000-0005-0000-0000-000058490000}"/>
    <cellStyle name="Normal 2 4 6 2 5 3" xfId="24857" xr:uid="{00000000-0005-0000-0000-000059490000}"/>
    <cellStyle name="Normal 2 4 6 2 6" xfId="9353" xr:uid="{00000000-0005-0000-0000-00005A490000}"/>
    <cellStyle name="Normal 2 4 6 2 6 2" xfId="29405" xr:uid="{00000000-0005-0000-0000-00005B490000}"/>
    <cellStyle name="Normal 2 4 6 2 7" xfId="20375" xr:uid="{00000000-0005-0000-0000-00005C490000}"/>
    <cellStyle name="Normal 2 4 6 3" xfId="509" xr:uid="{00000000-0005-0000-0000-00005D490000}"/>
    <cellStyle name="Normal 2 4 6 3 2" xfId="1256" xr:uid="{00000000-0005-0000-0000-00005E490000}"/>
    <cellStyle name="Normal 2 4 6 3 2 2" xfId="2750" xr:uid="{00000000-0005-0000-0000-00005F490000}"/>
    <cellStyle name="Normal 2 4 6 3 2 2 2" xfId="7232" xr:uid="{00000000-0005-0000-0000-000060490000}"/>
    <cellStyle name="Normal 2 4 6 3 2 2 2 2" xfId="16262" xr:uid="{00000000-0005-0000-0000-000061490000}"/>
    <cellStyle name="Normal 2 4 6 3 2 2 2 2 2" xfId="36314" xr:uid="{00000000-0005-0000-0000-000062490000}"/>
    <cellStyle name="Normal 2 4 6 3 2 2 2 3" xfId="27284" xr:uid="{00000000-0005-0000-0000-000063490000}"/>
    <cellStyle name="Normal 2 4 6 3 2 2 3" xfId="11780" xr:uid="{00000000-0005-0000-0000-000064490000}"/>
    <cellStyle name="Normal 2 4 6 3 2 2 3 2" xfId="31832" xr:uid="{00000000-0005-0000-0000-000065490000}"/>
    <cellStyle name="Normal 2 4 6 3 2 2 4" xfId="22802" xr:uid="{00000000-0005-0000-0000-000066490000}"/>
    <cellStyle name="Normal 2 4 6 3 2 3" xfId="4244" xr:uid="{00000000-0005-0000-0000-000067490000}"/>
    <cellStyle name="Normal 2 4 6 3 2 3 2" xfId="8726" xr:uid="{00000000-0005-0000-0000-000068490000}"/>
    <cellStyle name="Normal 2 4 6 3 2 3 2 2" xfId="17756" xr:uid="{00000000-0005-0000-0000-000069490000}"/>
    <cellStyle name="Normal 2 4 6 3 2 3 2 2 2" xfId="37808" xr:uid="{00000000-0005-0000-0000-00006A490000}"/>
    <cellStyle name="Normal 2 4 6 3 2 3 2 3" xfId="28778" xr:uid="{00000000-0005-0000-0000-00006B490000}"/>
    <cellStyle name="Normal 2 4 6 3 2 3 3" xfId="13274" xr:uid="{00000000-0005-0000-0000-00006C490000}"/>
    <cellStyle name="Normal 2 4 6 3 2 3 3 2" xfId="33326" xr:uid="{00000000-0005-0000-0000-00006D490000}"/>
    <cellStyle name="Normal 2 4 6 3 2 3 4" xfId="24296" xr:uid="{00000000-0005-0000-0000-00006E490000}"/>
    <cellStyle name="Normal 2 4 6 3 2 4" xfId="5738" xr:uid="{00000000-0005-0000-0000-00006F490000}"/>
    <cellStyle name="Normal 2 4 6 3 2 4 2" xfId="14768" xr:uid="{00000000-0005-0000-0000-000070490000}"/>
    <cellStyle name="Normal 2 4 6 3 2 4 2 2" xfId="34820" xr:uid="{00000000-0005-0000-0000-000071490000}"/>
    <cellStyle name="Normal 2 4 6 3 2 4 3" xfId="25790" xr:uid="{00000000-0005-0000-0000-000072490000}"/>
    <cellStyle name="Normal 2 4 6 3 2 5" xfId="10286" xr:uid="{00000000-0005-0000-0000-000073490000}"/>
    <cellStyle name="Normal 2 4 6 3 2 5 2" xfId="30338" xr:uid="{00000000-0005-0000-0000-000074490000}"/>
    <cellStyle name="Normal 2 4 6 3 2 6" xfId="21308" xr:uid="{00000000-0005-0000-0000-000075490000}"/>
    <cellStyle name="Normal 2 4 6 3 3" xfId="2003" xr:uid="{00000000-0005-0000-0000-000076490000}"/>
    <cellStyle name="Normal 2 4 6 3 3 2" xfId="6485" xr:uid="{00000000-0005-0000-0000-000077490000}"/>
    <cellStyle name="Normal 2 4 6 3 3 2 2" xfId="15515" xr:uid="{00000000-0005-0000-0000-000078490000}"/>
    <cellStyle name="Normal 2 4 6 3 3 2 2 2" xfId="35567" xr:uid="{00000000-0005-0000-0000-000079490000}"/>
    <cellStyle name="Normal 2 4 6 3 3 2 3" xfId="26537" xr:uid="{00000000-0005-0000-0000-00007A490000}"/>
    <cellStyle name="Normal 2 4 6 3 3 3" xfId="11033" xr:uid="{00000000-0005-0000-0000-00007B490000}"/>
    <cellStyle name="Normal 2 4 6 3 3 3 2" xfId="31085" xr:uid="{00000000-0005-0000-0000-00007C490000}"/>
    <cellStyle name="Normal 2 4 6 3 3 4" xfId="22055" xr:uid="{00000000-0005-0000-0000-00007D490000}"/>
    <cellStyle name="Normal 2 4 6 3 4" xfId="3497" xr:uid="{00000000-0005-0000-0000-00007E490000}"/>
    <cellStyle name="Normal 2 4 6 3 4 2" xfId="7979" xr:uid="{00000000-0005-0000-0000-00007F490000}"/>
    <cellStyle name="Normal 2 4 6 3 4 2 2" xfId="17009" xr:uid="{00000000-0005-0000-0000-000080490000}"/>
    <cellStyle name="Normal 2 4 6 3 4 2 2 2" xfId="37061" xr:uid="{00000000-0005-0000-0000-000081490000}"/>
    <cellStyle name="Normal 2 4 6 3 4 2 3" xfId="28031" xr:uid="{00000000-0005-0000-0000-000082490000}"/>
    <cellStyle name="Normal 2 4 6 3 4 3" xfId="12527" xr:uid="{00000000-0005-0000-0000-000083490000}"/>
    <cellStyle name="Normal 2 4 6 3 4 3 2" xfId="32579" xr:uid="{00000000-0005-0000-0000-000084490000}"/>
    <cellStyle name="Normal 2 4 6 3 4 4" xfId="23549" xr:uid="{00000000-0005-0000-0000-000085490000}"/>
    <cellStyle name="Normal 2 4 6 3 5" xfId="4991" xr:uid="{00000000-0005-0000-0000-000086490000}"/>
    <cellStyle name="Normal 2 4 6 3 5 2" xfId="14021" xr:uid="{00000000-0005-0000-0000-000087490000}"/>
    <cellStyle name="Normal 2 4 6 3 5 2 2" xfId="34073" xr:uid="{00000000-0005-0000-0000-000088490000}"/>
    <cellStyle name="Normal 2 4 6 3 5 3" xfId="25043" xr:uid="{00000000-0005-0000-0000-000089490000}"/>
    <cellStyle name="Normal 2 4 6 3 6" xfId="9539" xr:uid="{00000000-0005-0000-0000-00008A490000}"/>
    <cellStyle name="Normal 2 4 6 3 6 2" xfId="29591" xr:uid="{00000000-0005-0000-0000-00008B490000}"/>
    <cellStyle name="Normal 2 4 6 3 7" xfId="20561" xr:uid="{00000000-0005-0000-0000-00008C490000}"/>
    <cellStyle name="Normal 2 4 6 4" xfId="695" xr:uid="{00000000-0005-0000-0000-00008D490000}"/>
    <cellStyle name="Normal 2 4 6 4 2" xfId="1442" xr:uid="{00000000-0005-0000-0000-00008E490000}"/>
    <cellStyle name="Normal 2 4 6 4 2 2" xfId="2936" xr:uid="{00000000-0005-0000-0000-00008F490000}"/>
    <cellStyle name="Normal 2 4 6 4 2 2 2" xfId="7418" xr:uid="{00000000-0005-0000-0000-000090490000}"/>
    <cellStyle name="Normal 2 4 6 4 2 2 2 2" xfId="16448" xr:uid="{00000000-0005-0000-0000-000091490000}"/>
    <cellStyle name="Normal 2 4 6 4 2 2 2 2 2" xfId="36500" xr:uid="{00000000-0005-0000-0000-000092490000}"/>
    <cellStyle name="Normal 2 4 6 4 2 2 2 3" xfId="27470" xr:uid="{00000000-0005-0000-0000-000093490000}"/>
    <cellStyle name="Normal 2 4 6 4 2 2 3" xfId="11966" xr:uid="{00000000-0005-0000-0000-000094490000}"/>
    <cellStyle name="Normal 2 4 6 4 2 2 3 2" xfId="32018" xr:uid="{00000000-0005-0000-0000-000095490000}"/>
    <cellStyle name="Normal 2 4 6 4 2 2 4" xfId="22988" xr:uid="{00000000-0005-0000-0000-000096490000}"/>
    <cellStyle name="Normal 2 4 6 4 2 3" xfId="4430" xr:uid="{00000000-0005-0000-0000-000097490000}"/>
    <cellStyle name="Normal 2 4 6 4 2 3 2" xfId="8912" xr:uid="{00000000-0005-0000-0000-000098490000}"/>
    <cellStyle name="Normal 2 4 6 4 2 3 2 2" xfId="17942" xr:uid="{00000000-0005-0000-0000-000099490000}"/>
    <cellStyle name="Normal 2 4 6 4 2 3 2 2 2" xfId="37994" xr:uid="{00000000-0005-0000-0000-00009A490000}"/>
    <cellStyle name="Normal 2 4 6 4 2 3 2 3" xfId="28964" xr:uid="{00000000-0005-0000-0000-00009B490000}"/>
    <cellStyle name="Normal 2 4 6 4 2 3 3" xfId="13460" xr:uid="{00000000-0005-0000-0000-00009C490000}"/>
    <cellStyle name="Normal 2 4 6 4 2 3 3 2" xfId="33512" xr:uid="{00000000-0005-0000-0000-00009D490000}"/>
    <cellStyle name="Normal 2 4 6 4 2 3 4" xfId="24482" xr:uid="{00000000-0005-0000-0000-00009E490000}"/>
    <cellStyle name="Normal 2 4 6 4 2 4" xfId="5924" xr:uid="{00000000-0005-0000-0000-00009F490000}"/>
    <cellStyle name="Normal 2 4 6 4 2 4 2" xfId="14954" xr:uid="{00000000-0005-0000-0000-0000A0490000}"/>
    <cellStyle name="Normal 2 4 6 4 2 4 2 2" xfId="35006" xr:uid="{00000000-0005-0000-0000-0000A1490000}"/>
    <cellStyle name="Normal 2 4 6 4 2 4 3" xfId="25976" xr:uid="{00000000-0005-0000-0000-0000A2490000}"/>
    <cellStyle name="Normal 2 4 6 4 2 5" xfId="10472" xr:uid="{00000000-0005-0000-0000-0000A3490000}"/>
    <cellStyle name="Normal 2 4 6 4 2 5 2" xfId="30524" xr:uid="{00000000-0005-0000-0000-0000A4490000}"/>
    <cellStyle name="Normal 2 4 6 4 2 6" xfId="21494" xr:uid="{00000000-0005-0000-0000-0000A5490000}"/>
    <cellStyle name="Normal 2 4 6 4 3" xfId="2189" xr:uid="{00000000-0005-0000-0000-0000A6490000}"/>
    <cellStyle name="Normal 2 4 6 4 3 2" xfId="6671" xr:uid="{00000000-0005-0000-0000-0000A7490000}"/>
    <cellStyle name="Normal 2 4 6 4 3 2 2" xfId="15701" xr:uid="{00000000-0005-0000-0000-0000A8490000}"/>
    <cellStyle name="Normal 2 4 6 4 3 2 2 2" xfId="35753" xr:uid="{00000000-0005-0000-0000-0000A9490000}"/>
    <cellStyle name="Normal 2 4 6 4 3 2 3" xfId="26723" xr:uid="{00000000-0005-0000-0000-0000AA490000}"/>
    <cellStyle name="Normal 2 4 6 4 3 3" xfId="11219" xr:uid="{00000000-0005-0000-0000-0000AB490000}"/>
    <cellStyle name="Normal 2 4 6 4 3 3 2" xfId="31271" xr:uid="{00000000-0005-0000-0000-0000AC490000}"/>
    <cellStyle name="Normal 2 4 6 4 3 4" xfId="22241" xr:uid="{00000000-0005-0000-0000-0000AD490000}"/>
    <cellStyle name="Normal 2 4 6 4 4" xfId="3683" xr:uid="{00000000-0005-0000-0000-0000AE490000}"/>
    <cellStyle name="Normal 2 4 6 4 4 2" xfId="8165" xr:uid="{00000000-0005-0000-0000-0000AF490000}"/>
    <cellStyle name="Normal 2 4 6 4 4 2 2" xfId="17195" xr:uid="{00000000-0005-0000-0000-0000B0490000}"/>
    <cellStyle name="Normal 2 4 6 4 4 2 2 2" xfId="37247" xr:uid="{00000000-0005-0000-0000-0000B1490000}"/>
    <cellStyle name="Normal 2 4 6 4 4 2 3" xfId="28217" xr:uid="{00000000-0005-0000-0000-0000B2490000}"/>
    <cellStyle name="Normal 2 4 6 4 4 3" xfId="12713" xr:uid="{00000000-0005-0000-0000-0000B3490000}"/>
    <cellStyle name="Normal 2 4 6 4 4 3 2" xfId="32765" xr:uid="{00000000-0005-0000-0000-0000B4490000}"/>
    <cellStyle name="Normal 2 4 6 4 4 4" xfId="23735" xr:uid="{00000000-0005-0000-0000-0000B5490000}"/>
    <cellStyle name="Normal 2 4 6 4 5" xfId="5177" xr:uid="{00000000-0005-0000-0000-0000B6490000}"/>
    <cellStyle name="Normal 2 4 6 4 5 2" xfId="14207" xr:uid="{00000000-0005-0000-0000-0000B7490000}"/>
    <cellStyle name="Normal 2 4 6 4 5 2 2" xfId="34259" xr:uid="{00000000-0005-0000-0000-0000B8490000}"/>
    <cellStyle name="Normal 2 4 6 4 5 3" xfId="25229" xr:uid="{00000000-0005-0000-0000-0000B9490000}"/>
    <cellStyle name="Normal 2 4 6 4 6" xfId="9725" xr:uid="{00000000-0005-0000-0000-0000BA490000}"/>
    <cellStyle name="Normal 2 4 6 4 6 2" xfId="29777" xr:uid="{00000000-0005-0000-0000-0000BB490000}"/>
    <cellStyle name="Normal 2 4 6 4 7" xfId="20747" xr:uid="{00000000-0005-0000-0000-0000BC490000}"/>
    <cellStyle name="Normal 2 4 6 5" xfId="882" xr:uid="{00000000-0005-0000-0000-0000BD490000}"/>
    <cellStyle name="Normal 2 4 6 5 2" xfId="2376" xr:uid="{00000000-0005-0000-0000-0000BE490000}"/>
    <cellStyle name="Normal 2 4 6 5 2 2" xfId="6858" xr:uid="{00000000-0005-0000-0000-0000BF490000}"/>
    <cellStyle name="Normal 2 4 6 5 2 2 2" xfId="15888" xr:uid="{00000000-0005-0000-0000-0000C0490000}"/>
    <cellStyle name="Normal 2 4 6 5 2 2 2 2" xfId="35940" xr:uid="{00000000-0005-0000-0000-0000C1490000}"/>
    <cellStyle name="Normal 2 4 6 5 2 2 3" xfId="26910" xr:uid="{00000000-0005-0000-0000-0000C2490000}"/>
    <cellStyle name="Normal 2 4 6 5 2 3" xfId="11406" xr:uid="{00000000-0005-0000-0000-0000C3490000}"/>
    <cellStyle name="Normal 2 4 6 5 2 3 2" xfId="31458" xr:uid="{00000000-0005-0000-0000-0000C4490000}"/>
    <cellStyle name="Normal 2 4 6 5 2 4" xfId="22428" xr:uid="{00000000-0005-0000-0000-0000C5490000}"/>
    <cellStyle name="Normal 2 4 6 5 3" xfId="3870" xr:uid="{00000000-0005-0000-0000-0000C6490000}"/>
    <cellStyle name="Normal 2 4 6 5 3 2" xfId="8352" xr:uid="{00000000-0005-0000-0000-0000C7490000}"/>
    <cellStyle name="Normal 2 4 6 5 3 2 2" xfId="17382" xr:uid="{00000000-0005-0000-0000-0000C8490000}"/>
    <cellStyle name="Normal 2 4 6 5 3 2 2 2" xfId="37434" xr:uid="{00000000-0005-0000-0000-0000C9490000}"/>
    <cellStyle name="Normal 2 4 6 5 3 2 3" xfId="28404" xr:uid="{00000000-0005-0000-0000-0000CA490000}"/>
    <cellStyle name="Normal 2 4 6 5 3 3" xfId="12900" xr:uid="{00000000-0005-0000-0000-0000CB490000}"/>
    <cellStyle name="Normal 2 4 6 5 3 3 2" xfId="32952" xr:uid="{00000000-0005-0000-0000-0000CC490000}"/>
    <cellStyle name="Normal 2 4 6 5 3 4" xfId="23922" xr:uid="{00000000-0005-0000-0000-0000CD490000}"/>
    <cellStyle name="Normal 2 4 6 5 4" xfId="5364" xr:uid="{00000000-0005-0000-0000-0000CE490000}"/>
    <cellStyle name="Normal 2 4 6 5 4 2" xfId="14394" xr:uid="{00000000-0005-0000-0000-0000CF490000}"/>
    <cellStyle name="Normal 2 4 6 5 4 2 2" xfId="34446" xr:uid="{00000000-0005-0000-0000-0000D0490000}"/>
    <cellStyle name="Normal 2 4 6 5 4 3" xfId="25416" xr:uid="{00000000-0005-0000-0000-0000D1490000}"/>
    <cellStyle name="Normal 2 4 6 5 5" xfId="9912" xr:uid="{00000000-0005-0000-0000-0000D2490000}"/>
    <cellStyle name="Normal 2 4 6 5 5 2" xfId="29964" xr:uid="{00000000-0005-0000-0000-0000D3490000}"/>
    <cellStyle name="Normal 2 4 6 5 6" xfId="20934" xr:uid="{00000000-0005-0000-0000-0000D4490000}"/>
    <cellStyle name="Normal 2 4 6 6" xfId="1631" xr:uid="{00000000-0005-0000-0000-0000D5490000}"/>
    <cellStyle name="Normal 2 4 6 6 2" xfId="6113" xr:uid="{00000000-0005-0000-0000-0000D6490000}"/>
    <cellStyle name="Normal 2 4 6 6 2 2" xfId="15143" xr:uid="{00000000-0005-0000-0000-0000D7490000}"/>
    <cellStyle name="Normal 2 4 6 6 2 2 2" xfId="35195" xr:uid="{00000000-0005-0000-0000-0000D8490000}"/>
    <cellStyle name="Normal 2 4 6 6 2 3" xfId="26165" xr:uid="{00000000-0005-0000-0000-0000D9490000}"/>
    <cellStyle name="Normal 2 4 6 6 3" xfId="10661" xr:uid="{00000000-0005-0000-0000-0000DA490000}"/>
    <cellStyle name="Normal 2 4 6 6 3 2" xfId="30713" xr:uid="{00000000-0005-0000-0000-0000DB490000}"/>
    <cellStyle name="Normal 2 4 6 6 4" xfId="21683" xr:uid="{00000000-0005-0000-0000-0000DC490000}"/>
    <cellStyle name="Normal 2 4 6 7" xfId="3125" xr:uid="{00000000-0005-0000-0000-0000DD490000}"/>
    <cellStyle name="Normal 2 4 6 7 2" xfId="7607" xr:uid="{00000000-0005-0000-0000-0000DE490000}"/>
    <cellStyle name="Normal 2 4 6 7 2 2" xfId="16637" xr:uid="{00000000-0005-0000-0000-0000DF490000}"/>
    <cellStyle name="Normal 2 4 6 7 2 2 2" xfId="36689" xr:uid="{00000000-0005-0000-0000-0000E0490000}"/>
    <cellStyle name="Normal 2 4 6 7 2 3" xfId="27659" xr:uid="{00000000-0005-0000-0000-0000E1490000}"/>
    <cellStyle name="Normal 2 4 6 7 3" xfId="12155" xr:uid="{00000000-0005-0000-0000-0000E2490000}"/>
    <cellStyle name="Normal 2 4 6 7 3 2" xfId="32207" xr:uid="{00000000-0005-0000-0000-0000E3490000}"/>
    <cellStyle name="Normal 2 4 6 7 4" xfId="23177" xr:uid="{00000000-0005-0000-0000-0000E4490000}"/>
    <cellStyle name="Normal 2 4 6 8" xfId="4619" xr:uid="{00000000-0005-0000-0000-0000E5490000}"/>
    <cellStyle name="Normal 2 4 6 8 2" xfId="13649" xr:uid="{00000000-0005-0000-0000-0000E6490000}"/>
    <cellStyle name="Normal 2 4 6 8 2 2" xfId="33701" xr:uid="{00000000-0005-0000-0000-0000E7490000}"/>
    <cellStyle name="Normal 2 4 6 8 3" xfId="24671" xr:uid="{00000000-0005-0000-0000-0000E8490000}"/>
    <cellStyle name="Normal 2 4 6 9" xfId="9167" xr:uid="{00000000-0005-0000-0000-0000E9490000}"/>
    <cellStyle name="Normal 2 4 6 9 2" xfId="29219" xr:uid="{00000000-0005-0000-0000-0000EA490000}"/>
    <cellStyle name="Normal 2 4 7" xfId="160" xr:uid="{00000000-0005-0000-0000-0000EB490000}"/>
    <cellStyle name="Normal 2 4 7 10" xfId="20212" xr:uid="{00000000-0005-0000-0000-0000EC490000}"/>
    <cellStyle name="Normal 2 4 7 2" xfId="346" xr:uid="{00000000-0005-0000-0000-0000ED490000}"/>
    <cellStyle name="Normal 2 4 7 2 2" xfId="1089" xr:uid="{00000000-0005-0000-0000-0000EE490000}"/>
    <cellStyle name="Normal 2 4 7 2 2 2" xfId="2583" xr:uid="{00000000-0005-0000-0000-0000EF490000}"/>
    <cellStyle name="Normal 2 4 7 2 2 2 2" xfId="7065" xr:uid="{00000000-0005-0000-0000-0000F0490000}"/>
    <cellStyle name="Normal 2 4 7 2 2 2 2 2" xfId="16095" xr:uid="{00000000-0005-0000-0000-0000F1490000}"/>
    <cellStyle name="Normal 2 4 7 2 2 2 2 2 2" xfId="36147" xr:uid="{00000000-0005-0000-0000-0000F2490000}"/>
    <cellStyle name="Normal 2 4 7 2 2 2 2 3" xfId="27117" xr:uid="{00000000-0005-0000-0000-0000F3490000}"/>
    <cellStyle name="Normal 2 4 7 2 2 2 3" xfId="11613" xr:uid="{00000000-0005-0000-0000-0000F4490000}"/>
    <cellStyle name="Normal 2 4 7 2 2 2 3 2" xfId="31665" xr:uid="{00000000-0005-0000-0000-0000F5490000}"/>
    <cellStyle name="Normal 2 4 7 2 2 2 4" xfId="22635" xr:uid="{00000000-0005-0000-0000-0000F6490000}"/>
    <cellStyle name="Normal 2 4 7 2 2 3" xfId="4077" xr:uid="{00000000-0005-0000-0000-0000F7490000}"/>
    <cellStyle name="Normal 2 4 7 2 2 3 2" xfId="8559" xr:uid="{00000000-0005-0000-0000-0000F8490000}"/>
    <cellStyle name="Normal 2 4 7 2 2 3 2 2" xfId="17589" xr:uid="{00000000-0005-0000-0000-0000F9490000}"/>
    <cellStyle name="Normal 2 4 7 2 2 3 2 2 2" xfId="37641" xr:uid="{00000000-0005-0000-0000-0000FA490000}"/>
    <cellStyle name="Normal 2 4 7 2 2 3 2 3" xfId="28611" xr:uid="{00000000-0005-0000-0000-0000FB490000}"/>
    <cellStyle name="Normal 2 4 7 2 2 3 3" xfId="13107" xr:uid="{00000000-0005-0000-0000-0000FC490000}"/>
    <cellStyle name="Normal 2 4 7 2 2 3 3 2" xfId="33159" xr:uid="{00000000-0005-0000-0000-0000FD490000}"/>
    <cellStyle name="Normal 2 4 7 2 2 3 4" xfId="24129" xr:uid="{00000000-0005-0000-0000-0000FE490000}"/>
    <cellStyle name="Normal 2 4 7 2 2 4" xfId="5571" xr:uid="{00000000-0005-0000-0000-0000FF490000}"/>
    <cellStyle name="Normal 2 4 7 2 2 4 2" xfId="14601" xr:uid="{00000000-0005-0000-0000-0000004A0000}"/>
    <cellStyle name="Normal 2 4 7 2 2 4 2 2" xfId="34653" xr:uid="{00000000-0005-0000-0000-0000014A0000}"/>
    <cellStyle name="Normal 2 4 7 2 2 4 3" xfId="25623" xr:uid="{00000000-0005-0000-0000-0000024A0000}"/>
    <cellStyle name="Normal 2 4 7 2 2 5" xfId="10119" xr:uid="{00000000-0005-0000-0000-0000034A0000}"/>
    <cellStyle name="Normal 2 4 7 2 2 5 2" xfId="30171" xr:uid="{00000000-0005-0000-0000-0000044A0000}"/>
    <cellStyle name="Normal 2 4 7 2 2 6" xfId="21141" xr:uid="{00000000-0005-0000-0000-0000054A0000}"/>
    <cellStyle name="Normal 2 4 7 2 3" xfId="1840" xr:uid="{00000000-0005-0000-0000-0000064A0000}"/>
    <cellStyle name="Normal 2 4 7 2 3 2" xfId="6322" xr:uid="{00000000-0005-0000-0000-0000074A0000}"/>
    <cellStyle name="Normal 2 4 7 2 3 2 2" xfId="15352" xr:uid="{00000000-0005-0000-0000-0000084A0000}"/>
    <cellStyle name="Normal 2 4 7 2 3 2 2 2" xfId="35404" xr:uid="{00000000-0005-0000-0000-0000094A0000}"/>
    <cellStyle name="Normal 2 4 7 2 3 2 3" xfId="26374" xr:uid="{00000000-0005-0000-0000-00000A4A0000}"/>
    <cellStyle name="Normal 2 4 7 2 3 3" xfId="10870" xr:uid="{00000000-0005-0000-0000-00000B4A0000}"/>
    <cellStyle name="Normal 2 4 7 2 3 3 2" xfId="30922" xr:uid="{00000000-0005-0000-0000-00000C4A0000}"/>
    <cellStyle name="Normal 2 4 7 2 3 4" xfId="21892" xr:uid="{00000000-0005-0000-0000-00000D4A0000}"/>
    <cellStyle name="Normal 2 4 7 2 4" xfId="3334" xr:uid="{00000000-0005-0000-0000-00000E4A0000}"/>
    <cellStyle name="Normal 2 4 7 2 4 2" xfId="7816" xr:uid="{00000000-0005-0000-0000-00000F4A0000}"/>
    <cellStyle name="Normal 2 4 7 2 4 2 2" xfId="16846" xr:uid="{00000000-0005-0000-0000-0000104A0000}"/>
    <cellStyle name="Normal 2 4 7 2 4 2 2 2" xfId="36898" xr:uid="{00000000-0005-0000-0000-0000114A0000}"/>
    <cellStyle name="Normal 2 4 7 2 4 2 3" xfId="27868" xr:uid="{00000000-0005-0000-0000-0000124A0000}"/>
    <cellStyle name="Normal 2 4 7 2 4 3" xfId="12364" xr:uid="{00000000-0005-0000-0000-0000134A0000}"/>
    <cellStyle name="Normal 2 4 7 2 4 3 2" xfId="32416" xr:uid="{00000000-0005-0000-0000-0000144A0000}"/>
    <cellStyle name="Normal 2 4 7 2 4 4" xfId="23386" xr:uid="{00000000-0005-0000-0000-0000154A0000}"/>
    <cellStyle name="Normal 2 4 7 2 5" xfId="4828" xr:uid="{00000000-0005-0000-0000-0000164A0000}"/>
    <cellStyle name="Normal 2 4 7 2 5 2" xfId="13858" xr:uid="{00000000-0005-0000-0000-0000174A0000}"/>
    <cellStyle name="Normal 2 4 7 2 5 2 2" xfId="33910" xr:uid="{00000000-0005-0000-0000-0000184A0000}"/>
    <cellStyle name="Normal 2 4 7 2 5 3" xfId="24880" xr:uid="{00000000-0005-0000-0000-0000194A0000}"/>
    <cellStyle name="Normal 2 4 7 2 6" xfId="9376" xr:uid="{00000000-0005-0000-0000-00001A4A0000}"/>
    <cellStyle name="Normal 2 4 7 2 6 2" xfId="29428" xr:uid="{00000000-0005-0000-0000-00001B4A0000}"/>
    <cellStyle name="Normal 2 4 7 2 7" xfId="20398" xr:uid="{00000000-0005-0000-0000-00001C4A0000}"/>
    <cellStyle name="Normal 2 4 7 3" xfId="532" xr:uid="{00000000-0005-0000-0000-00001D4A0000}"/>
    <cellStyle name="Normal 2 4 7 3 2" xfId="1279" xr:uid="{00000000-0005-0000-0000-00001E4A0000}"/>
    <cellStyle name="Normal 2 4 7 3 2 2" xfId="2773" xr:uid="{00000000-0005-0000-0000-00001F4A0000}"/>
    <cellStyle name="Normal 2 4 7 3 2 2 2" xfId="7255" xr:uid="{00000000-0005-0000-0000-0000204A0000}"/>
    <cellStyle name="Normal 2 4 7 3 2 2 2 2" xfId="16285" xr:uid="{00000000-0005-0000-0000-0000214A0000}"/>
    <cellStyle name="Normal 2 4 7 3 2 2 2 2 2" xfId="36337" xr:uid="{00000000-0005-0000-0000-0000224A0000}"/>
    <cellStyle name="Normal 2 4 7 3 2 2 2 3" xfId="27307" xr:uid="{00000000-0005-0000-0000-0000234A0000}"/>
    <cellStyle name="Normal 2 4 7 3 2 2 3" xfId="11803" xr:uid="{00000000-0005-0000-0000-0000244A0000}"/>
    <cellStyle name="Normal 2 4 7 3 2 2 3 2" xfId="31855" xr:uid="{00000000-0005-0000-0000-0000254A0000}"/>
    <cellStyle name="Normal 2 4 7 3 2 2 4" xfId="22825" xr:uid="{00000000-0005-0000-0000-0000264A0000}"/>
    <cellStyle name="Normal 2 4 7 3 2 3" xfId="4267" xr:uid="{00000000-0005-0000-0000-0000274A0000}"/>
    <cellStyle name="Normal 2 4 7 3 2 3 2" xfId="8749" xr:uid="{00000000-0005-0000-0000-0000284A0000}"/>
    <cellStyle name="Normal 2 4 7 3 2 3 2 2" xfId="17779" xr:uid="{00000000-0005-0000-0000-0000294A0000}"/>
    <cellStyle name="Normal 2 4 7 3 2 3 2 2 2" xfId="37831" xr:uid="{00000000-0005-0000-0000-00002A4A0000}"/>
    <cellStyle name="Normal 2 4 7 3 2 3 2 3" xfId="28801" xr:uid="{00000000-0005-0000-0000-00002B4A0000}"/>
    <cellStyle name="Normal 2 4 7 3 2 3 3" xfId="13297" xr:uid="{00000000-0005-0000-0000-00002C4A0000}"/>
    <cellStyle name="Normal 2 4 7 3 2 3 3 2" xfId="33349" xr:uid="{00000000-0005-0000-0000-00002D4A0000}"/>
    <cellStyle name="Normal 2 4 7 3 2 3 4" xfId="24319" xr:uid="{00000000-0005-0000-0000-00002E4A0000}"/>
    <cellStyle name="Normal 2 4 7 3 2 4" xfId="5761" xr:uid="{00000000-0005-0000-0000-00002F4A0000}"/>
    <cellStyle name="Normal 2 4 7 3 2 4 2" xfId="14791" xr:uid="{00000000-0005-0000-0000-0000304A0000}"/>
    <cellStyle name="Normal 2 4 7 3 2 4 2 2" xfId="34843" xr:uid="{00000000-0005-0000-0000-0000314A0000}"/>
    <cellStyle name="Normal 2 4 7 3 2 4 3" xfId="25813" xr:uid="{00000000-0005-0000-0000-0000324A0000}"/>
    <cellStyle name="Normal 2 4 7 3 2 5" xfId="10309" xr:uid="{00000000-0005-0000-0000-0000334A0000}"/>
    <cellStyle name="Normal 2 4 7 3 2 5 2" xfId="30361" xr:uid="{00000000-0005-0000-0000-0000344A0000}"/>
    <cellStyle name="Normal 2 4 7 3 2 6" xfId="21331" xr:uid="{00000000-0005-0000-0000-0000354A0000}"/>
    <cellStyle name="Normal 2 4 7 3 3" xfId="2026" xr:uid="{00000000-0005-0000-0000-0000364A0000}"/>
    <cellStyle name="Normal 2 4 7 3 3 2" xfId="6508" xr:uid="{00000000-0005-0000-0000-0000374A0000}"/>
    <cellStyle name="Normal 2 4 7 3 3 2 2" xfId="15538" xr:uid="{00000000-0005-0000-0000-0000384A0000}"/>
    <cellStyle name="Normal 2 4 7 3 3 2 2 2" xfId="35590" xr:uid="{00000000-0005-0000-0000-0000394A0000}"/>
    <cellStyle name="Normal 2 4 7 3 3 2 3" xfId="26560" xr:uid="{00000000-0005-0000-0000-00003A4A0000}"/>
    <cellStyle name="Normal 2 4 7 3 3 3" xfId="11056" xr:uid="{00000000-0005-0000-0000-00003B4A0000}"/>
    <cellStyle name="Normal 2 4 7 3 3 3 2" xfId="31108" xr:uid="{00000000-0005-0000-0000-00003C4A0000}"/>
    <cellStyle name="Normal 2 4 7 3 3 4" xfId="22078" xr:uid="{00000000-0005-0000-0000-00003D4A0000}"/>
    <cellStyle name="Normal 2 4 7 3 4" xfId="3520" xr:uid="{00000000-0005-0000-0000-00003E4A0000}"/>
    <cellStyle name="Normal 2 4 7 3 4 2" xfId="8002" xr:uid="{00000000-0005-0000-0000-00003F4A0000}"/>
    <cellStyle name="Normal 2 4 7 3 4 2 2" xfId="17032" xr:uid="{00000000-0005-0000-0000-0000404A0000}"/>
    <cellStyle name="Normal 2 4 7 3 4 2 2 2" xfId="37084" xr:uid="{00000000-0005-0000-0000-0000414A0000}"/>
    <cellStyle name="Normal 2 4 7 3 4 2 3" xfId="28054" xr:uid="{00000000-0005-0000-0000-0000424A0000}"/>
    <cellStyle name="Normal 2 4 7 3 4 3" xfId="12550" xr:uid="{00000000-0005-0000-0000-0000434A0000}"/>
    <cellStyle name="Normal 2 4 7 3 4 3 2" xfId="32602" xr:uid="{00000000-0005-0000-0000-0000444A0000}"/>
    <cellStyle name="Normal 2 4 7 3 4 4" xfId="23572" xr:uid="{00000000-0005-0000-0000-0000454A0000}"/>
    <cellStyle name="Normal 2 4 7 3 5" xfId="5014" xr:uid="{00000000-0005-0000-0000-0000464A0000}"/>
    <cellStyle name="Normal 2 4 7 3 5 2" xfId="14044" xr:uid="{00000000-0005-0000-0000-0000474A0000}"/>
    <cellStyle name="Normal 2 4 7 3 5 2 2" xfId="34096" xr:uid="{00000000-0005-0000-0000-0000484A0000}"/>
    <cellStyle name="Normal 2 4 7 3 5 3" xfId="25066" xr:uid="{00000000-0005-0000-0000-0000494A0000}"/>
    <cellStyle name="Normal 2 4 7 3 6" xfId="9562" xr:uid="{00000000-0005-0000-0000-00004A4A0000}"/>
    <cellStyle name="Normal 2 4 7 3 6 2" xfId="29614" xr:uid="{00000000-0005-0000-0000-00004B4A0000}"/>
    <cellStyle name="Normal 2 4 7 3 7" xfId="20584" xr:uid="{00000000-0005-0000-0000-00004C4A0000}"/>
    <cellStyle name="Normal 2 4 7 4" xfId="718" xr:uid="{00000000-0005-0000-0000-00004D4A0000}"/>
    <cellStyle name="Normal 2 4 7 4 2" xfId="1465" xr:uid="{00000000-0005-0000-0000-00004E4A0000}"/>
    <cellStyle name="Normal 2 4 7 4 2 2" xfId="2959" xr:uid="{00000000-0005-0000-0000-00004F4A0000}"/>
    <cellStyle name="Normal 2 4 7 4 2 2 2" xfId="7441" xr:uid="{00000000-0005-0000-0000-0000504A0000}"/>
    <cellStyle name="Normal 2 4 7 4 2 2 2 2" xfId="16471" xr:uid="{00000000-0005-0000-0000-0000514A0000}"/>
    <cellStyle name="Normal 2 4 7 4 2 2 2 2 2" xfId="36523" xr:uid="{00000000-0005-0000-0000-0000524A0000}"/>
    <cellStyle name="Normal 2 4 7 4 2 2 2 3" xfId="27493" xr:uid="{00000000-0005-0000-0000-0000534A0000}"/>
    <cellStyle name="Normal 2 4 7 4 2 2 3" xfId="11989" xr:uid="{00000000-0005-0000-0000-0000544A0000}"/>
    <cellStyle name="Normal 2 4 7 4 2 2 3 2" xfId="32041" xr:uid="{00000000-0005-0000-0000-0000554A0000}"/>
    <cellStyle name="Normal 2 4 7 4 2 2 4" xfId="23011" xr:uid="{00000000-0005-0000-0000-0000564A0000}"/>
    <cellStyle name="Normal 2 4 7 4 2 3" xfId="4453" xr:uid="{00000000-0005-0000-0000-0000574A0000}"/>
    <cellStyle name="Normal 2 4 7 4 2 3 2" xfId="8935" xr:uid="{00000000-0005-0000-0000-0000584A0000}"/>
    <cellStyle name="Normal 2 4 7 4 2 3 2 2" xfId="17965" xr:uid="{00000000-0005-0000-0000-0000594A0000}"/>
    <cellStyle name="Normal 2 4 7 4 2 3 2 2 2" xfId="38017" xr:uid="{00000000-0005-0000-0000-00005A4A0000}"/>
    <cellStyle name="Normal 2 4 7 4 2 3 2 3" xfId="28987" xr:uid="{00000000-0005-0000-0000-00005B4A0000}"/>
    <cellStyle name="Normal 2 4 7 4 2 3 3" xfId="13483" xr:uid="{00000000-0005-0000-0000-00005C4A0000}"/>
    <cellStyle name="Normal 2 4 7 4 2 3 3 2" xfId="33535" xr:uid="{00000000-0005-0000-0000-00005D4A0000}"/>
    <cellStyle name="Normal 2 4 7 4 2 3 4" xfId="24505" xr:uid="{00000000-0005-0000-0000-00005E4A0000}"/>
    <cellStyle name="Normal 2 4 7 4 2 4" xfId="5947" xr:uid="{00000000-0005-0000-0000-00005F4A0000}"/>
    <cellStyle name="Normal 2 4 7 4 2 4 2" xfId="14977" xr:uid="{00000000-0005-0000-0000-0000604A0000}"/>
    <cellStyle name="Normal 2 4 7 4 2 4 2 2" xfId="35029" xr:uid="{00000000-0005-0000-0000-0000614A0000}"/>
    <cellStyle name="Normal 2 4 7 4 2 4 3" xfId="25999" xr:uid="{00000000-0005-0000-0000-0000624A0000}"/>
    <cellStyle name="Normal 2 4 7 4 2 5" xfId="10495" xr:uid="{00000000-0005-0000-0000-0000634A0000}"/>
    <cellStyle name="Normal 2 4 7 4 2 5 2" xfId="30547" xr:uid="{00000000-0005-0000-0000-0000644A0000}"/>
    <cellStyle name="Normal 2 4 7 4 2 6" xfId="21517" xr:uid="{00000000-0005-0000-0000-0000654A0000}"/>
    <cellStyle name="Normal 2 4 7 4 3" xfId="2212" xr:uid="{00000000-0005-0000-0000-0000664A0000}"/>
    <cellStyle name="Normal 2 4 7 4 3 2" xfId="6694" xr:uid="{00000000-0005-0000-0000-0000674A0000}"/>
    <cellStyle name="Normal 2 4 7 4 3 2 2" xfId="15724" xr:uid="{00000000-0005-0000-0000-0000684A0000}"/>
    <cellStyle name="Normal 2 4 7 4 3 2 2 2" xfId="35776" xr:uid="{00000000-0005-0000-0000-0000694A0000}"/>
    <cellStyle name="Normal 2 4 7 4 3 2 3" xfId="26746" xr:uid="{00000000-0005-0000-0000-00006A4A0000}"/>
    <cellStyle name="Normal 2 4 7 4 3 3" xfId="11242" xr:uid="{00000000-0005-0000-0000-00006B4A0000}"/>
    <cellStyle name="Normal 2 4 7 4 3 3 2" xfId="31294" xr:uid="{00000000-0005-0000-0000-00006C4A0000}"/>
    <cellStyle name="Normal 2 4 7 4 3 4" xfId="22264" xr:uid="{00000000-0005-0000-0000-00006D4A0000}"/>
    <cellStyle name="Normal 2 4 7 4 4" xfId="3706" xr:uid="{00000000-0005-0000-0000-00006E4A0000}"/>
    <cellStyle name="Normal 2 4 7 4 4 2" xfId="8188" xr:uid="{00000000-0005-0000-0000-00006F4A0000}"/>
    <cellStyle name="Normal 2 4 7 4 4 2 2" xfId="17218" xr:uid="{00000000-0005-0000-0000-0000704A0000}"/>
    <cellStyle name="Normal 2 4 7 4 4 2 2 2" xfId="37270" xr:uid="{00000000-0005-0000-0000-0000714A0000}"/>
    <cellStyle name="Normal 2 4 7 4 4 2 3" xfId="28240" xr:uid="{00000000-0005-0000-0000-0000724A0000}"/>
    <cellStyle name="Normal 2 4 7 4 4 3" xfId="12736" xr:uid="{00000000-0005-0000-0000-0000734A0000}"/>
    <cellStyle name="Normal 2 4 7 4 4 3 2" xfId="32788" xr:uid="{00000000-0005-0000-0000-0000744A0000}"/>
    <cellStyle name="Normal 2 4 7 4 4 4" xfId="23758" xr:uid="{00000000-0005-0000-0000-0000754A0000}"/>
    <cellStyle name="Normal 2 4 7 4 5" xfId="5200" xr:uid="{00000000-0005-0000-0000-0000764A0000}"/>
    <cellStyle name="Normal 2 4 7 4 5 2" xfId="14230" xr:uid="{00000000-0005-0000-0000-0000774A0000}"/>
    <cellStyle name="Normal 2 4 7 4 5 2 2" xfId="34282" xr:uid="{00000000-0005-0000-0000-0000784A0000}"/>
    <cellStyle name="Normal 2 4 7 4 5 3" xfId="25252" xr:uid="{00000000-0005-0000-0000-0000794A0000}"/>
    <cellStyle name="Normal 2 4 7 4 6" xfId="9748" xr:uid="{00000000-0005-0000-0000-00007A4A0000}"/>
    <cellStyle name="Normal 2 4 7 4 6 2" xfId="29800" xr:uid="{00000000-0005-0000-0000-00007B4A0000}"/>
    <cellStyle name="Normal 2 4 7 4 7" xfId="20770" xr:uid="{00000000-0005-0000-0000-00007C4A0000}"/>
    <cellStyle name="Normal 2 4 7 5" xfId="905" xr:uid="{00000000-0005-0000-0000-00007D4A0000}"/>
    <cellStyle name="Normal 2 4 7 5 2" xfId="2399" xr:uid="{00000000-0005-0000-0000-00007E4A0000}"/>
    <cellStyle name="Normal 2 4 7 5 2 2" xfId="6881" xr:uid="{00000000-0005-0000-0000-00007F4A0000}"/>
    <cellStyle name="Normal 2 4 7 5 2 2 2" xfId="15911" xr:uid="{00000000-0005-0000-0000-0000804A0000}"/>
    <cellStyle name="Normal 2 4 7 5 2 2 2 2" xfId="35963" xr:uid="{00000000-0005-0000-0000-0000814A0000}"/>
    <cellStyle name="Normal 2 4 7 5 2 2 3" xfId="26933" xr:uid="{00000000-0005-0000-0000-0000824A0000}"/>
    <cellStyle name="Normal 2 4 7 5 2 3" xfId="11429" xr:uid="{00000000-0005-0000-0000-0000834A0000}"/>
    <cellStyle name="Normal 2 4 7 5 2 3 2" xfId="31481" xr:uid="{00000000-0005-0000-0000-0000844A0000}"/>
    <cellStyle name="Normal 2 4 7 5 2 4" xfId="22451" xr:uid="{00000000-0005-0000-0000-0000854A0000}"/>
    <cellStyle name="Normal 2 4 7 5 3" xfId="3893" xr:uid="{00000000-0005-0000-0000-0000864A0000}"/>
    <cellStyle name="Normal 2 4 7 5 3 2" xfId="8375" xr:uid="{00000000-0005-0000-0000-0000874A0000}"/>
    <cellStyle name="Normal 2 4 7 5 3 2 2" xfId="17405" xr:uid="{00000000-0005-0000-0000-0000884A0000}"/>
    <cellStyle name="Normal 2 4 7 5 3 2 2 2" xfId="37457" xr:uid="{00000000-0005-0000-0000-0000894A0000}"/>
    <cellStyle name="Normal 2 4 7 5 3 2 3" xfId="28427" xr:uid="{00000000-0005-0000-0000-00008A4A0000}"/>
    <cellStyle name="Normal 2 4 7 5 3 3" xfId="12923" xr:uid="{00000000-0005-0000-0000-00008B4A0000}"/>
    <cellStyle name="Normal 2 4 7 5 3 3 2" xfId="32975" xr:uid="{00000000-0005-0000-0000-00008C4A0000}"/>
    <cellStyle name="Normal 2 4 7 5 3 4" xfId="23945" xr:uid="{00000000-0005-0000-0000-00008D4A0000}"/>
    <cellStyle name="Normal 2 4 7 5 4" xfId="5387" xr:uid="{00000000-0005-0000-0000-00008E4A0000}"/>
    <cellStyle name="Normal 2 4 7 5 4 2" xfId="14417" xr:uid="{00000000-0005-0000-0000-00008F4A0000}"/>
    <cellStyle name="Normal 2 4 7 5 4 2 2" xfId="34469" xr:uid="{00000000-0005-0000-0000-0000904A0000}"/>
    <cellStyle name="Normal 2 4 7 5 4 3" xfId="25439" xr:uid="{00000000-0005-0000-0000-0000914A0000}"/>
    <cellStyle name="Normal 2 4 7 5 5" xfId="9935" xr:uid="{00000000-0005-0000-0000-0000924A0000}"/>
    <cellStyle name="Normal 2 4 7 5 5 2" xfId="29987" xr:uid="{00000000-0005-0000-0000-0000934A0000}"/>
    <cellStyle name="Normal 2 4 7 5 6" xfId="20957" xr:uid="{00000000-0005-0000-0000-0000944A0000}"/>
    <cellStyle name="Normal 2 4 7 6" xfId="1654" xr:uid="{00000000-0005-0000-0000-0000954A0000}"/>
    <cellStyle name="Normal 2 4 7 6 2" xfId="6136" xr:uid="{00000000-0005-0000-0000-0000964A0000}"/>
    <cellStyle name="Normal 2 4 7 6 2 2" xfId="15166" xr:uid="{00000000-0005-0000-0000-0000974A0000}"/>
    <cellStyle name="Normal 2 4 7 6 2 2 2" xfId="35218" xr:uid="{00000000-0005-0000-0000-0000984A0000}"/>
    <cellStyle name="Normal 2 4 7 6 2 3" xfId="26188" xr:uid="{00000000-0005-0000-0000-0000994A0000}"/>
    <cellStyle name="Normal 2 4 7 6 3" xfId="10684" xr:uid="{00000000-0005-0000-0000-00009A4A0000}"/>
    <cellStyle name="Normal 2 4 7 6 3 2" xfId="30736" xr:uid="{00000000-0005-0000-0000-00009B4A0000}"/>
    <cellStyle name="Normal 2 4 7 6 4" xfId="21706" xr:uid="{00000000-0005-0000-0000-00009C4A0000}"/>
    <cellStyle name="Normal 2 4 7 7" xfId="3148" xr:uid="{00000000-0005-0000-0000-00009D4A0000}"/>
    <cellStyle name="Normal 2 4 7 7 2" xfId="7630" xr:uid="{00000000-0005-0000-0000-00009E4A0000}"/>
    <cellStyle name="Normal 2 4 7 7 2 2" xfId="16660" xr:uid="{00000000-0005-0000-0000-00009F4A0000}"/>
    <cellStyle name="Normal 2 4 7 7 2 2 2" xfId="36712" xr:uid="{00000000-0005-0000-0000-0000A04A0000}"/>
    <cellStyle name="Normal 2 4 7 7 2 3" xfId="27682" xr:uid="{00000000-0005-0000-0000-0000A14A0000}"/>
    <cellStyle name="Normal 2 4 7 7 3" xfId="12178" xr:uid="{00000000-0005-0000-0000-0000A24A0000}"/>
    <cellStyle name="Normal 2 4 7 7 3 2" xfId="32230" xr:uid="{00000000-0005-0000-0000-0000A34A0000}"/>
    <cellStyle name="Normal 2 4 7 7 4" xfId="23200" xr:uid="{00000000-0005-0000-0000-0000A44A0000}"/>
    <cellStyle name="Normal 2 4 7 8" xfId="4642" xr:uid="{00000000-0005-0000-0000-0000A54A0000}"/>
    <cellStyle name="Normal 2 4 7 8 2" xfId="13672" xr:uid="{00000000-0005-0000-0000-0000A64A0000}"/>
    <cellStyle name="Normal 2 4 7 8 2 2" xfId="33724" xr:uid="{00000000-0005-0000-0000-0000A74A0000}"/>
    <cellStyle name="Normal 2 4 7 8 3" xfId="24694" xr:uid="{00000000-0005-0000-0000-0000A84A0000}"/>
    <cellStyle name="Normal 2 4 7 9" xfId="9190" xr:uid="{00000000-0005-0000-0000-0000A94A0000}"/>
    <cellStyle name="Normal 2 4 7 9 2" xfId="29242" xr:uid="{00000000-0005-0000-0000-0000AA4A0000}"/>
    <cellStyle name="Normal 2 4 8" xfId="183" xr:uid="{00000000-0005-0000-0000-0000AB4A0000}"/>
    <cellStyle name="Normal 2 4 8 10" xfId="20235" xr:uid="{00000000-0005-0000-0000-0000AC4A0000}"/>
    <cellStyle name="Normal 2 4 8 2" xfId="369" xr:uid="{00000000-0005-0000-0000-0000AD4A0000}"/>
    <cellStyle name="Normal 2 4 8 2 2" xfId="1112" xr:uid="{00000000-0005-0000-0000-0000AE4A0000}"/>
    <cellStyle name="Normal 2 4 8 2 2 2" xfId="2606" xr:uid="{00000000-0005-0000-0000-0000AF4A0000}"/>
    <cellStyle name="Normal 2 4 8 2 2 2 2" xfId="7088" xr:uid="{00000000-0005-0000-0000-0000B04A0000}"/>
    <cellStyle name="Normal 2 4 8 2 2 2 2 2" xfId="16118" xr:uid="{00000000-0005-0000-0000-0000B14A0000}"/>
    <cellStyle name="Normal 2 4 8 2 2 2 2 2 2" xfId="36170" xr:uid="{00000000-0005-0000-0000-0000B24A0000}"/>
    <cellStyle name="Normal 2 4 8 2 2 2 2 3" xfId="27140" xr:uid="{00000000-0005-0000-0000-0000B34A0000}"/>
    <cellStyle name="Normal 2 4 8 2 2 2 3" xfId="11636" xr:uid="{00000000-0005-0000-0000-0000B44A0000}"/>
    <cellStyle name="Normal 2 4 8 2 2 2 3 2" xfId="31688" xr:uid="{00000000-0005-0000-0000-0000B54A0000}"/>
    <cellStyle name="Normal 2 4 8 2 2 2 4" xfId="22658" xr:uid="{00000000-0005-0000-0000-0000B64A0000}"/>
    <cellStyle name="Normal 2 4 8 2 2 3" xfId="4100" xr:uid="{00000000-0005-0000-0000-0000B74A0000}"/>
    <cellStyle name="Normal 2 4 8 2 2 3 2" xfId="8582" xr:uid="{00000000-0005-0000-0000-0000B84A0000}"/>
    <cellStyle name="Normal 2 4 8 2 2 3 2 2" xfId="17612" xr:uid="{00000000-0005-0000-0000-0000B94A0000}"/>
    <cellStyle name="Normal 2 4 8 2 2 3 2 2 2" xfId="37664" xr:uid="{00000000-0005-0000-0000-0000BA4A0000}"/>
    <cellStyle name="Normal 2 4 8 2 2 3 2 3" xfId="28634" xr:uid="{00000000-0005-0000-0000-0000BB4A0000}"/>
    <cellStyle name="Normal 2 4 8 2 2 3 3" xfId="13130" xr:uid="{00000000-0005-0000-0000-0000BC4A0000}"/>
    <cellStyle name="Normal 2 4 8 2 2 3 3 2" xfId="33182" xr:uid="{00000000-0005-0000-0000-0000BD4A0000}"/>
    <cellStyle name="Normal 2 4 8 2 2 3 4" xfId="24152" xr:uid="{00000000-0005-0000-0000-0000BE4A0000}"/>
    <cellStyle name="Normal 2 4 8 2 2 4" xfId="5594" xr:uid="{00000000-0005-0000-0000-0000BF4A0000}"/>
    <cellStyle name="Normal 2 4 8 2 2 4 2" xfId="14624" xr:uid="{00000000-0005-0000-0000-0000C04A0000}"/>
    <cellStyle name="Normal 2 4 8 2 2 4 2 2" xfId="34676" xr:uid="{00000000-0005-0000-0000-0000C14A0000}"/>
    <cellStyle name="Normal 2 4 8 2 2 4 3" xfId="25646" xr:uid="{00000000-0005-0000-0000-0000C24A0000}"/>
    <cellStyle name="Normal 2 4 8 2 2 5" xfId="10142" xr:uid="{00000000-0005-0000-0000-0000C34A0000}"/>
    <cellStyle name="Normal 2 4 8 2 2 5 2" xfId="30194" xr:uid="{00000000-0005-0000-0000-0000C44A0000}"/>
    <cellStyle name="Normal 2 4 8 2 2 6" xfId="21164" xr:uid="{00000000-0005-0000-0000-0000C54A0000}"/>
    <cellStyle name="Normal 2 4 8 2 3" xfId="1863" xr:uid="{00000000-0005-0000-0000-0000C64A0000}"/>
    <cellStyle name="Normal 2 4 8 2 3 2" xfId="6345" xr:uid="{00000000-0005-0000-0000-0000C74A0000}"/>
    <cellStyle name="Normal 2 4 8 2 3 2 2" xfId="15375" xr:uid="{00000000-0005-0000-0000-0000C84A0000}"/>
    <cellStyle name="Normal 2 4 8 2 3 2 2 2" xfId="35427" xr:uid="{00000000-0005-0000-0000-0000C94A0000}"/>
    <cellStyle name="Normal 2 4 8 2 3 2 3" xfId="26397" xr:uid="{00000000-0005-0000-0000-0000CA4A0000}"/>
    <cellStyle name="Normal 2 4 8 2 3 3" xfId="10893" xr:uid="{00000000-0005-0000-0000-0000CB4A0000}"/>
    <cellStyle name="Normal 2 4 8 2 3 3 2" xfId="30945" xr:uid="{00000000-0005-0000-0000-0000CC4A0000}"/>
    <cellStyle name="Normal 2 4 8 2 3 4" xfId="21915" xr:uid="{00000000-0005-0000-0000-0000CD4A0000}"/>
    <cellStyle name="Normal 2 4 8 2 4" xfId="3357" xr:uid="{00000000-0005-0000-0000-0000CE4A0000}"/>
    <cellStyle name="Normal 2 4 8 2 4 2" xfId="7839" xr:uid="{00000000-0005-0000-0000-0000CF4A0000}"/>
    <cellStyle name="Normal 2 4 8 2 4 2 2" xfId="16869" xr:uid="{00000000-0005-0000-0000-0000D04A0000}"/>
    <cellStyle name="Normal 2 4 8 2 4 2 2 2" xfId="36921" xr:uid="{00000000-0005-0000-0000-0000D14A0000}"/>
    <cellStyle name="Normal 2 4 8 2 4 2 3" xfId="27891" xr:uid="{00000000-0005-0000-0000-0000D24A0000}"/>
    <cellStyle name="Normal 2 4 8 2 4 3" xfId="12387" xr:uid="{00000000-0005-0000-0000-0000D34A0000}"/>
    <cellStyle name="Normal 2 4 8 2 4 3 2" xfId="32439" xr:uid="{00000000-0005-0000-0000-0000D44A0000}"/>
    <cellStyle name="Normal 2 4 8 2 4 4" xfId="23409" xr:uid="{00000000-0005-0000-0000-0000D54A0000}"/>
    <cellStyle name="Normal 2 4 8 2 5" xfId="4851" xr:uid="{00000000-0005-0000-0000-0000D64A0000}"/>
    <cellStyle name="Normal 2 4 8 2 5 2" xfId="13881" xr:uid="{00000000-0005-0000-0000-0000D74A0000}"/>
    <cellStyle name="Normal 2 4 8 2 5 2 2" xfId="33933" xr:uid="{00000000-0005-0000-0000-0000D84A0000}"/>
    <cellStyle name="Normal 2 4 8 2 5 3" xfId="24903" xr:uid="{00000000-0005-0000-0000-0000D94A0000}"/>
    <cellStyle name="Normal 2 4 8 2 6" xfId="9399" xr:uid="{00000000-0005-0000-0000-0000DA4A0000}"/>
    <cellStyle name="Normal 2 4 8 2 6 2" xfId="29451" xr:uid="{00000000-0005-0000-0000-0000DB4A0000}"/>
    <cellStyle name="Normal 2 4 8 2 7" xfId="20421" xr:uid="{00000000-0005-0000-0000-0000DC4A0000}"/>
    <cellStyle name="Normal 2 4 8 3" xfId="555" xr:uid="{00000000-0005-0000-0000-0000DD4A0000}"/>
    <cellStyle name="Normal 2 4 8 3 2" xfId="1302" xr:uid="{00000000-0005-0000-0000-0000DE4A0000}"/>
    <cellStyle name="Normal 2 4 8 3 2 2" xfId="2796" xr:uid="{00000000-0005-0000-0000-0000DF4A0000}"/>
    <cellStyle name="Normal 2 4 8 3 2 2 2" xfId="7278" xr:uid="{00000000-0005-0000-0000-0000E04A0000}"/>
    <cellStyle name="Normal 2 4 8 3 2 2 2 2" xfId="16308" xr:uid="{00000000-0005-0000-0000-0000E14A0000}"/>
    <cellStyle name="Normal 2 4 8 3 2 2 2 2 2" xfId="36360" xr:uid="{00000000-0005-0000-0000-0000E24A0000}"/>
    <cellStyle name="Normal 2 4 8 3 2 2 2 3" xfId="27330" xr:uid="{00000000-0005-0000-0000-0000E34A0000}"/>
    <cellStyle name="Normal 2 4 8 3 2 2 3" xfId="11826" xr:uid="{00000000-0005-0000-0000-0000E44A0000}"/>
    <cellStyle name="Normal 2 4 8 3 2 2 3 2" xfId="31878" xr:uid="{00000000-0005-0000-0000-0000E54A0000}"/>
    <cellStyle name="Normal 2 4 8 3 2 2 4" xfId="22848" xr:uid="{00000000-0005-0000-0000-0000E64A0000}"/>
    <cellStyle name="Normal 2 4 8 3 2 3" xfId="4290" xr:uid="{00000000-0005-0000-0000-0000E74A0000}"/>
    <cellStyle name="Normal 2 4 8 3 2 3 2" xfId="8772" xr:uid="{00000000-0005-0000-0000-0000E84A0000}"/>
    <cellStyle name="Normal 2 4 8 3 2 3 2 2" xfId="17802" xr:uid="{00000000-0005-0000-0000-0000E94A0000}"/>
    <cellStyle name="Normal 2 4 8 3 2 3 2 2 2" xfId="37854" xr:uid="{00000000-0005-0000-0000-0000EA4A0000}"/>
    <cellStyle name="Normal 2 4 8 3 2 3 2 3" xfId="28824" xr:uid="{00000000-0005-0000-0000-0000EB4A0000}"/>
    <cellStyle name="Normal 2 4 8 3 2 3 3" xfId="13320" xr:uid="{00000000-0005-0000-0000-0000EC4A0000}"/>
    <cellStyle name="Normal 2 4 8 3 2 3 3 2" xfId="33372" xr:uid="{00000000-0005-0000-0000-0000ED4A0000}"/>
    <cellStyle name="Normal 2 4 8 3 2 3 4" xfId="24342" xr:uid="{00000000-0005-0000-0000-0000EE4A0000}"/>
    <cellStyle name="Normal 2 4 8 3 2 4" xfId="5784" xr:uid="{00000000-0005-0000-0000-0000EF4A0000}"/>
    <cellStyle name="Normal 2 4 8 3 2 4 2" xfId="14814" xr:uid="{00000000-0005-0000-0000-0000F04A0000}"/>
    <cellStyle name="Normal 2 4 8 3 2 4 2 2" xfId="34866" xr:uid="{00000000-0005-0000-0000-0000F14A0000}"/>
    <cellStyle name="Normal 2 4 8 3 2 4 3" xfId="25836" xr:uid="{00000000-0005-0000-0000-0000F24A0000}"/>
    <cellStyle name="Normal 2 4 8 3 2 5" xfId="10332" xr:uid="{00000000-0005-0000-0000-0000F34A0000}"/>
    <cellStyle name="Normal 2 4 8 3 2 5 2" xfId="30384" xr:uid="{00000000-0005-0000-0000-0000F44A0000}"/>
    <cellStyle name="Normal 2 4 8 3 2 6" xfId="21354" xr:uid="{00000000-0005-0000-0000-0000F54A0000}"/>
    <cellStyle name="Normal 2 4 8 3 3" xfId="2049" xr:uid="{00000000-0005-0000-0000-0000F64A0000}"/>
    <cellStyle name="Normal 2 4 8 3 3 2" xfId="6531" xr:uid="{00000000-0005-0000-0000-0000F74A0000}"/>
    <cellStyle name="Normal 2 4 8 3 3 2 2" xfId="15561" xr:uid="{00000000-0005-0000-0000-0000F84A0000}"/>
    <cellStyle name="Normal 2 4 8 3 3 2 2 2" xfId="35613" xr:uid="{00000000-0005-0000-0000-0000F94A0000}"/>
    <cellStyle name="Normal 2 4 8 3 3 2 3" xfId="26583" xr:uid="{00000000-0005-0000-0000-0000FA4A0000}"/>
    <cellStyle name="Normal 2 4 8 3 3 3" xfId="11079" xr:uid="{00000000-0005-0000-0000-0000FB4A0000}"/>
    <cellStyle name="Normal 2 4 8 3 3 3 2" xfId="31131" xr:uid="{00000000-0005-0000-0000-0000FC4A0000}"/>
    <cellStyle name="Normal 2 4 8 3 3 4" xfId="22101" xr:uid="{00000000-0005-0000-0000-0000FD4A0000}"/>
    <cellStyle name="Normal 2 4 8 3 4" xfId="3543" xr:uid="{00000000-0005-0000-0000-0000FE4A0000}"/>
    <cellStyle name="Normal 2 4 8 3 4 2" xfId="8025" xr:uid="{00000000-0005-0000-0000-0000FF4A0000}"/>
    <cellStyle name="Normal 2 4 8 3 4 2 2" xfId="17055" xr:uid="{00000000-0005-0000-0000-0000004B0000}"/>
    <cellStyle name="Normal 2 4 8 3 4 2 2 2" xfId="37107" xr:uid="{00000000-0005-0000-0000-0000014B0000}"/>
    <cellStyle name="Normal 2 4 8 3 4 2 3" xfId="28077" xr:uid="{00000000-0005-0000-0000-0000024B0000}"/>
    <cellStyle name="Normal 2 4 8 3 4 3" xfId="12573" xr:uid="{00000000-0005-0000-0000-0000034B0000}"/>
    <cellStyle name="Normal 2 4 8 3 4 3 2" xfId="32625" xr:uid="{00000000-0005-0000-0000-0000044B0000}"/>
    <cellStyle name="Normal 2 4 8 3 4 4" xfId="23595" xr:uid="{00000000-0005-0000-0000-0000054B0000}"/>
    <cellStyle name="Normal 2 4 8 3 5" xfId="5037" xr:uid="{00000000-0005-0000-0000-0000064B0000}"/>
    <cellStyle name="Normal 2 4 8 3 5 2" xfId="14067" xr:uid="{00000000-0005-0000-0000-0000074B0000}"/>
    <cellStyle name="Normal 2 4 8 3 5 2 2" xfId="34119" xr:uid="{00000000-0005-0000-0000-0000084B0000}"/>
    <cellStyle name="Normal 2 4 8 3 5 3" xfId="25089" xr:uid="{00000000-0005-0000-0000-0000094B0000}"/>
    <cellStyle name="Normal 2 4 8 3 6" xfId="9585" xr:uid="{00000000-0005-0000-0000-00000A4B0000}"/>
    <cellStyle name="Normal 2 4 8 3 6 2" xfId="29637" xr:uid="{00000000-0005-0000-0000-00000B4B0000}"/>
    <cellStyle name="Normal 2 4 8 3 7" xfId="20607" xr:uid="{00000000-0005-0000-0000-00000C4B0000}"/>
    <cellStyle name="Normal 2 4 8 4" xfId="741" xr:uid="{00000000-0005-0000-0000-00000D4B0000}"/>
    <cellStyle name="Normal 2 4 8 4 2" xfId="1488" xr:uid="{00000000-0005-0000-0000-00000E4B0000}"/>
    <cellStyle name="Normal 2 4 8 4 2 2" xfId="2982" xr:uid="{00000000-0005-0000-0000-00000F4B0000}"/>
    <cellStyle name="Normal 2 4 8 4 2 2 2" xfId="7464" xr:uid="{00000000-0005-0000-0000-0000104B0000}"/>
    <cellStyle name="Normal 2 4 8 4 2 2 2 2" xfId="16494" xr:uid="{00000000-0005-0000-0000-0000114B0000}"/>
    <cellStyle name="Normal 2 4 8 4 2 2 2 2 2" xfId="36546" xr:uid="{00000000-0005-0000-0000-0000124B0000}"/>
    <cellStyle name="Normal 2 4 8 4 2 2 2 3" xfId="27516" xr:uid="{00000000-0005-0000-0000-0000134B0000}"/>
    <cellStyle name="Normal 2 4 8 4 2 2 3" xfId="12012" xr:uid="{00000000-0005-0000-0000-0000144B0000}"/>
    <cellStyle name="Normal 2 4 8 4 2 2 3 2" xfId="32064" xr:uid="{00000000-0005-0000-0000-0000154B0000}"/>
    <cellStyle name="Normal 2 4 8 4 2 2 4" xfId="23034" xr:uid="{00000000-0005-0000-0000-0000164B0000}"/>
    <cellStyle name="Normal 2 4 8 4 2 3" xfId="4476" xr:uid="{00000000-0005-0000-0000-0000174B0000}"/>
    <cellStyle name="Normal 2 4 8 4 2 3 2" xfId="8958" xr:uid="{00000000-0005-0000-0000-0000184B0000}"/>
    <cellStyle name="Normal 2 4 8 4 2 3 2 2" xfId="17988" xr:uid="{00000000-0005-0000-0000-0000194B0000}"/>
    <cellStyle name="Normal 2 4 8 4 2 3 2 2 2" xfId="38040" xr:uid="{00000000-0005-0000-0000-00001A4B0000}"/>
    <cellStyle name="Normal 2 4 8 4 2 3 2 3" xfId="29010" xr:uid="{00000000-0005-0000-0000-00001B4B0000}"/>
    <cellStyle name="Normal 2 4 8 4 2 3 3" xfId="13506" xr:uid="{00000000-0005-0000-0000-00001C4B0000}"/>
    <cellStyle name="Normal 2 4 8 4 2 3 3 2" xfId="33558" xr:uid="{00000000-0005-0000-0000-00001D4B0000}"/>
    <cellStyle name="Normal 2 4 8 4 2 3 4" xfId="24528" xr:uid="{00000000-0005-0000-0000-00001E4B0000}"/>
    <cellStyle name="Normal 2 4 8 4 2 4" xfId="5970" xr:uid="{00000000-0005-0000-0000-00001F4B0000}"/>
    <cellStyle name="Normal 2 4 8 4 2 4 2" xfId="15000" xr:uid="{00000000-0005-0000-0000-0000204B0000}"/>
    <cellStyle name="Normal 2 4 8 4 2 4 2 2" xfId="35052" xr:uid="{00000000-0005-0000-0000-0000214B0000}"/>
    <cellStyle name="Normal 2 4 8 4 2 4 3" xfId="26022" xr:uid="{00000000-0005-0000-0000-0000224B0000}"/>
    <cellStyle name="Normal 2 4 8 4 2 5" xfId="10518" xr:uid="{00000000-0005-0000-0000-0000234B0000}"/>
    <cellStyle name="Normal 2 4 8 4 2 5 2" xfId="30570" xr:uid="{00000000-0005-0000-0000-0000244B0000}"/>
    <cellStyle name="Normal 2 4 8 4 2 6" xfId="21540" xr:uid="{00000000-0005-0000-0000-0000254B0000}"/>
    <cellStyle name="Normal 2 4 8 4 3" xfId="2235" xr:uid="{00000000-0005-0000-0000-0000264B0000}"/>
    <cellStyle name="Normal 2 4 8 4 3 2" xfId="6717" xr:uid="{00000000-0005-0000-0000-0000274B0000}"/>
    <cellStyle name="Normal 2 4 8 4 3 2 2" xfId="15747" xr:uid="{00000000-0005-0000-0000-0000284B0000}"/>
    <cellStyle name="Normal 2 4 8 4 3 2 2 2" xfId="35799" xr:uid="{00000000-0005-0000-0000-0000294B0000}"/>
    <cellStyle name="Normal 2 4 8 4 3 2 3" xfId="26769" xr:uid="{00000000-0005-0000-0000-00002A4B0000}"/>
    <cellStyle name="Normal 2 4 8 4 3 3" xfId="11265" xr:uid="{00000000-0005-0000-0000-00002B4B0000}"/>
    <cellStyle name="Normal 2 4 8 4 3 3 2" xfId="31317" xr:uid="{00000000-0005-0000-0000-00002C4B0000}"/>
    <cellStyle name="Normal 2 4 8 4 3 4" xfId="22287" xr:uid="{00000000-0005-0000-0000-00002D4B0000}"/>
    <cellStyle name="Normal 2 4 8 4 4" xfId="3729" xr:uid="{00000000-0005-0000-0000-00002E4B0000}"/>
    <cellStyle name="Normal 2 4 8 4 4 2" xfId="8211" xr:uid="{00000000-0005-0000-0000-00002F4B0000}"/>
    <cellStyle name="Normal 2 4 8 4 4 2 2" xfId="17241" xr:uid="{00000000-0005-0000-0000-0000304B0000}"/>
    <cellStyle name="Normal 2 4 8 4 4 2 2 2" xfId="37293" xr:uid="{00000000-0005-0000-0000-0000314B0000}"/>
    <cellStyle name="Normal 2 4 8 4 4 2 3" xfId="28263" xr:uid="{00000000-0005-0000-0000-0000324B0000}"/>
    <cellStyle name="Normal 2 4 8 4 4 3" xfId="12759" xr:uid="{00000000-0005-0000-0000-0000334B0000}"/>
    <cellStyle name="Normal 2 4 8 4 4 3 2" xfId="32811" xr:uid="{00000000-0005-0000-0000-0000344B0000}"/>
    <cellStyle name="Normal 2 4 8 4 4 4" xfId="23781" xr:uid="{00000000-0005-0000-0000-0000354B0000}"/>
    <cellStyle name="Normal 2 4 8 4 5" xfId="5223" xr:uid="{00000000-0005-0000-0000-0000364B0000}"/>
    <cellStyle name="Normal 2 4 8 4 5 2" xfId="14253" xr:uid="{00000000-0005-0000-0000-0000374B0000}"/>
    <cellStyle name="Normal 2 4 8 4 5 2 2" xfId="34305" xr:uid="{00000000-0005-0000-0000-0000384B0000}"/>
    <cellStyle name="Normal 2 4 8 4 5 3" xfId="25275" xr:uid="{00000000-0005-0000-0000-0000394B0000}"/>
    <cellStyle name="Normal 2 4 8 4 6" xfId="9771" xr:uid="{00000000-0005-0000-0000-00003A4B0000}"/>
    <cellStyle name="Normal 2 4 8 4 6 2" xfId="29823" xr:uid="{00000000-0005-0000-0000-00003B4B0000}"/>
    <cellStyle name="Normal 2 4 8 4 7" xfId="20793" xr:uid="{00000000-0005-0000-0000-00003C4B0000}"/>
    <cellStyle name="Normal 2 4 8 5" xfId="928" xr:uid="{00000000-0005-0000-0000-00003D4B0000}"/>
    <cellStyle name="Normal 2 4 8 5 2" xfId="2422" xr:uid="{00000000-0005-0000-0000-00003E4B0000}"/>
    <cellStyle name="Normal 2 4 8 5 2 2" xfId="6904" xr:uid="{00000000-0005-0000-0000-00003F4B0000}"/>
    <cellStyle name="Normal 2 4 8 5 2 2 2" xfId="15934" xr:uid="{00000000-0005-0000-0000-0000404B0000}"/>
    <cellStyle name="Normal 2 4 8 5 2 2 2 2" xfId="35986" xr:uid="{00000000-0005-0000-0000-0000414B0000}"/>
    <cellStyle name="Normal 2 4 8 5 2 2 3" xfId="26956" xr:uid="{00000000-0005-0000-0000-0000424B0000}"/>
    <cellStyle name="Normal 2 4 8 5 2 3" xfId="11452" xr:uid="{00000000-0005-0000-0000-0000434B0000}"/>
    <cellStyle name="Normal 2 4 8 5 2 3 2" xfId="31504" xr:uid="{00000000-0005-0000-0000-0000444B0000}"/>
    <cellStyle name="Normal 2 4 8 5 2 4" xfId="22474" xr:uid="{00000000-0005-0000-0000-0000454B0000}"/>
    <cellStyle name="Normal 2 4 8 5 3" xfId="3916" xr:uid="{00000000-0005-0000-0000-0000464B0000}"/>
    <cellStyle name="Normal 2 4 8 5 3 2" xfId="8398" xr:uid="{00000000-0005-0000-0000-0000474B0000}"/>
    <cellStyle name="Normal 2 4 8 5 3 2 2" xfId="17428" xr:uid="{00000000-0005-0000-0000-0000484B0000}"/>
    <cellStyle name="Normal 2 4 8 5 3 2 2 2" xfId="37480" xr:uid="{00000000-0005-0000-0000-0000494B0000}"/>
    <cellStyle name="Normal 2 4 8 5 3 2 3" xfId="28450" xr:uid="{00000000-0005-0000-0000-00004A4B0000}"/>
    <cellStyle name="Normal 2 4 8 5 3 3" xfId="12946" xr:uid="{00000000-0005-0000-0000-00004B4B0000}"/>
    <cellStyle name="Normal 2 4 8 5 3 3 2" xfId="32998" xr:uid="{00000000-0005-0000-0000-00004C4B0000}"/>
    <cellStyle name="Normal 2 4 8 5 3 4" xfId="23968" xr:uid="{00000000-0005-0000-0000-00004D4B0000}"/>
    <cellStyle name="Normal 2 4 8 5 4" xfId="5410" xr:uid="{00000000-0005-0000-0000-00004E4B0000}"/>
    <cellStyle name="Normal 2 4 8 5 4 2" xfId="14440" xr:uid="{00000000-0005-0000-0000-00004F4B0000}"/>
    <cellStyle name="Normal 2 4 8 5 4 2 2" xfId="34492" xr:uid="{00000000-0005-0000-0000-0000504B0000}"/>
    <cellStyle name="Normal 2 4 8 5 4 3" xfId="25462" xr:uid="{00000000-0005-0000-0000-0000514B0000}"/>
    <cellStyle name="Normal 2 4 8 5 5" xfId="9958" xr:uid="{00000000-0005-0000-0000-0000524B0000}"/>
    <cellStyle name="Normal 2 4 8 5 5 2" xfId="30010" xr:uid="{00000000-0005-0000-0000-0000534B0000}"/>
    <cellStyle name="Normal 2 4 8 5 6" xfId="20980" xr:uid="{00000000-0005-0000-0000-0000544B0000}"/>
    <cellStyle name="Normal 2 4 8 6" xfId="1677" xr:uid="{00000000-0005-0000-0000-0000554B0000}"/>
    <cellStyle name="Normal 2 4 8 6 2" xfId="6159" xr:uid="{00000000-0005-0000-0000-0000564B0000}"/>
    <cellStyle name="Normal 2 4 8 6 2 2" xfId="15189" xr:uid="{00000000-0005-0000-0000-0000574B0000}"/>
    <cellStyle name="Normal 2 4 8 6 2 2 2" xfId="35241" xr:uid="{00000000-0005-0000-0000-0000584B0000}"/>
    <cellStyle name="Normal 2 4 8 6 2 3" xfId="26211" xr:uid="{00000000-0005-0000-0000-0000594B0000}"/>
    <cellStyle name="Normal 2 4 8 6 3" xfId="10707" xr:uid="{00000000-0005-0000-0000-00005A4B0000}"/>
    <cellStyle name="Normal 2 4 8 6 3 2" xfId="30759" xr:uid="{00000000-0005-0000-0000-00005B4B0000}"/>
    <cellStyle name="Normal 2 4 8 6 4" xfId="21729" xr:uid="{00000000-0005-0000-0000-00005C4B0000}"/>
    <cellStyle name="Normal 2 4 8 7" xfId="3171" xr:uid="{00000000-0005-0000-0000-00005D4B0000}"/>
    <cellStyle name="Normal 2 4 8 7 2" xfId="7653" xr:uid="{00000000-0005-0000-0000-00005E4B0000}"/>
    <cellStyle name="Normal 2 4 8 7 2 2" xfId="16683" xr:uid="{00000000-0005-0000-0000-00005F4B0000}"/>
    <cellStyle name="Normal 2 4 8 7 2 2 2" xfId="36735" xr:uid="{00000000-0005-0000-0000-0000604B0000}"/>
    <cellStyle name="Normal 2 4 8 7 2 3" xfId="27705" xr:uid="{00000000-0005-0000-0000-0000614B0000}"/>
    <cellStyle name="Normal 2 4 8 7 3" xfId="12201" xr:uid="{00000000-0005-0000-0000-0000624B0000}"/>
    <cellStyle name="Normal 2 4 8 7 3 2" xfId="32253" xr:uid="{00000000-0005-0000-0000-0000634B0000}"/>
    <cellStyle name="Normal 2 4 8 7 4" xfId="23223" xr:uid="{00000000-0005-0000-0000-0000644B0000}"/>
    <cellStyle name="Normal 2 4 8 8" xfId="4665" xr:uid="{00000000-0005-0000-0000-0000654B0000}"/>
    <cellStyle name="Normal 2 4 8 8 2" xfId="13695" xr:uid="{00000000-0005-0000-0000-0000664B0000}"/>
    <cellStyle name="Normal 2 4 8 8 2 2" xfId="33747" xr:uid="{00000000-0005-0000-0000-0000674B0000}"/>
    <cellStyle name="Normal 2 4 8 8 3" xfId="24717" xr:uid="{00000000-0005-0000-0000-0000684B0000}"/>
    <cellStyle name="Normal 2 4 8 9" xfId="9213" xr:uid="{00000000-0005-0000-0000-0000694B0000}"/>
    <cellStyle name="Normal 2 4 8 9 2" xfId="29265" xr:uid="{00000000-0005-0000-0000-00006A4B0000}"/>
    <cellStyle name="Normal 2 4 9" xfId="206" xr:uid="{00000000-0005-0000-0000-00006B4B0000}"/>
    <cellStyle name="Normal 2 4 9 2" xfId="951" xr:uid="{00000000-0005-0000-0000-00006C4B0000}"/>
    <cellStyle name="Normal 2 4 9 2 2" xfId="2445" xr:uid="{00000000-0005-0000-0000-00006D4B0000}"/>
    <cellStyle name="Normal 2 4 9 2 2 2" xfId="6927" xr:uid="{00000000-0005-0000-0000-00006E4B0000}"/>
    <cellStyle name="Normal 2 4 9 2 2 2 2" xfId="15957" xr:uid="{00000000-0005-0000-0000-00006F4B0000}"/>
    <cellStyle name="Normal 2 4 9 2 2 2 2 2" xfId="36009" xr:uid="{00000000-0005-0000-0000-0000704B0000}"/>
    <cellStyle name="Normal 2 4 9 2 2 2 3" xfId="26979" xr:uid="{00000000-0005-0000-0000-0000714B0000}"/>
    <cellStyle name="Normal 2 4 9 2 2 3" xfId="11475" xr:uid="{00000000-0005-0000-0000-0000724B0000}"/>
    <cellStyle name="Normal 2 4 9 2 2 3 2" xfId="31527" xr:uid="{00000000-0005-0000-0000-0000734B0000}"/>
    <cellStyle name="Normal 2 4 9 2 2 4" xfId="22497" xr:uid="{00000000-0005-0000-0000-0000744B0000}"/>
    <cellStyle name="Normal 2 4 9 2 3" xfId="3939" xr:uid="{00000000-0005-0000-0000-0000754B0000}"/>
    <cellStyle name="Normal 2 4 9 2 3 2" xfId="8421" xr:uid="{00000000-0005-0000-0000-0000764B0000}"/>
    <cellStyle name="Normal 2 4 9 2 3 2 2" xfId="17451" xr:uid="{00000000-0005-0000-0000-0000774B0000}"/>
    <cellStyle name="Normal 2 4 9 2 3 2 2 2" xfId="37503" xr:uid="{00000000-0005-0000-0000-0000784B0000}"/>
    <cellStyle name="Normal 2 4 9 2 3 2 3" xfId="28473" xr:uid="{00000000-0005-0000-0000-0000794B0000}"/>
    <cellStyle name="Normal 2 4 9 2 3 3" xfId="12969" xr:uid="{00000000-0005-0000-0000-00007A4B0000}"/>
    <cellStyle name="Normal 2 4 9 2 3 3 2" xfId="33021" xr:uid="{00000000-0005-0000-0000-00007B4B0000}"/>
    <cellStyle name="Normal 2 4 9 2 3 4" xfId="23991" xr:uid="{00000000-0005-0000-0000-00007C4B0000}"/>
    <cellStyle name="Normal 2 4 9 2 4" xfId="5433" xr:uid="{00000000-0005-0000-0000-00007D4B0000}"/>
    <cellStyle name="Normal 2 4 9 2 4 2" xfId="14463" xr:uid="{00000000-0005-0000-0000-00007E4B0000}"/>
    <cellStyle name="Normal 2 4 9 2 4 2 2" xfId="34515" xr:uid="{00000000-0005-0000-0000-00007F4B0000}"/>
    <cellStyle name="Normal 2 4 9 2 4 3" xfId="25485" xr:uid="{00000000-0005-0000-0000-0000804B0000}"/>
    <cellStyle name="Normal 2 4 9 2 5" xfId="9981" xr:uid="{00000000-0005-0000-0000-0000814B0000}"/>
    <cellStyle name="Normal 2 4 9 2 5 2" xfId="30033" xr:uid="{00000000-0005-0000-0000-0000824B0000}"/>
    <cellStyle name="Normal 2 4 9 2 6" xfId="21003" xr:uid="{00000000-0005-0000-0000-0000834B0000}"/>
    <cellStyle name="Normal 2 4 9 3" xfId="1700" xr:uid="{00000000-0005-0000-0000-0000844B0000}"/>
    <cellStyle name="Normal 2 4 9 3 2" xfId="6182" xr:uid="{00000000-0005-0000-0000-0000854B0000}"/>
    <cellStyle name="Normal 2 4 9 3 2 2" xfId="15212" xr:uid="{00000000-0005-0000-0000-0000864B0000}"/>
    <cellStyle name="Normal 2 4 9 3 2 2 2" xfId="35264" xr:uid="{00000000-0005-0000-0000-0000874B0000}"/>
    <cellStyle name="Normal 2 4 9 3 2 3" xfId="26234" xr:uid="{00000000-0005-0000-0000-0000884B0000}"/>
    <cellStyle name="Normal 2 4 9 3 3" xfId="10730" xr:uid="{00000000-0005-0000-0000-0000894B0000}"/>
    <cellStyle name="Normal 2 4 9 3 3 2" xfId="30782" xr:uid="{00000000-0005-0000-0000-00008A4B0000}"/>
    <cellStyle name="Normal 2 4 9 3 4" xfId="21752" xr:uid="{00000000-0005-0000-0000-00008B4B0000}"/>
    <cellStyle name="Normal 2 4 9 4" xfId="3194" xr:uid="{00000000-0005-0000-0000-00008C4B0000}"/>
    <cellStyle name="Normal 2 4 9 4 2" xfId="7676" xr:uid="{00000000-0005-0000-0000-00008D4B0000}"/>
    <cellStyle name="Normal 2 4 9 4 2 2" xfId="16706" xr:uid="{00000000-0005-0000-0000-00008E4B0000}"/>
    <cellStyle name="Normal 2 4 9 4 2 2 2" xfId="36758" xr:uid="{00000000-0005-0000-0000-00008F4B0000}"/>
    <cellStyle name="Normal 2 4 9 4 2 3" xfId="27728" xr:uid="{00000000-0005-0000-0000-0000904B0000}"/>
    <cellStyle name="Normal 2 4 9 4 3" xfId="12224" xr:uid="{00000000-0005-0000-0000-0000914B0000}"/>
    <cellStyle name="Normal 2 4 9 4 3 2" xfId="32276" xr:uid="{00000000-0005-0000-0000-0000924B0000}"/>
    <cellStyle name="Normal 2 4 9 4 4" xfId="23246" xr:uid="{00000000-0005-0000-0000-0000934B0000}"/>
    <cellStyle name="Normal 2 4 9 5" xfId="4688" xr:uid="{00000000-0005-0000-0000-0000944B0000}"/>
    <cellStyle name="Normal 2 4 9 5 2" xfId="13718" xr:uid="{00000000-0005-0000-0000-0000954B0000}"/>
    <cellStyle name="Normal 2 4 9 5 2 2" xfId="33770" xr:uid="{00000000-0005-0000-0000-0000964B0000}"/>
    <cellStyle name="Normal 2 4 9 5 3" xfId="24740" xr:uid="{00000000-0005-0000-0000-0000974B0000}"/>
    <cellStyle name="Normal 2 4 9 6" xfId="9236" xr:uid="{00000000-0005-0000-0000-0000984B0000}"/>
    <cellStyle name="Normal 2 4 9 6 2" xfId="29288" xr:uid="{00000000-0005-0000-0000-0000994B0000}"/>
    <cellStyle name="Normal 2 4 9 7" xfId="20258" xr:uid="{00000000-0005-0000-0000-00009A4B0000}"/>
    <cellStyle name="Normal 2 5" xfId="28" xr:uid="{00000000-0005-0000-0000-00009B4B0000}"/>
    <cellStyle name="Normal 2 5 10" xfId="400" xr:uid="{00000000-0005-0000-0000-00009C4B0000}"/>
    <cellStyle name="Normal 2 5 10 2" xfId="1147" xr:uid="{00000000-0005-0000-0000-00009D4B0000}"/>
    <cellStyle name="Normal 2 5 10 2 2" xfId="2641" xr:uid="{00000000-0005-0000-0000-00009E4B0000}"/>
    <cellStyle name="Normal 2 5 10 2 2 2" xfId="7123" xr:uid="{00000000-0005-0000-0000-00009F4B0000}"/>
    <cellStyle name="Normal 2 5 10 2 2 2 2" xfId="16153" xr:uid="{00000000-0005-0000-0000-0000A04B0000}"/>
    <cellStyle name="Normal 2 5 10 2 2 2 2 2" xfId="36205" xr:uid="{00000000-0005-0000-0000-0000A14B0000}"/>
    <cellStyle name="Normal 2 5 10 2 2 2 3" xfId="27175" xr:uid="{00000000-0005-0000-0000-0000A24B0000}"/>
    <cellStyle name="Normal 2 5 10 2 2 3" xfId="11671" xr:uid="{00000000-0005-0000-0000-0000A34B0000}"/>
    <cellStyle name="Normal 2 5 10 2 2 3 2" xfId="31723" xr:uid="{00000000-0005-0000-0000-0000A44B0000}"/>
    <cellStyle name="Normal 2 5 10 2 2 4" xfId="22693" xr:uid="{00000000-0005-0000-0000-0000A54B0000}"/>
    <cellStyle name="Normal 2 5 10 2 3" xfId="4135" xr:uid="{00000000-0005-0000-0000-0000A64B0000}"/>
    <cellStyle name="Normal 2 5 10 2 3 2" xfId="8617" xr:uid="{00000000-0005-0000-0000-0000A74B0000}"/>
    <cellStyle name="Normal 2 5 10 2 3 2 2" xfId="17647" xr:uid="{00000000-0005-0000-0000-0000A84B0000}"/>
    <cellStyle name="Normal 2 5 10 2 3 2 2 2" xfId="37699" xr:uid="{00000000-0005-0000-0000-0000A94B0000}"/>
    <cellStyle name="Normal 2 5 10 2 3 2 3" xfId="28669" xr:uid="{00000000-0005-0000-0000-0000AA4B0000}"/>
    <cellStyle name="Normal 2 5 10 2 3 3" xfId="13165" xr:uid="{00000000-0005-0000-0000-0000AB4B0000}"/>
    <cellStyle name="Normal 2 5 10 2 3 3 2" xfId="33217" xr:uid="{00000000-0005-0000-0000-0000AC4B0000}"/>
    <cellStyle name="Normal 2 5 10 2 3 4" xfId="24187" xr:uid="{00000000-0005-0000-0000-0000AD4B0000}"/>
    <cellStyle name="Normal 2 5 10 2 4" xfId="5629" xr:uid="{00000000-0005-0000-0000-0000AE4B0000}"/>
    <cellStyle name="Normal 2 5 10 2 4 2" xfId="14659" xr:uid="{00000000-0005-0000-0000-0000AF4B0000}"/>
    <cellStyle name="Normal 2 5 10 2 4 2 2" xfId="34711" xr:uid="{00000000-0005-0000-0000-0000B04B0000}"/>
    <cellStyle name="Normal 2 5 10 2 4 3" xfId="25681" xr:uid="{00000000-0005-0000-0000-0000B14B0000}"/>
    <cellStyle name="Normal 2 5 10 2 5" xfId="10177" xr:uid="{00000000-0005-0000-0000-0000B24B0000}"/>
    <cellStyle name="Normal 2 5 10 2 5 2" xfId="30229" xr:uid="{00000000-0005-0000-0000-0000B34B0000}"/>
    <cellStyle name="Normal 2 5 10 2 6" xfId="21199" xr:uid="{00000000-0005-0000-0000-0000B44B0000}"/>
    <cellStyle name="Normal 2 5 10 3" xfId="1894" xr:uid="{00000000-0005-0000-0000-0000B54B0000}"/>
    <cellStyle name="Normal 2 5 10 3 2" xfId="6376" xr:uid="{00000000-0005-0000-0000-0000B64B0000}"/>
    <cellStyle name="Normal 2 5 10 3 2 2" xfId="15406" xr:uid="{00000000-0005-0000-0000-0000B74B0000}"/>
    <cellStyle name="Normal 2 5 10 3 2 2 2" xfId="35458" xr:uid="{00000000-0005-0000-0000-0000B84B0000}"/>
    <cellStyle name="Normal 2 5 10 3 2 3" xfId="26428" xr:uid="{00000000-0005-0000-0000-0000B94B0000}"/>
    <cellStyle name="Normal 2 5 10 3 3" xfId="10924" xr:uid="{00000000-0005-0000-0000-0000BA4B0000}"/>
    <cellStyle name="Normal 2 5 10 3 3 2" xfId="30976" xr:uid="{00000000-0005-0000-0000-0000BB4B0000}"/>
    <cellStyle name="Normal 2 5 10 3 4" xfId="21946" xr:uid="{00000000-0005-0000-0000-0000BC4B0000}"/>
    <cellStyle name="Normal 2 5 10 4" xfId="3388" xr:uid="{00000000-0005-0000-0000-0000BD4B0000}"/>
    <cellStyle name="Normal 2 5 10 4 2" xfId="7870" xr:uid="{00000000-0005-0000-0000-0000BE4B0000}"/>
    <cellStyle name="Normal 2 5 10 4 2 2" xfId="16900" xr:uid="{00000000-0005-0000-0000-0000BF4B0000}"/>
    <cellStyle name="Normal 2 5 10 4 2 2 2" xfId="36952" xr:uid="{00000000-0005-0000-0000-0000C04B0000}"/>
    <cellStyle name="Normal 2 5 10 4 2 3" xfId="27922" xr:uid="{00000000-0005-0000-0000-0000C14B0000}"/>
    <cellStyle name="Normal 2 5 10 4 3" xfId="12418" xr:uid="{00000000-0005-0000-0000-0000C24B0000}"/>
    <cellStyle name="Normal 2 5 10 4 3 2" xfId="32470" xr:uid="{00000000-0005-0000-0000-0000C34B0000}"/>
    <cellStyle name="Normal 2 5 10 4 4" xfId="23440" xr:uid="{00000000-0005-0000-0000-0000C44B0000}"/>
    <cellStyle name="Normal 2 5 10 5" xfId="4882" xr:uid="{00000000-0005-0000-0000-0000C54B0000}"/>
    <cellStyle name="Normal 2 5 10 5 2" xfId="13912" xr:uid="{00000000-0005-0000-0000-0000C64B0000}"/>
    <cellStyle name="Normal 2 5 10 5 2 2" xfId="33964" xr:uid="{00000000-0005-0000-0000-0000C74B0000}"/>
    <cellStyle name="Normal 2 5 10 5 3" xfId="24934" xr:uid="{00000000-0005-0000-0000-0000C84B0000}"/>
    <cellStyle name="Normal 2 5 10 6" xfId="9430" xr:uid="{00000000-0005-0000-0000-0000C94B0000}"/>
    <cellStyle name="Normal 2 5 10 6 2" xfId="29482" xr:uid="{00000000-0005-0000-0000-0000CA4B0000}"/>
    <cellStyle name="Normal 2 5 10 7" xfId="20452" xr:uid="{00000000-0005-0000-0000-0000CB4B0000}"/>
    <cellStyle name="Normal 2 5 11" xfId="586" xr:uid="{00000000-0005-0000-0000-0000CC4B0000}"/>
    <cellStyle name="Normal 2 5 11 2" xfId="1333" xr:uid="{00000000-0005-0000-0000-0000CD4B0000}"/>
    <cellStyle name="Normal 2 5 11 2 2" xfId="2827" xr:uid="{00000000-0005-0000-0000-0000CE4B0000}"/>
    <cellStyle name="Normal 2 5 11 2 2 2" xfId="7309" xr:uid="{00000000-0005-0000-0000-0000CF4B0000}"/>
    <cellStyle name="Normal 2 5 11 2 2 2 2" xfId="16339" xr:uid="{00000000-0005-0000-0000-0000D04B0000}"/>
    <cellStyle name="Normal 2 5 11 2 2 2 2 2" xfId="36391" xr:uid="{00000000-0005-0000-0000-0000D14B0000}"/>
    <cellStyle name="Normal 2 5 11 2 2 2 3" xfId="27361" xr:uid="{00000000-0005-0000-0000-0000D24B0000}"/>
    <cellStyle name="Normal 2 5 11 2 2 3" xfId="11857" xr:uid="{00000000-0005-0000-0000-0000D34B0000}"/>
    <cellStyle name="Normal 2 5 11 2 2 3 2" xfId="31909" xr:uid="{00000000-0005-0000-0000-0000D44B0000}"/>
    <cellStyle name="Normal 2 5 11 2 2 4" xfId="22879" xr:uid="{00000000-0005-0000-0000-0000D54B0000}"/>
    <cellStyle name="Normal 2 5 11 2 3" xfId="4321" xr:uid="{00000000-0005-0000-0000-0000D64B0000}"/>
    <cellStyle name="Normal 2 5 11 2 3 2" xfId="8803" xr:uid="{00000000-0005-0000-0000-0000D74B0000}"/>
    <cellStyle name="Normal 2 5 11 2 3 2 2" xfId="17833" xr:uid="{00000000-0005-0000-0000-0000D84B0000}"/>
    <cellStyle name="Normal 2 5 11 2 3 2 2 2" xfId="37885" xr:uid="{00000000-0005-0000-0000-0000D94B0000}"/>
    <cellStyle name="Normal 2 5 11 2 3 2 3" xfId="28855" xr:uid="{00000000-0005-0000-0000-0000DA4B0000}"/>
    <cellStyle name="Normal 2 5 11 2 3 3" xfId="13351" xr:uid="{00000000-0005-0000-0000-0000DB4B0000}"/>
    <cellStyle name="Normal 2 5 11 2 3 3 2" xfId="33403" xr:uid="{00000000-0005-0000-0000-0000DC4B0000}"/>
    <cellStyle name="Normal 2 5 11 2 3 4" xfId="24373" xr:uid="{00000000-0005-0000-0000-0000DD4B0000}"/>
    <cellStyle name="Normal 2 5 11 2 4" xfId="5815" xr:uid="{00000000-0005-0000-0000-0000DE4B0000}"/>
    <cellStyle name="Normal 2 5 11 2 4 2" xfId="14845" xr:uid="{00000000-0005-0000-0000-0000DF4B0000}"/>
    <cellStyle name="Normal 2 5 11 2 4 2 2" xfId="34897" xr:uid="{00000000-0005-0000-0000-0000E04B0000}"/>
    <cellStyle name="Normal 2 5 11 2 4 3" xfId="25867" xr:uid="{00000000-0005-0000-0000-0000E14B0000}"/>
    <cellStyle name="Normal 2 5 11 2 5" xfId="10363" xr:uid="{00000000-0005-0000-0000-0000E24B0000}"/>
    <cellStyle name="Normal 2 5 11 2 5 2" xfId="30415" xr:uid="{00000000-0005-0000-0000-0000E34B0000}"/>
    <cellStyle name="Normal 2 5 11 2 6" xfId="21385" xr:uid="{00000000-0005-0000-0000-0000E44B0000}"/>
    <cellStyle name="Normal 2 5 11 3" xfId="2080" xr:uid="{00000000-0005-0000-0000-0000E54B0000}"/>
    <cellStyle name="Normal 2 5 11 3 2" xfId="6562" xr:uid="{00000000-0005-0000-0000-0000E64B0000}"/>
    <cellStyle name="Normal 2 5 11 3 2 2" xfId="15592" xr:uid="{00000000-0005-0000-0000-0000E74B0000}"/>
    <cellStyle name="Normal 2 5 11 3 2 2 2" xfId="35644" xr:uid="{00000000-0005-0000-0000-0000E84B0000}"/>
    <cellStyle name="Normal 2 5 11 3 2 3" xfId="26614" xr:uid="{00000000-0005-0000-0000-0000E94B0000}"/>
    <cellStyle name="Normal 2 5 11 3 3" xfId="11110" xr:uid="{00000000-0005-0000-0000-0000EA4B0000}"/>
    <cellStyle name="Normal 2 5 11 3 3 2" xfId="31162" xr:uid="{00000000-0005-0000-0000-0000EB4B0000}"/>
    <cellStyle name="Normal 2 5 11 3 4" xfId="22132" xr:uid="{00000000-0005-0000-0000-0000EC4B0000}"/>
    <cellStyle name="Normal 2 5 11 4" xfId="3574" xr:uid="{00000000-0005-0000-0000-0000ED4B0000}"/>
    <cellStyle name="Normal 2 5 11 4 2" xfId="8056" xr:uid="{00000000-0005-0000-0000-0000EE4B0000}"/>
    <cellStyle name="Normal 2 5 11 4 2 2" xfId="17086" xr:uid="{00000000-0005-0000-0000-0000EF4B0000}"/>
    <cellStyle name="Normal 2 5 11 4 2 2 2" xfId="37138" xr:uid="{00000000-0005-0000-0000-0000F04B0000}"/>
    <cellStyle name="Normal 2 5 11 4 2 3" xfId="28108" xr:uid="{00000000-0005-0000-0000-0000F14B0000}"/>
    <cellStyle name="Normal 2 5 11 4 3" xfId="12604" xr:uid="{00000000-0005-0000-0000-0000F24B0000}"/>
    <cellStyle name="Normal 2 5 11 4 3 2" xfId="32656" xr:uid="{00000000-0005-0000-0000-0000F34B0000}"/>
    <cellStyle name="Normal 2 5 11 4 4" xfId="23626" xr:uid="{00000000-0005-0000-0000-0000F44B0000}"/>
    <cellStyle name="Normal 2 5 11 5" xfId="5068" xr:uid="{00000000-0005-0000-0000-0000F54B0000}"/>
    <cellStyle name="Normal 2 5 11 5 2" xfId="14098" xr:uid="{00000000-0005-0000-0000-0000F64B0000}"/>
    <cellStyle name="Normal 2 5 11 5 2 2" xfId="34150" xr:uid="{00000000-0005-0000-0000-0000F74B0000}"/>
    <cellStyle name="Normal 2 5 11 5 3" xfId="25120" xr:uid="{00000000-0005-0000-0000-0000F84B0000}"/>
    <cellStyle name="Normal 2 5 11 6" xfId="9616" xr:uid="{00000000-0005-0000-0000-0000F94B0000}"/>
    <cellStyle name="Normal 2 5 11 6 2" xfId="29668" xr:uid="{00000000-0005-0000-0000-0000FA4B0000}"/>
    <cellStyle name="Normal 2 5 11 7" xfId="20638" xr:uid="{00000000-0005-0000-0000-0000FB4B0000}"/>
    <cellStyle name="Normal 2 5 12" xfId="773" xr:uid="{00000000-0005-0000-0000-0000FC4B0000}"/>
    <cellStyle name="Normal 2 5 12 2" xfId="2267" xr:uid="{00000000-0005-0000-0000-0000FD4B0000}"/>
    <cellStyle name="Normal 2 5 12 2 2" xfId="6749" xr:uid="{00000000-0005-0000-0000-0000FE4B0000}"/>
    <cellStyle name="Normal 2 5 12 2 2 2" xfId="15779" xr:uid="{00000000-0005-0000-0000-0000FF4B0000}"/>
    <cellStyle name="Normal 2 5 12 2 2 2 2" xfId="35831" xr:uid="{00000000-0005-0000-0000-0000004C0000}"/>
    <cellStyle name="Normal 2 5 12 2 2 3" xfId="26801" xr:uid="{00000000-0005-0000-0000-0000014C0000}"/>
    <cellStyle name="Normal 2 5 12 2 3" xfId="11297" xr:uid="{00000000-0005-0000-0000-0000024C0000}"/>
    <cellStyle name="Normal 2 5 12 2 3 2" xfId="31349" xr:uid="{00000000-0005-0000-0000-0000034C0000}"/>
    <cellStyle name="Normal 2 5 12 2 4" xfId="22319" xr:uid="{00000000-0005-0000-0000-0000044C0000}"/>
    <cellStyle name="Normal 2 5 12 3" xfId="3761" xr:uid="{00000000-0005-0000-0000-0000054C0000}"/>
    <cellStyle name="Normal 2 5 12 3 2" xfId="8243" xr:uid="{00000000-0005-0000-0000-0000064C0000}"/>
    <cellStyle name="Normal 2 5 12 3 2 2" xfId="17273" xr:uid="{00000000-0005-0000-0000-0000074C0000}"/>
    <cellStyle name="Normal 2 5 12 3 2 2 2" xfId="37325" xr:uid="{00000000-0005-0000-0000-0000084C0000}"/>
    <cellStyle name="Normal 2 5 12 3 2 3" xfId="28295" xr:uid="{00000000-0005-0000-0000-0000094C0000}"/>
    <cellStyle name="Normal 2 5 12 3 3" xfId="12791" xr:uid="{00000000-0005-0000-0000-00000A4C0000}"/>
    <cellStyle name="Normal 2 5 12 3 3 2" xfId="32843" xr:uid="{00000000-0005-0000-0000-00000B4C0000}"/>
    <cellStyle name="Normal 2 5 12 3 4" xfId="23813" xr:uid="{00000000-0005-0000-0000-00000C4C0000}"/>
    <cellStyle name="Normal 2 5 12 4" xfId="5255" xr:uid="{00000000-0005-0000-0000-00000D4C0000}"/>
    <cellStyle name="Normal 2 5 12 4 2" xfId="14285" xr:uid="{00000000-0005-0000-0000-00000E4C0000}"/>
    <cellStyle name="Normal 2 5 12 4 2 2" xfId="34337" xr:uid="{00000000-0005-0000-0000-00000F4C0000}"/>
    <cellStyle name="Normal 2 5 12 4 3" xfId="25307" xr:uid="{00000000-0005-0000-0000-0000104C0000}"/>
    <cellStyle name="Normal 2 5 12 5" xfId="9803" xr:uid="{00000000-0005-0000-0000-0000114C0000}"/>
    <cellStyle name="Normal 2 5 12 5 2" xfId="29855" xr:uid="{00000000-0005-0000-0000-0000124C0000}"/>
    <cellStyle name="Normal 2 5 12 6" xfId="20825" xr:uid="{00000000-0005-0000-0000-0000134C0000}"/>
    <cellStyle name="Normal 2 5 13" xfId="1522" xr:uid="{00000000-0005-0000-0000-0000144C0000}"/>
    <cellStyle name="Normal 2 5 13 2" xfId="6004" xr:uid="{00000000-0005-0000-0000-0000154C0000}"/>
    <cellStyle name="Normal 2 5 13 2 2" xfId="15034" xr:uid="{00000000-0005-0000-0000-0000164C0000}"/>
    <cellStyle name="Normal 2 5 13 2 2 2" xfId="35086" xr:uid="{00000000-0005-0000-0000-0000174C0000}"/>
    <cellStyle name="Normal 2 5 13 2 3" xfId="26056" xr:uid="{00000000-0005-0000-0000-0000184C0000}"/>
    <cellStyle name="Normal 2 5 13 3" xfId="10552" xr:uid="{00000000-0005-0000-0000-0000194C0000}"/>
    <cellStyle name="Normal 2 5 13 3 2" xfId="30604" xr:uid="{00000000-0005-0000-0000-00001A4C0000}"/>
    <cellStyle name="Normal 2 5 13 4" xfId="21574" xr:uid="{00000000-0005-0000-0000-00001B4C0000}"/>
    <cellStyle name="Normal 2 5 14" xfId="3016" xr:uid="{00000000-0005-0000-0000-00001C4C0000}"/>
    <cellStyle name="Normal 2 5 14 2" xfId="7498" xr:uid="{00000000-0005-0000-0000-00001D4C0000}"/>
    <cellStyle name="Normal 2 5 14 2 2" xfId="16528" xr:uid="{00000000-0005-0000-0000-00001E4C0000}"/>
    <cellStyle name="Normal 2 5 14 2 2 2" xfId="36580" xr:uid="{00000000-0005-0000-0000-00001F4C0000}"/>
    <cellStyle name="Normal 2 5 14 2 3" xfId="27550" xr:uid="{00000000-0005-0000-0000-0000204C0000}"/>
    <cellStyle name="Normal 2 5 14 3" xfId="12046" xr:uid="{00000000-0005-0000-0000-0000214C0000}"/>
    <cellStyle name="Normal 2 5 14 3 2" xfId="32098" xr:uid="{00000000-0005-0000-0000-0000224C0000}"/>
    <cellStyle name="Normal 2 5 14 4" xfId="23068" xr:uid="{00000000-0005-0000-0000-0000234C0000}"/>
    <cellStyle name="Normal 2 5 15" xfId="4510" xr:uid="{00000000-0005-0000-0000-0000244C0000}"/>
    <cellStyle name="Normal 2 5 15 2" xfId="13540" xr:uid="{00000000-0005-0000-0000-0000254C0000}"/>
    <cellStyle name="Normal 2 5 15 2 2" xfId="33592" xr:uid="{00000000-0005-0000-0000-0000264C0000}"/>
    <cellStyle name="Normal 2 5 15 3" xfId="24562" xr:uid="{00000000-0005-0000-0000-0000274C0000}"/>
    <cellStyle name="Normal 2 5 16" xfId="9058" xr:uid="{00000000-0005-0000-0000-0000284C0000}"/>
    <cellStyle name="Normal 2 5 16 2" xfId="29110" xr:uid="{00000000-0005-0000-0000-0000294C0000}"/>
    <cellStyle name="Normal 2 5 17" xfId="20080" xr:uid="{00000000-0005-0000-0000-00002A4C0000}"/>
    <cellStyle name="Normal 2 5 2" xfId="51" xr:uid="{00000000-0005-0000-0000-00002B4C0000}"/>
    <cellStyle name="Normal 2 5 2 10" xfId="20103" xr:uid="{00000000-0005-0000-0000-00002C4C0000}"/>
    <cellStyle name="Normal 2 5 2 2" xfId="237" xr:uid="{00000000-0005-0000-0000-00002D4C0000}"/>
    <cellStyle name="Normal 2 5 2 2 2" xfId="982" xr:uid="{00000000-0005-0000-0000-00002E4C0000}"/>
    <cellStyle name="Normal 2 5 2 2 2 2" xfId="2476" xr:uid="{00000000-0005-0000-0000-00002F4C0000}"/>
    <cellStyle name="Normal 2 5 2 2 2 2 2" xfId="6958" xr:uid="{00000000-0005-0000-0000-0000304C0000}"/>
    <cellStyle name="Normal 2 5 2 2 2 2 2 2" xfId="15988" xr:uid="{00000000-0005-0000-0000-0000314C0000}"/>
    <cellStyle name="Normal 2 5 2 2 2 2 2 2 2" xfId="36040" xr:uid="{00000000-0005-0000-0000-0000324C0000}"/>
    <cellStyle name="Normal 2 5 2 2 2 2 2 3" xfId="27010" xr:uid="{00000000-0005-0000-0000-0000334C0000}"/>
    <cellStyle name="Normal 2 5 2 2 2 2 3" xfId="11506" xr:uid="{00000000-0005-0000-0000-0000344C0000}"/>
    <cellStyle name="Normal 2 5 2 2 2 2 3 2" xfId="31558" xr:uid="{00000000-0005-0000-0000-0000354C0000}"/>
    <cellStyle name="Normal 2 5 2 2 2 2 4" xfId="22528" xr:uid="{00000000-0005-0000-0000-0000364C0000}"/>
    <cellStyle name="Normal 2 5 2 2 2 3" xfId="3970" xr:uid="{00000000-0005-0000-0000-0000374C0000}"/>
    <cellStyle name="Normal 2 5 2 2 2 3 2" xfId="8452" xr:uid="{00000000-0005-0000-0000-0000384C0000}"/>
    <cellStyle name="Normal 2 5 2 2 2 3 2 2" xfId="17482" xr:uid="{00000000-0005-0000-0000-0000394C0000}"/>
    <cellStyle name="Normal 2 5 2 2 2 3 2 2 2" xfId="37534" xr:uid="{00000000-0005-0000-0000-00003A4C0000}"/>
    <cellStyle name="Normal 2 5 2 2 2 3 2 3" xfId="28504" xr:uid="{00000000-0005-0000-0000-00003B4C0000}"/>
    <cellStyle name="Normal 2 5 2 2 2 3 3" xfId="13000" xr:uid="{00000000-0005-0000-0000-00003C4C0000}"/>
    <cellStyle name="Normal 2 5 2 2 2 3 3 2" xfId="33052" xr:uid="{00000000-0005-0000-0000-00003D4C0000}"/>
    <cellStyle name="Normal 2 5 2 2 2 3 4" xfId="24022" xr:uid="{00000000-0005-0000-0000-00003E4C0000}"/>
    <cellStyle name="Normal 2 5 2 2 2 4" xfId="5464" xr:uid="{00000000-0005-0000-0000-00003F4C0000}"/>
    <cellStyle name="Normal 2 5 2 2 2 4 2" xfId="14494" xr:uid="{00000000-0005-0000-0000-0000404C0000}"/>
    <cellStyle name="Normal 2 5 2 2 2 4 2 2" xfId="34546" xr:uid="{00000000-0005-0000-0000-0000414C0000}"/>
    <cellStyle name="Normal 2 5 2 2 2 4 3" xfId="25516" xr:uid="{00000000-0005-0000-0000-0000424C0000}"/>
    <cellStyle name="Normal 2 5 2 2 2 5" xfId="10012" xr:uid="{00000000-0005-0000-0000-0000434C0000}"/>
    <cellStyle name="Normal 2 5 2 2 2 5 2" xfId="30064" xr:uid="{00000000-0005-0000-0000-0000444C0000}"/>
    <cellStyle name="Normal 2 5 2 2 2 6" xfId="21034" xr:uid="{00000000-0005-0000-0000-0000454C0000}"/>
    <cellStyle name="Normal 2 5 2 2 3" xfId="1731" xr:uid="{00000000-0005-0000-0000-0000464C0000}"/>
    <cellStyle name="Normal 2 5 2 2 3 2" xfId="6213" xr:uid="{00000000-0005-0000-0000-0000474C0000}"/>
    <cellStyle name="Normal 2 5 2 2 3 2 2" xfId="15243" xr:uid="{00000000-0005-0000-0000-0000484C0000}"/>
    <cellStyle name="Normal 2 5 2 2 3 2 2 2" xfId="35295" xr:uid="{00000000-0005-0000-0000-0000494C0000}"/>
    <cellStyle name="Normal 2 5 2 2 3 2 3" xfId="26265" xr:uid="{00000000-0005-0000-0000-00004A4C0000}"/>
    <cellStyle name="Normal 2 5 2 2 3 3" xfId="10761" xr:uid="{00000000-0005-0000-0000-00004B4C0000}"/>
    <cellStyle name="Normal 2 5 2 2 3 3 2" xfId="30813" xr:uid="{00000000-0005-0000-0000-00004C4C0000}"/>
    <cellStyle name="Normal 2 5 2 2 3 4" xfId="21783" xr:uid="{00000000-0005-0000-0000-00004D4C0000}"/>
    <cellStyle name="Normal 2 5 2 2 4" xfId="3225" xr:uid="{00000000-0005-0000-0000-00004E4C0000}"/>
    <cellStyle name="Normal 2 5 2 2 4 2" xfId="7707" xr:uid="{00000000-0005-0000-0000-00004F4C0000}"/>
    <cellStyle name="Normal 2 5 2 2 4 2 2" xfId="16737" xr:uid="{00000000-0005-0000-0000-0000504C0000}"/>
    <cellStyle name="Normal 2 5 2 2 4 2 2 2" xfId="36789" xr:uid="{00000000-0005-0000-0000-0000514C0000}"/>
    <cellStyle name="Normal 2 5 2 2 4 2 3" xfId="27759" xr:uid="{00000000-0005-0000-0000-0000524C0000}"/>
    <cellStyle name="Normal 2 5 2 2 4 3" xfId="12255" xr:uid="{00000000-0005-0000-0000-0000534C0000}"/>
    <cellStyle name="Normal 2 5 2 2 4 3 2" xfId="32307" xr:uid="{00000000-0005-0000-0000-0000544C0000}"/>
    <cellStyle name="Normal 2 5 2 2 4 4" xfId="23277" xr:uid="{00000000-0005-0000-0000-0000554C0000}"/>
    <cellStyle name="Normal 2 5 2 2 5" xfId="4719" xr:uid="{00000000-0005-0000-0000-0000564C0000}"/>
    <cellStyle name="Normal 2 5 2 2 5 2" xfId="13749" xr:uid="{00000000-0005-0000-0000-0000574C0000}"/>
    <cellStyle name="Normal 2 5 2 2 5 2 2" xfId="33801" xr:uid="{00000000-0005-0000-0000-0000584C0000}"/>
    <cellStyle name="Normal 2 5 2 2 5 3" xfId="24771" xr:uid="{00000000-0005-0000-0000-0000594C0000}"/>
    <cellStyle name="Normal 2 5 2 2 6" xfId="9267" xr:uid="{00000000-0005-0000-0000-00005A4C0000}"/>
    <cellStyle name="Normal 2 5 2 2 6 2" xfId="29319" xr:uid="{00000000-0005-0000-0000-00005B4C0000}"/>
    <cellStyle name="Normal 2 5 2 2 7" xfId="20289" xr:uid="{00000000-0005-0000-0000-00005C4C0000}"/>
    <cellStyle name="Normal 2 5 2 3" xfId="423" xr:uid="{00000000-0005-0000-0000-00005D4C0000}"/>
    <cellStyle name="Normal 2 5 2 3 2" xfId="1170" xr:uid="{00000000-0005-0000-0000-00005E4C0000}"/>
    <cellStyle name="Normal 2 5 2 3 2 2" xfId="2664" xr:uid="{00000000-0005-0000-0000-00005F4C0000}"/>
    <cellStyle name="Normal 2 5 2 3 2 2 2" xfId="7146" xr:uid="{00000000-0005-0000-0000-0000604C0000}"/>
    <cellStyle name="Normal 2 5 2 3 2 2 2 2" xfId="16176" xr:uid="{00000000-0005-0000-0000-0000614C0000}"/>
    <cellStyle name="Normal 2 5 2 3 2 2 2 2 2" xfId="36228" xr:uid="{00000000-0005-0000-0000-0000624C0000}"/>
    <cellStyle name="Normal 2 5 2 3 2 2 2 3" xfId="27198" xr:uid="{00000000-0005-0000-0000-0000634C0000}"/>
    <cellStyle name="Normal 2 5 2 3 2 2 3" xfId="11694" xr:uid="{00000000-0005-0000-0000-0000644C0000}"/>
    <cellStyle name="Normal 2 5 2 3 2 2 3 2" xfId="31746" xr:uid="{00000000-0005-0000-0000-0000654C0000}"/>
    <cellStyle name="Normal 2 5 2 3 2 2 4" xfId="22716" xr:uid="{00000000-0005-0000-0000-0000664C0000}"/>
    <cellStyle name="Normal 2 5 2 3 2 3" xfId="4158" xr:uid="{00000000-0005-0000-0000-0000674C0000}"/>
    <cellStyle name="Normal 2 5 2 3 2 3 2" xfId="8640" xr:uid="{00000000-0005-0000-0000-0000684C0000}"/>
    <cellStyle name="Normal 2 5 2 3 2 3 2 2" xfId="17670" xr:uid="{00000000-0005-0000-0000-0000694C0000}"/>
    <cellStyle name="Normal 2 5 2 3 2 3 2 2 2" xfId="37722" xr:uid="{00000000-0005-0000-0000-00006A4C0000}"/>
    <cellStyle name="Normal 2 5 2 3 2 3 2 3" xfId="28692" xr:uid="{00000000-0005-0000-0000-00006B4C0000}"/>
    <cellStyle name="Normal 2 5 2 3 2 3 3" xfId="13188" xr:uid="{00000000-0005-0000-0000-00006C4C0000}"/>
    <cellStyle name="Normal 2 5 2 3 2 3 3 2" xfId="33240" xr:uid="{00000000-0005-0000-0000-00006D4C0000}"/>
    <cellStyle name="Normal 2 5 2 3 2 3 4" xfId="24210" xr:uid="{00000000-0005-0000-0000-00006E4C0000}"/>
    <cellStyle name="Normal 2 5 2 3 2 4" xfId="5652" xr:uid="{00000000-0005-0000-0000-00006F4C0000}"/>
    <cellStyle name="Normal 2 5 2 3 2 4 2" xfId="14682" xr:uid="{00000000-0005-0000-0000-0000704C0000}"/>
    <cellStyle name="Normal 2 5 2 3 2 4 2 2" xfId="34734" xr:uid="{00000000-0005-0000-0000-0000714C0000}"/>
    <cellStyle name="Normal 2 5 2 3 2 4 3" xfId="25704" xr:uid="{00000000-0005-0000-0000-0000724C0000}"/>
    <cellStyle name="Normal 2 5 2 3 2 5" xfId="10200" xr:uid="{00000000-0005-0000-0000-0000734C0000}"/>
    <cellStyle name="Normal 2 5 2 3 2 5 2" xfId="30252" xr:uid="{00000000-0005-0000-0000-0000744C0000}"/>
    <cellStyle name="Normal 2 5 2 3 2 6" xfId="21222" xr:uid="{00000000-0005-0000-0000-0000754C0000}"/>
    <cellStyle name="Normal 2 5 2 3 3" xfId="1917" xr:uid="{00000000-0005-0000-0000-0000764C0000}"/>
    <cellStyle name="Normal 2 5 2 3 3 2" xfId="6399" xr:uid="{00000000-0005-0000-0000-0000774C0000}"/>
    <cellStyle name="Normal 2 5 2 3 3 2 2" xfId="15429" xr:uid="{00000000-0005-0000-0000-0000784C0000}"/>
    <cellStyle name="Normal 2 5 2 3 3 2 2 2" xfId="35481" xr:uid="{00000000-0005-0000-0000-0000794C0000}"/>
    <cellStyle name="Normal 2 5 2 3 3 2 3" xfId="26451" xr:uid="{00000000-0005-0000-0000-00007A4C0000}"/>
    <cellStyle name="Normal 2 5 2 3 3 3" xfId="10947" xr:uid="{00000000-0005-0000-0000-00007B4C0000}"/>
    <cellStyle name="Normal 2 5 2 3 3 3 2" xfId="30999" xr:uid="{00000000-0005-0000-0000-00007C4C0000}"/>
    <cellStyle name="Normal 2 5 2 3 3 4" xfId="21969" xr:uid="{00000000-0005-0000-0000-00007D4C0000}"/>
    <cellStyle name="Normal 2 5 2 3 4" xfId="3411" xr:uid="{00000000-0005-0000-0000-00007E4C0000}"/>
    <cellStyle name="Normal 2 5 2 3 4 2" xfId="7893" xr:uid="{00000000-0005-0000-0000-00007F4C0000}"/>
    <cellStyle name="Normal 2 5 2 3 4 2 2" xfId="16923" xr:uid="{00000000-0005-0000-0000-0000804C0000}"/>
    <cellStyle name="Normal 2 5 2 3 4 2 2 2" xfId="36975" xr:uid="{00000000-0005-0000-0000-0000814C0000}"/>
    <cellStyle name="Normal 2 5 2 3 4 2 3" xfId="27945" xr:uid="{00000000-0005-0000-0000-0000824C0000}"/>
    <cellStyle name="Normal 2 5 2 3 4 3" xfId="12441" xr:uid="{00000000-0005-0000-0000-0000834C0000}"/>
    <cellStyle name="Normal 2 5 2 3 4 3 2" xfId="32493" xr:uid="{00000000-0005-0000-0000-0000844C0000}"/>
    <cellStyle name="Normal 2 5 2 3 4 4" xfId="23463" xr:uid="{00000000-0005-0000-0000-0000854C0000}"/>
    <cellStyle name="Normal 2 5 2 3 5" xfId="4905" xr:uid="{00000000-0005-0000-0000-0000864C0000}"/>
    <cellStyle name="Normal 2 5 2 3 5 2" xfId="13935" xr:uid="{00000000-0005-0000-0000-0000874C0000}"/>
    <cellStyle name="Normal 2 5 2 3 5 2 2" xfId="33987" xr:uid="{00000000-0005-0000-0000-0000884C0000}"/>
    <cellStyle name="Normal 2 5 2 3 5 3" xfId="24957" xr:uid="{00000000-0005-0000-0000-0000894C0000}"/>
    <cellStyle name="Normal 2 5 2 3 6" xfId="9453" xr:uid="{00000000-0005-0000-0000-00008A4C0000}"/>
    <cellStyle name="Normal 2 5 2 3 6 2" xfId="29505" xr:uid="{00000000-0005-0000-0000-00008B4C0000}"/>
    <cellStyle name="Normal 2 5 2 3 7" xfId="20475" xr:uid="{00000000-0005-0000-0000-00008C4C0000}"/>
    <cellStyle name="Normal 2 5 2 4" xfId="609" xr:uid="{00000000-0005-0000-0000-00008D4C0000}"/>
    <cellStyle name="Normal 2 5 2 4 2" xfId="1356" xr:uid="{00000000-0005-0000-0000-00008E4C0000}"/>
    <cellStyle name="Normal 2 5 2 4 2 2" xfId="2850" xr:uid="{00000000-0005-0000-0000-00008F4C0000}"/>
    <cellStyle name="Normal 2 5 2 4 2 2 2" xfId="7332" xr:uid="{00000000-0005-0000-0000-0000904C0000}"/>
    <cellStyle name="Normal 2 5 2 4 2 2 2 2" xfId="16362" xr:uid="{00000000-0005-0000-0000-0000914C0000}"/>
    <cellStyle name="Normal 2 5 2 4 2 2 2 2 2" xfId="36414" xr:uid="{00000000-0005-0000-0000-0000924C0000}"/>
    <cellStyle name="Normal 2 5 2 4 2 2 2 3" xfId="27384" xr:uid="{00000000-0005-0000-0000-0000934C0000}"/>
    <cellStyle name="Normal 2 5 2 4 2 2 3" xfId="11880" xr:uid="{00000000-0005-0000-0000-0000944C0000}"/>
    <cellStyle name="Normal 2 5 2 4 2 2 3 2" xfId="31932" xr:uid="{00000000-0005-0000-0000-0000954C0000}"/>
    <cellStyle name="Normal 2 5 2 4 2 2 4" xfId="22902" xr:uid="{00000000-0005-0000-0000-0000964C0000}"/>
    <cellStyle name="Normal 2 5 2 4 2 3" xfId="4344" xr:uid="{00000000-0005-0000-0000-0000974C0000}"/>
    <cellStyle name="Normal 2 5 2 4 2 3 2" xfId="8826" xr:uid="{00000000-0005-0000-0000-0000984C0000}"/>
    <cellStyle name="Normal 2 5 2 4 2 3 2 2" xfId="17856" xr:uid="{00000000-0005-0000-0000-0000994C0000}"/>
    <cellStyle name="Normal 2 5 2 4 2 3 2 2 2" xfId="37908" xr:uid="{00000000-0005-0000-0000-00009A4C0000}"/>
    <cellStyle name="Normal 2 5 2 4 2 3 2 3" xfId="28878" xr:uid="{00000000-0005-0000-0000-00009B4C0000}"/>
    <cellStyle name="Normal 2 5 2 4 2 3 3" xfId="13374" xr:uid="{00000000-0005-0000-0000-00009C4C0000}"/>
    <cellStyle name="Normal 2 5 2 4 2 3 3 2" xfId="33426" xr:uid="{00000000-0005-0000-0000-00009D4C0000}"/>
    <cellStyle name="Normal 2 5 2 4 2 3 4" xfId="24396" xr:uid="{00000000-0005-0000-0000-00009E4C0000}"/>
    <cellStyle name="Normal 2 5 2 4 2 4" xfId="5838" xr:uid="{00000000-0005-0000-0000-00009F4C0000}"/>
    <cellStyle name="Normal 2 5 2 4 2 4 2" xfId="14868" xr:uid="{00000000-0005-0000-0000-0000A04C0000}"/>
    <cellStyle name="Normal 2 5 2 4 2 4 2 2" xfId="34920" xr:uid="{00000000-0005-0000-0000-0000A14C0000}"/>
    <cellStyle name="Normal 2 5 2 4 2 4 3" xfId="25890" xr:uid="{00000000-0005-0000-0000-0000A24C0000}"/>
    <cellStyle name="Normal 2 5 2 4 2 5" xfId="10386" xr:uid="{00000000-0005-0000-0000-0000A34C0000}"/>
    <cellStyle name="Normal 2 5 2 4 2 5 2" xfId="30438" xr:uid="{00000000-0005-0000-0000-0000A44C0000}"/>
    <cellStyle name="Normal 2 5 2 4 2 6" xfId="21408" xr:uid="{00000000-0005-0000-0000-0000A54C0000}"/>
    <cellStyle name="Normal 2 5 2 4 3" xfId="2103" xr:uid="{00000000-0005-0000-0000-0000A64C0000}"/>
    <cellStyle name="Normal 2 5 2 4 3 2" xfId="6585" xr:uid="{00000000-0005-0000-0000-0000A74C0000}"/>
    <cellStyle name="Normal 2 5 2 4 3 2 2" xfId="15615" xr:uid="{00000000-0005-0000-0000-0000A84C0000}"/>
    <cellStyle name="Normal 2 5 2 4 3 2 2 2" xfId="35667" xr:uid="{00000000-0005-0000-0000-0000A94C0000}"/>
    <cellStyle name="Normal 2 5 2 4 3 2 3" xfId="26637" xr:uid="{00000000-0005-0000-0000-0000AA4C0000}"/>
    <cellStyle name="Normal 2 5 2 4 3 3" xfId="11133" xr:uid="{00000000-0005-0000-0000-0000AB4C0000}"/>
    <cellStyle name="Normal 2 5 2 4 3 3 2" xfId="31185" xr:uid="{00000000-0005-0000-0000-0000AC4C0000}"/>
    <cellStyle name="Normal 2 5 2 4 3 4" xfId="22155" xr:uid="{00000000-0005-0000-0000-0000AD4C0000}"/>
    <cellStyle name="Normal 2 5 2 4 4" xfId="3597" xr:uid="{00000000-0005-0000-0000-0000AE4C0000}"/>
    <cellStyle name="Normal 2 5 2 4 4 2" xfId="8079" xr:uid="{00000000-0005-0000-0000-0000AF4C0000}"/>
    <cellStyle name="Normal 2 5 2 4 4 2 2" xfId="17109" xr:uid="{00000000-0005-0000-0000-0000B04C0000}"/>
    <cellStyle name="Normal 2 5 2 4 4 2 2 2" xfId="37161" xr:uid="{00000000-0005-0000-0000-0000B14C0000}"/>
    <cellStyle name="Normal 2 5 2 4 4 2 3" xfId="28131" xr:uid="{00000000-0005-0000-0000-0000B24C0000}"/>
    <cellStyle name="Normal 2 5 2 4 4 3" xfId="12627" xr:uid="{00000000-0005-0000-0000-0000B34C0000}"/>
    <cellStyle name="Normal 2 5 2 4 4 3 2" xfId="32679" xr:uid="{00000000-0005-0000-0000-0000B44C0000}"/>
    <cellStyle name="Normal 2 5 2 4 4 4" xfId="23649" xr:uid="{00000000-0005-0000-0000-0000B54C0000}"/>
    <cellStyle name="Normal 2 5 2 4 5" xfId="5091" xr:uid="{00000000-0005-0000-0000-0000B64C0000}"/>
    <cellStyle name="Normal 2 5 2 4 5 2" xfId="14121" xr:uid="{00000000-0005-0000-0000-0000B74C0000}"/>
    <cellStyle name="Normal 2 5 2 4 5 2 2" xfId="34173" xr:uid="{00000000-0005-0000-0000-0000B84C0000}"/>
    <cellStyle name="Normal 2 5 2 4 5 3" xfId="25143" xr:uid="{00000000-0005-0000-0000-0000B94C0000}"/>
    <cellStyle name="Normal 2 5 2 4 6" xfId="9639" xr:uid="{00000000-0005-0000-0000-0000BA4C0000}"/>
    <cellStyle name="Normal 2 5 2 4 6 2" xfId="29691" xr:uid="{00000000-0005-0000-0000-0000BB4C0000}"/>
    <cellStyle name="Normal 2 5 2 4 7" xfId="20661" xr:uid="{00000000-0005-0000-0000-0000BC4C0000}"/>
    <cellStyle name="Normal 2 5 2 5" xfId="796" xr:uid="{00000000-0005-0000-0000-0000BD4C0000}"/>
    <cellStyle name="Normal 2 5 2 5 2" xfId="2290" xr:uid="{00000000-0005-0000-0000-0000BE4C0000}"/>
    <cellStyle name="Normal 2 5 2 5 2 2" xfId="6772" xr:uid="{00000000-0005-0000-0000-0000BF4C0000}"/>
    <cellStyle name="Normal 2 5 2 5 2 2 2" xfId="15802" xr:uid="{00000000-0005-0000-0000-0000C04C0000}"/>
    <cellStyle name="Normal 2 5 2 5 2 2 2 2" xfId="35854" xr:uid="{00000000-0005-0000-0000-0000C14C0000}"/>
    <cellStyle name="Normal 2 5 2 5 2 2 3" xfId="26824" xr:uid="{00000000-0005-0000-0000-0000C24C0000}"/>
    <cellStyle name="Normal 2 5 2 5 2 3" xfId="11320" xr:uid="{00000000-0005-0000-0000-0000C34C0000}"/>
    <cellStyle name="Normal 2 5 2 5 2 3 2" xfId="31372" xr:uid="{00000000-0005-0000-0000-0000C44C0000}"/>
    <cellStyle name="Normal 2 5 2 5 2 4" xfId="22342" xr:uid="{00000000-0005-0000-0000-0000C54C0000}"/>
    <cellStyle name="Normal 2 5 2 5 3" xfId="3784" xr:uid="{00000000-0005-0000-0000-0000C64C0000}"/>
    <cellStyle name="Normal 2 5 2 5 3 2" xfId="8266" xr:uid="{00000000-0005-0000-0000-0000C74C0000}"/>
    <cellStyle name="Normal 2 5 2 5 3 2 2" xfId="17296" xr:uid="{00000000-0005-0000-0000-0000C84C0000}"/>
    <cellStyle name="Normal 2 5 2 5 3 2 2 2" xfId="37348" xr:uid="{00000000-0005-0000-0000-0000C94C0000}"/>
    <cellStyle name="Normal 2 5 2 5 3 2 3" xfId="28318" xr:uid="{00000000-0005-0000-0000-0000CA4C0000}"/>
    <cellStyle name="Normal 2 5 2 5 3 3" xfId="12814" xr:uid="{00000000-0005-0000-0000-0000CB4C0000}"/>
    <cellStyle name="Normal 2 5 2 5 3 3 2" xfId="32866" xr:uid="{00000000-0005-0000-0000-0000CC4C0000}"/>
    <cellStyle name="Normal 2 5 2 5 3 4" xfId="23836" xr:uid="{00000000-0005-0000-0000-0000CD4C0000}"/>
    <cellStyle name="Normal 2 5 2 5 4" xfId="5278" xr:uid="{00000000-0005-0000-0000-0000CE4C0000}"/>
    <cellStyle name="Normal 2 5 2 5 4 2" xfId="14308" xr:uid="{00000000-0005-0000-0000-0000CF4C0000}"/>
    <cellStyle name="Normal 2 5 2 5 4 2 2" xfId="34360" xr:uid="{00000000-0005-0000-0000-0000D04C0000}"/>
    <cellStyle name="Normal 2 5 2 5 4 3" xfId="25330" xr:uid="{00000000-0005-0000-0000-0000D14C0000}"/>
    <cellStyle name="Normal 2 5 2 5 5" xfId="9826" xr:uid="{00000000-0005-0000-0000-0000D24C0000}"/>
    <cellStyle name="Normal 2 5 2 5 5 2" xfId="29878" xr:uid="{00000000-0005-0000-0000-0000D34C0000}"/>
    <cellStyle name="Normal 2 5 2 5 6" xfId="20848" xr:uid="{00000000-0005-0000-0000-0000D44C0000}"/>
    <cellStyle name="Normal 2 5 2 6" xfId="1545" xr:uid="{00000000-0005-0000-0000-0000D54C0000}"/>
    <cellStyle name="Normal 2 5 2 6 2" xfId="6027" xr:uid="{00000000-0005-0000-0000-0000D64C0000}"/>
    <cellStyle name="Normal 2 5 2 6 2 2" xfId="15057" xr:uid="{00000000-0005-0000-0000-0000D74C0000}"/>
    <cellStyle name="Normal 2 5 2 6 2 2 2" xfId="35109" xr:uid="{00000000-0005-0000-0000-0000D84C0000}"/>
    <cellStyle name="Normal 2 5 2 6 2 3" xfId="26079" xr:uid="{00000000-0005-0000-0000-0000D94C0000}"/>
    <cellStyle name="Normal 2 5 2 6 3" xfId="10575" xr:uid="{00000000-0005-0000-0000-0000DA4C0000}"/>
    <cellStyle name="Normal 2 5 2 6 3 2" xfId="30627" xr:uid="{00000000-0005-0000-0000-0000DB4C0000}"/>
    <cellStyle name="Normal 2 5 2 6 4" xfId="21597" xr:uid="{00000000-0005-0000-0000-0000DC4C0000}"/>
    <cellStyle name="Normal 2 5 2 7" xfId="3039" xr:uid="{00000000-0005-0000-0000-0000DD4C0000}"/>
    <cellStyle name="Normal 2 5 2 7 2" xfId="7521" xr:uid="{00000000-0005-0000-0000-0000DE4C0000}"/>
    <cellStyle name="Normal 2 5 2 7 2 2" xfId="16551" xr:uid="{00000000-0005-0000-0000-0000DF4C0000}"/>
    <cellStyle name="Normal 2 5 2 7 2 2 2" xfId="36603" xr:uid="{00000000-0005-0000-0000-0000E04C0000}"/>
    <cellStyle name="Normal 2 5 2 7 2 3" xfId="27573" xr:uid="{00000000-0005-0000-0000-0000E14C0000}"/>
    <cellStyle name="Normal 2 5 2 7 3" xfId="12069" xr:uid="{00000000-0005-0000-0000-0000E24C0000}"/>
    <cellStyle name="Normal 2 5 2 7 3 2" xfId="32121" xr:uid="{00000000-0005-0000-0000-0000E34C0000}"/>
    <cellStyle name="Normal 2 5 2 7 4" xfId="23091" xr:uid="{00000000-0005-0000-0000-0000E44C0000}"/>
    <cellStyle name="Normal 2 5 2 8" xfId="4533" xr:uid="{00000000-0005-0000-0000-0000E54C0000}"/>
    <cellStyle name="Normal 2 5 2 8 2" xfId="13563" xr:uid="{00000000-0005-0000-0000-0000E64C0000}"/>
    <cellStyle name="Normal 2 5 2 8 2 2" xfId="33615" xr:uid="{00000000-0005-0000-0000-0000E74C0000}"/>
    <cellStyle name="Normal 2 5 2 8 3" xfId="24585" xr:uid="{00000000-0005-0000-0000-0000E84C0000}"/>
    <cellStyle name="Normal 2 5 2 9" xfId="9081" xr:uid="{00000000-0005-0000-0000-0000E94C0000}"/>
    <cellStyle name="Normal 2 5 2 9 2" xfId="29133" xr:uid="{00000000-0005-0000-0000-0000EA4C0000}"/>
    <cellStyle name="Normal 2 5 3" xfId="74" xr:uid="{00000000-0005-0000-0000-0000EB4C0000}"/>
    <cellStyle name="Normal 2 5 3 10" xfId="20126" xr:uid="{00000000-0005-0000-0000-0000EC4C0000}"/>
    <cellStyle name="Normal 2 5 3 2" xfId="260" xr:uid="{00000000-0005-0000-0000-0000ED4C0000}"/>
    <cellStyle name="Normal 2 5 3 2 2" xfId="1005" xr:uid="{00000000-0005-0000-0000-0000EE4C0000}"/>
    <cellStyle name="Normal 2 5 3 2 2 2" xfId="2499" xr:uid="{00000000-0005-0000-0000-0000EF4C0000}"/>
    <cellStyle name="Normal 2 5 3 2 2 2 2" xfId="6981" xr:uid="{00000000-0005-0000-0000-0000F04C0000}"/>
    <cellStyle name="Normal 2 5 3 2 2 2 2 2" xfId="16011" xr:uid="{00000000-0005-0000-0000-0000F14C0000}"/>
    <cellStyle name="Normal 2 5 3 2 2 2 2 2 2" xfId="36063" xr:uid="{00000000-0005-0000-0000-0000F24C0000}"/>
    <cellStyle name="Normal 2 5 3 2 2 2 2 3" xfId="27033" xr:uid="{00000000-0005-0000-0000-0000F34C0000}"/>
    <cellStyle name="Normal 2 5 3 2 2 2 3" xfId="11529" xr:uid="{00000000-0005-0000-0000-0000F44C0000}"/>
    <cellStyle name="Normal 2 5 3 2 2 2 3 2" xfId="31581" xr:uid="{00000000-0005-0000-0000-0000F54C0000}"/>
    <cellStyle name="Normal 2 5 3 2 2 2 4" xfId="22551" xr:uid="{00000000-0005-0000-0000-0000F64C0000}"/>
    <cellStyle name="Normal 2 5 3 2 2 3" xfId="3993" xr:uid="{00000000-0005-0000-0000-0000F74C0000}"/>
    <cellStyle name="Normal 2 5 3 2 2 3 2" xfId="8475" xr:uid="{00000000-0005-0000-0000-0000F84C0000}"/>
    <cellStyle name="Normal 2 5 3 2 2 3 2 2" xfId="17505" xr:uid="{00000000-0005-0000-0000-0000F94C0000}"/>
    <cellStyle name="Normal 2 5 3 2 2 3 2 2 2" xfId="37557" xr:uid="{00000000-0005-0000-0000-0000FA4C0000}"/>
    <cellStyle name="Normal 2 5 3 2 2 3 2 3" xfId="28527" xr:uid="{00000000-0005-0000-0000-0000FB4C0000}"/>
    <cellStyle name="Normal 2 5 3 2 2 3 3" xfId="13023" xr:uid="{00000000-0005-0000-0000-0000FC4C0000}"/>
    <cellStyle name="Normal 2 5 3 2 2 3 3 2" xfId="33075" xr:uid="{00000000-0005-0000-0000-0000FD4C0000}"/>
    <cellStyle name="Normal 2 5 3 2 2 3 4" xfId="24045" xr:uid="{00000000-0005-0000-0000-0000FE4C0000}"/>
    <cellStyle name="Normal 2 5 3 2 2 4" xfId="5487" xr:uid="{00000000-0005-0000-0000-0000FF4C0000}"/>
    <cellStyle name="Normal 2 5 3 2 2 4 2" xfId="14517" xr:uid="{00000000-0005-0000-0000-0000004D0000}"/>
    <cellStyle name="Normal 2 5 3 2 2 4 2 2" xfId="34569" xr:uid="{00000000-0005-0000-0000-0000014D0000}"/>
    <cellStyle name="Normal 2 5 3 2 2 4 3" xfId="25539" xr:uid="{00000000-0005-0000-0000-0000024D0000}"/>
    <cellStyle name="Normal 2 5 3 2 2 5" xfId="10035" xr:uid="{00000000-0005-0000-0000-0000034D0000}"/>
    <cellStyle name="Normal 2 5 3 2 2 5 2" xfId="30087" xr:uid="{00000000-0005-0000-0000-0000044D0000}"/>
    <cellStyle name="Normal 2 5 3 2 2 6" xfId="21057" xr:uid="{00000000-0005-0000-0000-0000054D0000}"/>
    <cellStyle name="Normal 2 5 3 2 3" xfId="1754" xr:uid="{00000000-0005-0000-0000-0000064D0000}"/>
    <cellStyle name="Normal 2 5 3 2 3 2" xfId="6236" xr:uid="{00000000-0005-0000-0000-0000074D0000}"/>
    <cellStyle name="Normal 2 5 3 2 3 2 2" xfId="15266" xr:uid="{00000000-0005-0000-0000-0000084D0000}"/>
    <cellStyle name="Normal 2 5 3 2 3 2 2 2" xfId="35318" xr:uid="{00000000-0005-0000-0000-0000094D0000}"/>
    <cellStyle name="Normal 2 5 3 2 3 2 3" xfId="26288" xr:uid="{00000000-0005-0000-0000-00000A4D0000}"/>
    <cellStyle name="Normal 2 5 3 2 3 3" xfId="10784" xr:uid="{00000000-0005-0000-0000-00000B4D0000}"/>
    <cellStyle name="Normal 2 5 3 2 3 3 2" xfId="30836" xr:uid="{00000000-0005-0000-0000-00000C4D0000}"/>
    <cellStyle name="Normal 2 5 3 2 3 4" xfId="21806" xr:uid="{00000000-0005-0000-0000-00000D4D0000}"/>
    <cellStyle name="Normal 2 5 3 2 4" xfId="3248" xr:uid="{00000000-0005-0000-0000-00000E4D0000}"/>
    <cellStyle name="Normal 2 5 3 2 4 2" xfId="7730" xr:uid="{00000000-0005-0000-0000-00000F4D0000}"/>
    <cellStyle name="Normal 2 5 3 2 4 2 2" xfId="16760" xr:uid="{00000000-0005-0000-0000-0000104D0000}"/>
    <cellStyle name="Normal 2 5 3 2 4 2 2 2" xfId="36812" xr:uid="{00000000-0005-0000-0000-0000114D0000}"/>
    <cellStyle name="Normal 2 5 3 2 4 2 3" xfId="27782" xr:uid="{00000000-0005-0000-0000-0000124D0000}"/>
    <cellStyle name="Normal 2 5 3 2 4 3" xfId="12278" xr:uid="{00000000-0005-0000-0000-0000134D0000}"/>
    <cellStyle name="Normal 2 5 3 2 4 3 2" xfId="32330" xr:uid="{00000000-0005-0000-0000-0000144D0000}"/>
    <cellStyle name="Normal 2 5 3 2 4 4" xfId="23300" xr:uid="{00000000-0005-0000-0000-0000154D0000}"/>
    <cellStyle name="Normal 2 5 3 2 5" xfId="4742" xr:uid="{00000000-0005-0000-0000-0000164D0000}"/>
    <cellStyle name="Normal 2 5 3 2 5 2" xfId="13772" xr:uid="{00000000-0005-0000-0000-0000174D0000}"/>
    <cellStyle name="Normal 2 5 3 2 5 2 2" xfId="33824" xr:uid="{00000000-0005-0000-0000-0000184D0000}"/>
    <cellStyle name="Normal 2 5 3 2 5 3" xfId="24794" xr:uid="{00000000-0005-0000-0000-0000194D0000}"/>
    <cellStyle name="Normal 2 5 3 2 6" xfId="9290" xr:uid="{00000000-0005-0000-0000-00001A4D0000}"/>
    <cellStyle name="Normal 2 5 3 2 6 2" xfId="29342" xr:uid="{00000000-0005-0000-0000-00001B4D0000}"/>
    <cellStyle name="Normal 2 5 3 2 7" xfId="20312" xr:uid="{00000000-0005-0000-0000-00001C4D0000}"/>
    <cellStyle name="Normal 2 5 3 3" xfId="446" xr:uid="{00000000-0005-0000-0000-00001D4D0000}"/>
    <cellStyle name="Normal 2 5 3 3 2" xfId="1193" xr:uid="{00000000-0005-0000-0000-00001E4D0000}"/>
    <cellStyle name="Normal 2 5 3 3 2 2" xfId="2687" xr:uid="{00000000-0005-0000-0000-00001F4D0000}"/>
    <cellStyle name="Normal 2 5 3 3 2 2 2" xfId="7169" xr:uid="{00000000-0005-0000-0000-0000204D0000}"/>
    <cellStyle name="Normal 2 5 3 3 2 2 2 2" xfId="16199" xr:uid="{00000000-0005-0000-0000-0000214D0000}"/>
    <cellStyle name="Normal 2 5 3 3 2 2 2 2 2" xfId="36251" xr:uid="{00000000-0005-0000-0000-0000224D0000}"/>
    <cellStyle name="Normal 2 5 3 3 2 2 2 3" xfId="27221" xr:uid="{00000000-0005-0000-0000-0000234D0000}"/>
    <cellStyle name="Normal 2 5 3 3 2 2 3" xfId="11717" xr:uid="{00000000-0005-0000-0000-0000244D0000}"/>
    <cellStyle name="Normal 2 5 3 3 2 2 3 2" xfId="31769" xr:uid="{00000000-0005-0000-0000-0000254D0000}"/>
    <cellStyle name="Normal 2 5 3 3 2 2 4" xfId="22739" xr:uid="{00000000-0005-0000-0000-0000264D0000}"/>
    <cellStyle name="Normal 2 5 3 3 2 3" xfId="4181" xr:uid="{00000000-0005-0000-0000-0000274D0000}"/>
    <cellStyle name="Normal 2 5 3 3 2 3 2" xfId="8663" xr:uid="{00000000-0005-0000-0000-0000284D0000}"/>
    <cellStyle name="Normal 2 5 3 3 2 3 2 2" xfId="17693" xr:uid="{00000000-0005-0000-0000-0000294D0000}"/>
    <cellStyle name="Normal 2 5 3 3 2 3 2 2 2" xfId="37745" xr:uid="{00000000-0005-0000-0000-00002A4D0000}"/>
    <cellStyle name="Normal 2 5 3 3 2 3 2 3" xfId="28715" xr:uid="{00000000-0005-0000-0000-00002B4D0000}"/>
    <cellStyle name="Normal 2 5 3 3 2 3 3" xfId="13211" xr:uid="{00000000-0005-0000-0000-00002C4D0000}"/>
    <cellStyle name="Normal 2 5 3 3 2 3 3 2" xfId="33263" xr:uid="{00000000-0005-0000-0000-00002D4D0000}"/>
    <cellStyle name="Normal 2 5 3 3 2 3 4" xfId="24233" xr:uid="{00000000-0005-0000-0000-00002E4D0000}"/>
    <cellStyle name="Normal 2 5 3 3 2 4" xfId="5675" xr:uid="{00000000-0005-0000-0000-00002F4D0000}"/>
    <cellStyle name="Normal 2 5 3 3 2 4 2" xfId="14705" xr:uid="{00000000-0005-0000-0000-0000304D0000}"/>
    <cellStyle name="Normal 2 5 3 3 2 4 2 2" xfId="34757" xr:uid="{00000000-0005-0000-0000-0000314D0000}"/>
    <cellStyle name="Normal 2 5 3 3 2 4 3" xfId="25727" xr:uid="{00000000-0005-0000-0000-0000324D0000}"/>
    <cellStyle name="Normal 2 5 3 3 2 5" xfId="10223" xr:uid="{00000000-0005-0000-0000-0000334D0000}"/>
    <cellStyle name="Normal 2 5 3 3 2 5 2" xfId="30275" xr:uid="{00000000-0005-0000-0000-0000344D0000}"/>
    <cellStyle name="Normal 2 5 3 3 2 6" xfId="21245" xr:uid="{00000000-0005-0000-0000-0000354D0000}"/>
    <cellStyle name="Normal 2 5 3 3 3" xfId="1940" xr:uid="{00000000-0005-0000-0000-0000364D0000}"/>
    <cellStyle name="Normal 2 5 3 3 3 2" xfId="6422" xr:uid="{00000000-0005-0000-0000-0000374D0000}"/>
    <cellStyle name="Normal 2 5 3 3 3 2 2" xfId="15452" xr:uid="{00000000-0005-0000-0000-0000384D0000}"/>
    <cellStyle name="Normal 2 5 3 3 3 2 2 2" xfId="35504" xr:uid="{00000000-0005-0000-0000-0000394D0000}"/>
    <cellStyle name="Normal 2 5 3 3 3 2 3" xfId="26474" xr:uid="{00000000-0005-0000-0000-00003A4D0000}"/>
    <cellStyle name="Normal 2 5 3 3 3 3" xfId="10970" xr:uid="{00000000-0005-0000-0000-00003B4D0000}"/>
    <cellStyle name="Normal 2 5 3 3 3 3 2" xfId="31022" xr:uid="{00000000-0005-0000-0000-00003C4D0000}"/>
    <cellStyle name="Normal 2 5 3 3 3 4" xfId="21992" xr:uid="{00000000-0005-0000-0000-00003D4D0000}"/>
    <cellStyle name="Normal 2 5 3 3 4" xfId="3434" xr:uid="{00000000-0005-0000-0000-00003E4D0000}"/>
    <cellStyle name="Normal 2 5 3 3 4 2" xfId="7916" xr:uid="{00000000-0005-0000-0000-00003F4D0000}"/>
    <cellStyle name="Normal 2 5 3 3 4 2 2" xfId="16946" xr:uid="{00000000-0005-0000-0000-0000404D0000}"/>
    <cellStyle name="Normal 2 5 3 3 4 2 2 2" xfId="36998" xr:uid="{00000000-0005-0000-0000-0000414D0000}"/>
    <cellStyle name="Normal 2 5 3 3 4 2 3" xfId="27968" xr:uid="{00000000-0005-0000-0000-0000424D0000}"/>
    <cellStyle name="Normal 2 5 3 3 4 3" xfId="12464" xr:uid="{00000000-0005-0000-0000-0000434D0000}"/>
    <cellStyle name="Normal 2 5 3 3 4 3 2" xfId="32516" xr:uid="{00000000-0005-0000-0000-0000444D0000}"/>
    <cellStyle name="Normal 2 5 3 3 4 4" xfId="23486" xr:uid="{00000000-0005-0000-0000-0000454D0000}"/>
    <cellStyle name="Normal 2 5 3 3 5" xfId="4928" xr:uid="{00000000-0005-0000-0000-0000464D0000}"/>
    <cellStyle name="Normal 2 5 3 3 5 2" xfId="13958" xr:uid="{00000000-0005-0000-0000-0000474D0000}"/>
    <cellStyle name="Normal 2 5 3 3 5 2 2" xfId="34010" xr:uid="{00000000-0005-0000-0000-0000484D0000}"/>
    <cellStyle name="Normal 2 5 3 3 5 3" xfId="24980" xr:uid="{00000000-0005-0000-0000-0000494D0000}"/>
    <cellStyle name="Normal 2 5 3 3 6" xfId="9476" xr:uid="{00000000-0005-0000-0000-00004A4D0000}"/>
    <cellStyle name="Normal 2 5 3 3 6 2" xfId="29528" xr:uid="{00000000-0005-0000-0000-00004B4D0000}"/>
    <cellStyle name="Normal 2 5 3 3 7" xfId="20498" xr:uid="{00000000-0005-0000-0000-00004C4D0000}"/>
    <cellStyle name="Normal 2 5 3 4" xfId="632" xr:uid="{00000000-0005-0000-0000-00004D4D0000}"/>
    <cellStyle name="Normal 2 5 3 4 2" xfId="1379" xr:uid="{00000000-0005-0000-0000-00004E4D0000}"/>
    <cellStyle name="Normal 2 5 3 4 2 2" xfId="2873" xr:uid="{00000000-0005-0000-0000-00004F4D0000}"/>
    <cellStyle name="Normal 2 5 3 4 2 2 2" xfId="7355" xr:uid="{00000000-0005-0000-0000-0000504D0000}"/>
    <cellStyle name="Normal 2 5 3 4 2 2 2 2" xfId="16385" xr:uid="{00000000-0005-0000-0000-0000514D0000}"/>
    <cellStyle name="Normal 2 5 3 4 2 2 2 2 2" xfId="36437" xr:uid="{00000000-0005-0000-0000-0000524D0000}"/>
    <cellStyle name="Normal 2 5 3 4 2 2 2 3" xfId="27407" xr:uid="{00000000-0005-0000-0000-0000534D0000}"/>
    <cellStyle name="Normal 2 5 3 4 2 2 3" xfId="11903" xr:uid="{00000000-0005-0000-0000-0000544D0000}"/>
    <cellStyle name="Normal 2 5 3 4 2 2 3 2" xfId="31955" xr:uid="{00000000-0005-0000-0000-0000554D0000}"/>
    <cellStyle name="Normal 2 5 3 4 2 2 4" xfId="22925" xr:uid="{00000000-0005-0000-0000-0000564D0000}"/>
    <cellStyle name="Normal 2 5 3 4 2 3" xfId="4367" xr:uid="{00000000-0005-0000-0000-0000574D0000}"/>
    <cellStyle name="Normal 2 5 3 4 2 3 2" xfId="8849" xr:uid="{00000000-0005-0000-0000-0000584D0000}"/>
    <cellStyle name="Normal 2 5 3 4 2 3 2 2" xfId="17879" xr:uid="{00000000-0005-0000-0000-0000594D0000}"/>
    <cellStyle name="Normal 2 5 3 4 2 3 2 2 2" xfId="37931" xr:uid="{00000000-0005-0000-0000-00005A4D0000}"/>
    <cellStyle name="Normal 2 5 3 4 2 3 2 3" xfId="28901" xr:uid="{00000000-0005-0000-0000-00005B4D0000}"/>
    <cellStyle name="Normal 2 5 3 4 2 3 3" xfId="13397" xr:uid="{00000000-0005-0000-0000-00005C4D0000}"/>
    <cellStyle name="Normal 2 5 3 4 2 3 3 2" xfId="33449" xr:uid="{00000000-0005-0000-0000-00005D4D0000}"/>
    <cellStyle name="Normal 2 5 3 4 2 3 4" xfId="24419" xr:uid="{00000000-0005-0000-0000-00005E4D0000}"/>
    <cellStyle name="Normal 2 5 3 4 2 4" xfId="5861" xr:uid="{00000000-0005-0000-0000-00005F4D0000}"/>
    <cellStyle name="Normal 2 5 3 4 2 4 2" xfId="14891" xr:uid="{00000000-0005-0000-0000-0000604D0000}"/>
    <cellStyle name="Normal 2 5 3 4 2 4 2 2" xfId="34943" xr:uid="{00000000-0005-0000-0000-0000614D0000}"/>
    <cellStyle name="Normal 2 5 3 4 2 4 3" xfId="25913" xr:uid="{00000000-0005-0000-0000-0000624D0000}"/>
    <cellStyle name="Normal 2 5 3 4 2 5" xfId="10409" xr:uid="{00000000-0005-0000-0000-0000634D0000}"/>
    <cellStyle name="Normal 2 5 3 4 2 5 2" xfId="30461" xr:uid="{00000000-0005-0000-0000-0000644D0000}"/>
    <cellStyle name="Normal 2 5 3 4 2 6" xfId="21431" xr:uid="{00000000-0005-0000-0000-0000654D0000}"/>
    <cellStyle name="Normal 2 5 3 4 3" xfId="2126" xr:uid="{00000000-0005-0000-0000-0000664D0000}"/>
    <cellStyle name="Normal 2 5 3 4 3 2" xfId="6608" xr:uid="{00000000-0005-0000-0000-0000674D0000}"/>
    <cellStyle name="Normal 2 5 3 4 3 2 2" xfId="15638" xr:uid="{00000000-0005-0000-0000-0000684D0000}"/>
    <cellStyle name="Normal 2 5 3 4 3 2 2 2" xfId="35690" xr:uid="{00000000-0005-0000-0000-0000694D0000}"/>
    <cellStyle name="Normal 2 5 3 4 3 2 3" xfId="26660" xr:uid="{00000000-0005-0000-0000-00006A4D0000}"/>
    <cellStyle name="Normal 2 5 3 4 3 3" xfId="11156" xr:uid="{00000000-0005-0000-0000-00006B4D0000}"/>
    <cellStyle name="Normal 2 5 3 4 3 3 2" xfId="31208" xr:uid="{00000000-0005-0000-0000-00006C4D0000}"/>
    <cellStyle name="Normal 2 5 3 4 3 4" xfId="22178" xr:uid="{00000000-0005-0000-0000-00006D4D0000}"/>
    <cellStyle name="Normal 2 5 3 4 4" xfId="3620" xr:uid="{00000000-0005-0000-0000-00006E4D0000}"/>
    <cellStyle name="Normal 2 5 3 4 4 2" xfId="8102" xr:uid="{00000000-0005-0000-0000-00006F4D0000}"/>
    <cellStyle name="Normal 2 5 3 4 4 2 2" xfId="17132" xr:uid="{00000000-0005-0000-0000-0000704D0000}"/>
    <cellStyle name="Normal 2 5 3 4 4 2 2 2" xfId="37184" xr:uid="{00000000-0005-0000-0000-0000714D0000}"/>
    <cellStyle name="Normal 2 5 3 4 4 2 3" xfId="28154" xr:uid="{00000000-0005-0000-0000-0000724D0000}"/>
    <cellStyle name="Normal 2 5 3 4 4 3" xfId="12650" xr:uid="{00000000-0005-0000-0000-0000734D0000}"/>
    <cellStyle name="Normal 2 5 3 4 4 3 2" xfId="32702" xr:uid="{00000000-0005-0000-0000-0000744D0000}"/>
    <cellStyle name="Normal 2 5 3 4 4 4" xfId="23672" xr:uid="{00000000-0005-0000-0000-0000754D0000}"/>
    <cellStyle name="Normal 2 5 3 4 5" xfId="5114" xr:uid="{00000000-0005-0000-0000-0000764D0000}"/>
    <cellStyle name="Normal 2 5 3 4 5 2" xfId="14144" xr:uid="{00000000-0005-0000-0000-0000774D0000}"/>
    <cellStyle name="Normal 2 5 3 4 5 2 2" xfId="34196" xr:uid="{00000000-0005-0000-0000-0000784D0000}"/>
    <cellStyle name="Normal 2 5 3 4 5 3" xfId="25166" xr:uid="{00000000-0005-0000-0000-0000794D0000}"/>
    <cellStyle name="Normal 2 5 3 4 6" xfId="9662" xr:uid="{00000000-0005-0000-0000-00007A4D0000}"/>
    <cellStyle name="Normal 2 5 3 4 6 2" xfId="29714" xr:uid="{00000000-0005-0000-0000-00007B4D0000}"/>
    <cellStyle name="Normal 2 5 3 4 7" xfId="20684" xr:uid="{00000000-0005-0000-0000-00007C4D0000}"/>
    <cellStyle name="Normal 2 5 3 5" xfId="819" xr:uid="{00000000-0005-0000-0000-00007D4D0000}"/>
    <cellStyle name="Normal 2 5 3 5 2" xfId="2313" xr:uid="{00000000-0005-0000-0000-00007E4D0000}"/>
    <cellStyle name="Normal 2 5 3 5 2 2" xfId="6795" xr:uid="{00000000-0005-0000-0000-00007F4D0000}"/>
    <cellStyle name="Normal 2 5 3 5 2 2 2" xfId="15825" xr:uid="{00000000-0005-0000-0000-0000804D0000}"/>
    <cellStyle name="Normal 2 5 3 5 2 2 2 2" xfId="35877" xr:uid="{00000000-0005-0000-0000-0000814D0000}"/>
    <cellStyle name="Normal 2 5 3 5 2 2 3" xfId="26847" xr:uid="{00000000-0005-0000-0000-0000824D0000}"/>
    <cellStyle name="Normal 2 5 3 5 2 3" xfId="11343" xr:uid="{00000000-0005-0000-0000-0000834D0000}"/>
    <cellStyle name="Normal 2 5 3 5 2 3 2" xfId="31395" xr:uid="{00000000-0005-0000-0000-0000844D0000}"/>
    <cellStyle name="Normal 2 5 3 5 2 4" xfId="22365" xr:uid="{00000000-0005-0000-0000-0000854D0000}"/>
    <cellStyle name="Normal 2 5 3 5 3" xfId="3807" xr:uid="{00000000-0005-0000-0000-0000864D0000}"/>
    <cellStyle name="Normal 2 5 3 5 3 2" xfId="8289" xr:uid="{00000000-0005-0000-0000-0000874D0000}"/>
    <cellStyle name="Normal 2 5 3 5 3 2 2" xfId="17319" xr:uid="{00000000-0005-0000-0000-0000884D0000}"/>
    <cellStyle name="Normal 2 5 3 5 3 2 2 2" xfId="37371" xr:uid="{00000000-0005-0000-0000-0000894D0000}"/>
    <cellStyle name="Normal 2 5 3 5 3 2 3" xfId="28341" xr:uid="{00000000-0005-0000-0000-00008A4D0000}"/>
    <cellStyle name="Normal 2 5 3 5 3 3" xfId="12837" xr:uid="{00000000-0005-0000-0000-00008B4D0000}"/>
    <cellStyle name="Normal 2 5 3 5 3 3 2" xfId="32889" xr:uid="{00000000-0005-0000-0000-00008C4D0000}"/>
    <cellStyle name="Normal 2 5 3 5 3 4" xfId="23859" xr:uid="{00000000-0005-0000-0000-00008D4D0000}"/>
    <cellStyle name="Normal 2 5 3 5 4" xfId="5301" xr:uid="{00000000-0005-0000-0000-00008E4D0000}"/>
    <cellStyle name="Normal 2 5 3 5 4 2" xfId="14331" xr:uid="{00000000-0005-0000-0000-00008F4D0000}"/>
    <cellStyle name="Normal 2 5 3 5 4 2 2" xfId="34383" xr:uid="{00000000-0005-0000-0000-0000904D0000}"/>
    <cellStyle name="Normal 2 5 3 5 4 3" xfId="25353" xr:uid="{00000000-0005-0000-0000-0000914D0000}"/>
    <cellStyle name="Normal 2 5 3 5 5" xfId="9849" xr:uid="{00000000-0005-0000-0000-0000924D0000}"/>
    <cellStyle name="Normal 2 5 3 5 5 2" xfId="29901" xr:uid="{00000000-0005-0000-0000-0000934D0000}"/>
    <cellStyle name="Normal 2 5 3 5 6" xfId="20871" xr:uid="{00000000-0005-0000-0000-0000944D0000}"/>
    <cellStyle name="Normal 2 5 3 6" xfId="1568" xr:uid="{00000000-0005-0000-0000-0000954D0000}"/>
    <cellStyle name="Normal 2 5 3 6 2" xfId="6050" xr:uid="{00000000-0005-0000-0000-0000964D0000}"/>
    <cellStyle name="Normal 2 5 3 6 2 2" xfId="15080" xr:uid="{00000000-0005-0000-0000-0000974D0000}"/>
    <cellStyle name="Normal 2 5 3 6 2 2 2" xfId="35132" xr:uid="{00000000-0005-0000-0000-0000984D0000}"/>
    <cellStyle name="Normal 2 5 3 6 2 3" xfId="26102" xr:uid="{00000000-0005-0000-0000-0000994D0000}"/>
    <cellStyle name="Normal 2 5 3 6 3" xfId="10598" xr:uid="{00000000-0005-0000-0000-00009A4D0000}"/>
    <cellStyle name="Normal 2 5 3 6 3 2" xfId="30650" xr:uid="{00000000-0005-0000-0000-00009B4D0000}"/>
    <cellStyle name="Normal 2 5 3 6 4" xfId="21620" xr:uid="{00000000-0005-0000-0000-00009C4D0000}"/>
    <cellStyle name="Normal 2 5 3 7" xfId="3062" xr:uid="{00000000-0005-0000-0000-00009D4D0000}"/>
    <cellStyle name="Normal 2 5 3 7 2" xfId="7544" xr:uid="{00000000-0005-0000-0000-00009E4D0000}"/>
    <cellStyle name="Normal 2 5 3 7 2 2" xfId="16574" xr:uid="{00000000-0005-0000-0000-00009F4D0000}"/>
    <cellStyle name="Normal 2 5 3 7 2 2 2" xfId="36626" xr:uid="{00000000-0005-0000-0000-0000A04D0000}"/>
    <cellStyle name="Normal 2 5 3 7 2 3" xfId="27596" xr:uid="{00000000-0005-0000-0000-0000A14D0000}"/>
    <cellStyle name="Normal 2 5 3 7 3" xfId="12092" xr:uid="{00000000-0005-0000-0000-0000A24D0000}"/>
    <cellStyle name="Normal 2 5 3 7 3 2" xfId="32144" xr:uid="{00000000-0005-0000-0000-0000A34D0000}"/>
    <cellStyle name="Normal 2 5 3 7 4" xfId="23114" xr:uid="{00000000-0005-0000-0000-0000A44D0000}"/>
    <cellStyle name="Normal 2 5 3 8" xfId="4556" xr:uid="{00000000-0005-0000-0000-0000A54D0000}"/>
    <cellStyle name="Normal 2 5 3 8 2" xfId="13586" xr:uid="{00000000-0005-0000-0000-0000A64D0000}"/>
    <cellStyle name="Normal 2 5 3 8 2 2" xfId="33638" xr:uid="{00000000-0005-0000-0000-0000A74D0000}"/>
    <cellStyle name="Normal 2 5 3 8 3" xfId="24608" xr:uid="{00000000-0005-0000-0000-0000A84D0000}"/>
    <cellStyle name="Normal 2 5 3 9" xfId="9104" xr:uid="{00000000-0005-0000-0000-0000A94D0000}"/>
    <cellStyle name="Normal 2 5 3 9 2" xfId="29156" xr:uid="{00000000-0005-0000-0000-0000AA4D0000}"/>
    <cellStyle name="Normal 2 5 4" xfId="98" xr:uid="{00000000-0005-0000-0000-0000AB4D0000}"/>
    <cellStyle name="Normal 2 5 4 10" xfId="20150" xr:uid="{00000000-0005-0000-0000-0000AC4D0000}"/>
    <cellStyle name="Normal 2 5 4 2" xfId="284" xr:uid="{00000000-0005-0000-0000-0000AD4D0000}"/>
    <cellStyle name="Normal 2 5 4 2 2" xfId="1028" xr:uid="{00000000-0005-0000-0000-0000AE4D0000}"/>
    <cellStyle name="Normal 2 5 4 2 2 2" xfId="2522" xr:uid="{00000000-0005-0000-0000-0000AF4D0000}"/>
    <cellStyle name="Normal 2 5 4 2 2 2 2" xfId="7004" xr:uid="{00000000-0005-0000-0000-0000B04D0000}"/>
    <cellStyle name="Normal 2 5 4 2 2 2 2 2" xfId="16034" xr:uid="{00000000-0005-0000-0000-0000B14D0000}"/>
    <cellStyle name="Normal 2 5 4 2 2 2 2 2 2" xfId="36086" xr:uid="{00000000-0005-0000-0000-0000B24D0000}"/>
    <cellStyle name="Normal 2 5 4 2 2 2 2 3" xfId="27056" xr:uid="{00000000-0005-0000-0000-0000B34D0000}"/>
    <cellStyle name="Normal 2 5 4 2 2 2 3" xfId="11552" xr:uid="{00000000-0005-0000-0000-0000B44D0000}"/>
    <cellStyle name="Normal 2 5 4 2 2 2 3 2" xfId="31604" xr:uid="{00000000-0005-0000-0000-0000B54D0000}"/>
    <cellStyle name="Normal 2 5 4 2 2 2 4" xfId="22574" xr:uid="{00000000-0005-0000-0000-0000B64D0000}"/>
    <cellStyle name="Normal 2 5 4 2 2 3" xfId="4016" xr:uid="{00000000-0005-0000-0000-0000B74D0000}"/>
    <cellStyle name="Normal 2 5 4 2 2 3 2" xfId="8498" xr:uid="{00000000-0005-0000-0000-0000B84D0000}"/>
    <cellStyle name="Normal 2 5 4 2 2 3 2 2" xfId="17528" xr:uid="{00000000-0005-0000-0000-0000B94D0000}"/>
    <cellStyle name="Normal 2 5 4 2 2 3 2 2 2" xfId="37580" xr:uid="{00000000-0005-0000-0000-0000BA4D0000}"/>
    <cellStyle name="Normal 2 5 4 2 2 3 2 3" xfId="28550" xr:uid="{00000000-0005-0000-0000-0000BB4D0000}"/>
    <cellStyle name="Normal 2 5 4 2 2 3 3" xfId="13046" xr:uid="{00000000-0005-0000-0000-0000BC4D0000}"/>
    <cellStyle name="Normal 2 5 4 2 2 3 3 2" xfId="33098" xr:uid="{00000000-0005-0000-0000-0000BD4D0000}"/>
    <cellStyle name="Normal 2 5 4 2 2 3 4" xfId="24068" xr:uid="{00000000-0005-0000-0000-0000BE4D0000}"/>
    <cellStyle name="Normal 2 5 4 2 2 4" xfId="5510" xr:uid="{00000000-0005-0000-0000-0000BF4D0000}"/>
    <cellStyle name="Normal 2 5 4 2 2 4 2" xfId="14540" xr:uid="{00000000-0005-0000-0000-0000C04D0000}"/>
    <cellStyle name="Normal 2 5 4 2 2 4 2 2" xfId="34592" xr:uid="{00000000-0005-0000-0000-0000C14D0000}"/>
    <cellStyle name="Normal 2 5 4 2 2 4 3" xfId="25562" xr:uid="{00000000-0005-0000-0000-0000C24D0000}"/>
    <cellStyle name="Normal 2 5 4 2 2 5" xfId="10058" xr:uid="{00000000-0005-0000-0000-0000C34D0000}"/>
    <cellStyle name="Normal 2 5 4 2 2 5 2" xfId="30110" xr:uid="{00000000-0005-0000-0000-0000C44D0000}"/>
    <cellStyle name="Normal 2 5 4 2 2 6" xfId="21080" xr:uid="{00000000-0005-0000-0000-0000C54D0000}"/>
    <cellStyle name="Normal 2 5 4 2 3" xfId="1778" xr:uid="{00000000-0005-0000-0000-0000C64D0000}"/>
    <cellStyle name="Normal 2 5 4 2 3 2" xfId="6260" xr:uid="{00000000-0005-0000-0000-0000C74D0000}"/>
    <cellStyle name="Normal 2 5 4 2 3 2 2" xfId="15290" xr:uid="{00000000-0005-0000-0000-0000C84D0000}"/>
    <cellStyle name="Normal 2 5 4 2 3 2 2 2" xfId="35342" xr:uid="{00000000-0005-0000-0000-0000C94D0000}"/>
    <cellStyle name="Normal 2 5 4 2 3 2 3" xfId="26312" xr:uid="{00000000-0005-0000-0000-0000CA4D0000}"/>
    <cellStyle name="Normal 2 5 4 2 3 3" xfId="10808" xr:uid="{00000000-0005-0000-0000-0000CB4D0000}"/>
    <cellStyle name="Normal 2 5 4 2 3 3 2" xfId="30860" xr:uid="{00000000-0005-0000-0000-0000CC4D0000}"/>
    <cellStyle name="Normal 2 5 4 2 3 4" xfId="21830" xr:uid="{00000000-0005-0000-0000-0000CD4D0000}"/>
    <cellStyle name="Normal 2 5 4 2 4" xfId="3272" xr:uid="{00000000-0005-0000-0000-0000CE4D0000}"/>
    <cellStyle name="Normal 2 5 4 2 4 2" xfId="7754" xr:uid="{00000000-0005-0000-0000-0000CF4D0000}"/>
    <cellStyle name="Normal 2 5 4 2 4 2 2" xfId="16784" xr:uid="{00000000-0005-0000-0000-0000D04D0000}"/>
    <cellStyle name="Normal 2 5 4 2 4 2 2 2" xfId="36836" xr:uid="{00000000-0005-0000-0000-0000D14D0000}"/>
    <cellStyle name="Normal 2 5 4 2 4 2 3" xfId="27806" xr:uid="{00000000-0005-0000-0000-0000D24D0000}"/>
    <cellStyle name="Normal 2 5 4 2 4 3" xfId="12302" xr:uid="{00000000-0005-0000-0000-0000D34D0000}"/>
    <cellStyle name="Normal 2 5 4 2 4 3 2" xfId="32354" xr:uid="{00000000-0005-0000-0000-0000D44D0000}"/>
    <cellStyle name="Normal 2 5 4 2 4 4" xfId="23324" xr:uid="{00000000-0005-0000-0000-0000D54D0000}"/>
    <cellStyle name="Normal 2 5 4 2 5" xfId="4766" xr:uid="{00000000-0005-0000-0000-0000D64D0000}"/>
    <cellStyle name="Normal 2 5 4 2 5 2" xfId="13796" xr:uid="{00000000-0005-0000-0000-0000D74D0000}"/>
    <cellStyle name="Normal 2 5 4 2 5 2 2" xfId="33848" xr:uid="{00000000-0005-0000-0000-0000D84D0000}"/>
    <cellStyle name="Normal 2 5 4 2 5 3" xfId="24818" xr:uid="{00000000-0005-0000-0000-0000D94D0000}"/>
    <cellStyle name="Normal 2 5 4 2 6" xfId="9314" xr:uid="{00000000-0005-0000-0000-0000DA4D0000}"/>
    <cellStyle name="Normal 2 5 4 2 6 2" xfId="29366" xr:uid="{00000000-0005-0000-0000-0000DB4D0000}"/>
    <cellStyle name="Normal 2 5 4 2 7" xfId="20336" xr:uid="{00000000-0005-0000-0000-0000DC4D0000}"/>
    <cellStyle name="Normal 2 5 4 3" xfId="470" xr:uid="{00000000-0005-0000-0000-0000DD4D0000}"/>
    <cellStyle name="Normal 2 5 4 3 2" xfId="1217" xr:uid="{00000000-0005-0000-0000-0000DE4D0000}"/>
    <cellStyle name="Normal 2 5 4 3 2 2" xfId="2711" xr:uid="{00000000-0005-0000-0000-0000DF4D0000}"/>
    <cellStyle name="Normal 2 5 4 3 2 2 2" xfId="7193" xr:uid="{00000000-0005-0000-0000-0000E04D0000}"/>
    <cellStyle name="Normal 2 5 4 3 2 2 2 2" xfId="16223" xr:uid="{00000000-0005-0000-0000-0000E14D0000}"/>
    <cellStyle name="Normal 2 5 4 3 2 2 2 2 2" xfId="36275" xr:uid="{00000000-0005-0000-0000-0000E24D0000}"/>
    <cellStyle name="Normal 2 5 4 3 2 2 2 3" xfId="27245" xr:uid="{00000000-0005-0000-0000-0000E34D0000}"/>
    <cellStyle name="Normal 2 5 4 3 2 2 3" xfId="11741" xr:uid="{00000000-0005-0000-0000-0000E44D0000}"/>
    <cellStyle name="Normal 2 5 4 3 2 2 3 2" xfId="31793" xr:uid="{00000000-0005-0000-0000-0000E54D0000}"/>
    <cellStyle name="Normal 2 5 4 3 2 2 4" xfId="22763" xr:uid="{00000000-0005-0000-0000-0000E64D0000}"/>
    <cellStyle name="Normal 2 5 4 3 2 3" xfId="4205" xr:uid="{00000000-0005-0000-0000-0000E74D0000}"/>
    <cellStyle name="Normal 2 5 4 3 2 3 2" xfId="8687" xr:uid="{00000000-0005-0000-0000-0000E84D0000}"/>
    <cellStyle name="Normal 2 5 4 3 2 3 2 2" xfId="17717" xr:uid="{00000000-0005-0000-0000-0000E94D0000}"/>
    <cellStyle name="Normal 2 5 4 3 2 3 2 2 2" xfId="37769" xr:uid="{00000000-0005-0000-0000-0000EA4D0000}"/>
    <cellStyle name="Normal 2 5 4 3 2 3 2 3" xfId="28739" xr:uid="{00000000-0005-0000-0000-0000EB4D0000}"/>
    <cellStyle name="Normal 2 5 4 3 2 3 3" xfId="13235" xr:uid="{00000000-0005-0000-0000-0000EC4D0000}"/>
    <cellStyle name="Normal 2 5 4 3 2 3 3 2" xfId="33287" xr:uid="{00000000-0005-0000-0000-0000ED4D0000}"/>
    <cellStyle name="Normal 2 5 4 3 2 3 4" xfId="24257" xr:uid="{00000000-0005-0000-0000-0000EE4D0000}"/>
    <cellStyle name="Normal 2 5 4 3 2 4" xfId="5699" xr:uid="{00000000-0005-0000-0000-0000EF4D0000}"/>
    <cellStyle name="Normal 2 5 4 3 2 4 2" xfId="14729" xr:uid="{00000000-0005-0000-0000-0000F04D0000}"/>
    <cellStyle name="Normal 2 5 4 3 2 4 2 2" xfId="34781" xr:uid="{00000000-0005-0000-0000-0000F14D0000}"/>
    <cellStyle name="Normal 2 5 4 3 2 4 3" xfId="25751" xr:uid="{00000000-0005-0000-0000-0000F24D0000}"/>
    <cellStyle name="Normal 2 5 4 3 2 5" xfId="10247" xr:uid="{00000000-0005-0000-0000-0000F34D0000}"/>
    <cellStyle name="Normal 2 5 4 3 2 5 2" xfId="30299" xr:uid="{00000000-0005-0000-0000-0000F44D0000}"/>
    <cellStyle name="Normal 2 5 4 3 2 6" xfId="21269" xr:uid="{00000000-0005-0000-0000-0000F54D0000}"/>
    <cellStyle name="Normal 2 5 4 3 3" xfId="1964" xr:uid="{00000000-0005-0000-0000-0000F64D0000}"/>
    <cellStyle name="Normal 2 5 4 3 3 2" xfId="6446" xr:uid="{00000000-0005-0000-0000-0000F74D0000}"/>
    <cellStyle name="Normal 2 5 4 3 3 2 2" xfId="15476" xr:uid="{00000000-0005-0000-0000-0000F84D0000}"/>
    <cellStyle name="Normal 2 5 4 3 3 2 2 2" xfId="35528" xr:uid="{00000000-0005-0000-0000-0000F94D0000}"/>
    <cellStyle name="Normal 2 5 4 3 3 2 3" xfId="26498" xr:uid="{00000000-0005-0000-0000-0000FA4D0000}"/>
    <cellStyle name="Normal 2 5 4 3 3 3" xfId="10994" xr:uid="{00000000-0005-0000-0000-0000FB4D0000}"/>
    <cellStyle name="Normal 2 5 4 3 3 3 2" xfId="31046" xr:uid="{00000000-0005-0000-0000-0000FC4D0000}"/>
    <cellStyle name="Normal 2 5 4 3 3 4" xfId="22016" xr:uid="{00000000-0005-0000-0000-0000FD4D0000}"/>
    <cellStyle name="Normal 2 5 4 3 4" xfId="3458" xr:uid="{00000000-0005-0000-0000-0000FE4D0000}"/>
    <cellStyle name="Normal 2 5 4 3 4 2" xfId="7940" xr:uid="{00000000-0005-0000-0000-0000FF4D0000}"/>
    <cellStyle name="Normal 2 5 4 3 4 2 2" xfId="16970" xr:uid="{00000000-0005-0000-0000-0000004E0000}"/>
    <cellStyle name="Normal 2 5 4 3 4 2 2 2" xfId="37022" xr:uid="{00000000-0005-0000-0000-0000014E0000}"/>
    <cellStyle name="Normal 2 5 4 3 4 2 3" xfId="27992" xr:uid="{00000000-0005-0000-0000-0000024E0000}"/>
    <cellStyle name="Normal 2 5 4 3 4 3" xfId="12488" xr:uid="{00000000-0005-0000-0000-0000034E0000}"/>
    <cellStyle name="Normal 2 5 4 3 4 3 2" xfId="32540" xr:uid="{00000000-0005-0000-0000-0000044E0000}"/>
    <cellStyle name="Normal 2 5 4 3 4 4" xfId="23510" xr:uid="{00000000-0005-0000-0000-0000054E0000}"/>
    <cellStyle name="Normal 2 5 4 3 5" xfId="4952" xr:uid="{00000000-0005-0000-0000-0000064E0000}"/>
    <cellStyle name="Normal 2 5 4 3 5 2" xfId="13982" xr:uid="{00000000-0005-0000-0000-0000074E0000}"/>
    <cellStyle name="Normal 2 5 4 3 5 2 2" xfId="34034" xr:uid="{00000000-0005-0000-0000-0000084E0000}"/>
    <cellStyle name="Normal 2 5 4 3 5 3" xfId="25004" xr:uid="{00000000-0005-0000-0000-0000094E0000}"/>
    <cellStyle name="Normal 2 5 4 3 6" xfId="9500" xr:uid="{00000000-0005-0000-0000-00000A4E0000}"/>
    <cellStyle name="Normal 2 5 4 3 6 2" xfId="29552" xr:uid="{00000000-0005-0000-0000-00000B4E0000}"/>
    <cellStyle name="Normal 2 5 4 3 7" xfId="20522" xr:uid="{00000000-0005-0000-0000-00000C4E0000}"/>
    <cellStyle name="Normal 2 5 4 4" xfId="656" xr:uid="{00000000-0005-0000-0000-00000D4E0000}"/>
    <cellStyle name="Normal 2 5 4 4 2" xfId="1403" xr:uid="{00000000-0005-0000-0000-00000E4E0000}"/>
    <cellStyle name="Normal 2 5 4 4 2 2" xfId="2897" xr:uid="{00000000-0005-0000-0000-00000F4E0000}"/>
    <cellStyle name="Normal 2 5 4 4 2 2 2" xfId="7379" xr:uid="{00000000-0005-0000-0000-0000104E0000}"/>
    <cellStyle name="Normal 2 5 4 4 2 2 2 2" xfId="16409" xr:uid="{00000000-0005-0000-0000-0000114E0000}"/>
    <cellStyle name="Normal 2 5 4 4 2 2 2 2 2" xfId="36461" xr:uid="{00000000-0005-0000-0000-0000124E0000}"/>
    <cellStyle name="Normal 2 5 4 4 2 2 2 3" xfId="27431" xr:uid="{00000000-0005-0000-0000-0000134E0000}"/>
    <cellStyle name="Normal 2 5 4 4 2 2 3" xfId="11927" xr:uid="{00000000-0005-0000-0000-0000144E0000}"/>
    <cellStyle name="Normal 2 5 4 4 2 2 3 2" xfId="31979" xr:uid="{00000000-0005-0000-0000-0000154E0000}"/>
    <cellStyle name="Normal 2 5 4 4 2 2 4" xfId="22949" xr:uid="{00000000-0005-0000-0000-0000164E0000}"/>
    <cellStyle name="Normal 2 5 4 4 2 3" xfId="4391" xr:uid="{00000000-0005-0000-0000-0000174E0000}"/>
    <cellStyle name="Normal 2 5 4 4 2 3 2" xfId="8873" xr:uid="{00000000-0005-0000-0000-0000184E0000}"/>
    <cellStyle name="Normal 2 5 4 4 2 3 2 2" xfId="17903" xr:uid="{00000000-0005-0000-0000-0000194E0000}"/>
    <cellStyle name="Normal 2 5 4 4 2 3 2 2 2" xfId="37955" xr:uid="{00000000-0005-0000-0000-00001A4E0000}"/>
    <cellStyle name="Normal 2 5 4 4 2 3 2 3" xfId="28925" xr:uid="{00000000-0005-0000-0000-00001B4E0000}"/>
    <cellStyle name="Normal 2 5 4 4 2 3 3" xfId="13421" xr:uid="{00000000-0005-0000-0000-00001C4E0000}"/>
    <cellStyle name="Normal 2 5 4 4 2 3 3 2" xfId="33473" xr:uid="{00000000-0005-0000-0000-00001D4E0000}"/>
    <cellStyle name="Normal 2 5 4 4 2 3 4" xfId="24443" xr:uid="{00000000-0005-0000-0000-00001E4E0000}"/>
    <cellStyle name="Normal 2 5 4 4 2 4" xfId="5885" xr:uid="{00000000-0005-0000-0000-00001F4E0000}"/>
    <cellStyle name="Normal 2 5 4 4 2 4 2" xfId="14915" xr:uid="{00000000-0005-0000-0000-0000204E0000}"/>
    <cellStyle name="Normal 2 5 4 4 2 4 2 2" xfId="34967" xr:uid="{00000000-0005-0000-0000-0000214E0000}"/>
    <cellStyle name="Normal 2 5 4 4 2 4 3" xfId="25937" xr:uid="{00000000-0005-0000-0000-0000224E0000}"/>
    <cellStyle name="Normal 2 5 4 4 2 5" xfId="10433" xr:uid="{00000000-0005-0000-0000-0000234E0000}"/>
    <cellStyle name="Normal 2 5 4 4 2 5 2" xfId="30485" xr:uid="{00000000-0005-0000-0000-0000244E0000}"/>
    <cellStyle name="Normal 2 5 4 4 2 6" xfId="21455" xr:uid="{00000000-0005-0000-0000-0000254E0000}"/>
    <cellStyle name="Normal 2 5 4 4 3" xfId="2150" xr:uid="{00000000-0005-0000-0000-0000264E0000}"/>
    <cellStyle name="Normal 2 5 4 4 3 2" xfId="6632" xr:uid="{00000000-0005-0000-0000-0000274E0000}"/>
    <cellStyle name="Normal 2 5 4 4 3 2 2" xfId="15662" xr:uid="{00000000-0005-0000-0000-0000284E0000}"/>
    <cellStyle name="Normal 2 5 4 4 3 2 2 2" xfId="35714" xr:uid="{00000000-0005-0000-0000-0000294E0000}"/>
    <cellStyle name="Normal 2 5 4 4 3 2 3" xfId="26684" xr:uid="{00000000-0005-0000-0000-00002A4E0000}"/>
    <cellStyle name="Normal 2 5 4 4 3 3" xfId="11180" xr:uid="{00000000-0005-0000-0000-00002B4E0000}"/>
    <cellStyle name="Normal 2 5 4 4 3 3 2" xfId="31232" xr:uid="{00000000-0005-0000-0000-00002C4E0000}"/>
    <cellStyle name="Normal 2 5 4 4 3 4" xfId="22202" xr:uid="{00000000-0005-0000-0000-00002D4E0000}"/>
    <cellStyle name="Normal 2 5 4 4 4" xfId="3644" xr:uid="{00000000-0005-0000-0000-00002E4E0000}"/>
    <cellStyle name="Normal 2 5 4 4 4 2" xfId="8126" xr:uid="{00000000-0005-0000-0000-00002F4E0000}"/>
    <cellStyle name="Normal 2 5 4 4 4 2 2" xfId="17156" xr:uid="{00000000-0005-0000-0000-0000304E0000}"/>
    <cellStyle name="Normal 2 5 4 4 4 2 2 2" xfId="37208" xr:uid="{00000000-0005-0000-0000-0000314E0000}"/>
    <cellStyle name="Normal 2 5 4 4 4 2 3" xfId="28178" xr:uid="{00000000-0005-0000-0000-0000324E0000}"/>
    <cellStyle name="Normal 2 5 4 4 4 3" xfId="12674" xr:uid="{00000000-0005-0000-0000-0000334E0000}"/>
    <cellStyle name="Normal 2 5 4 4 4 3 2" xfId="32726" xr:uid="{00000000-0005-0000-0000-0000344E0000}"/>
    <cellStyle name="Normal 2 5 4 4 4 4" xfId="23696" xr:uid="{00000000-0005-0000-0000-0000354E0000}"/>
    <cellStyle name="Normal 2 5 4 4 5" xfId="5138" xr:uid="{00000000-0005-0000-0000-0000364E0000}"/>
    <cellStyle name="Normal 2 5 4 4 5 2" xfId="14168" xr:uid="{00000000-0005-0000-0000-0000374E0000}"/>
    <cellStyle name="Normal 2 5 4 4 5 2 2" xfId="34220" xr:uid="{00000000-0005-0000-0000-0000384E0000}"/>
    <cellStyle name="Normal 2 5 4 4 5 3" xfId="25190" xr:uid="{00000000-0005-0000-0000-0000394E0000}"/>
    <cellStyle name="Normal 2 5 4 4 6" xfId="9686" xr:uid="{00000000-0005-0000-0000-00003A4E0000}"/>
    <cellStyle name="Normal 2 5 4 4 6 2" xfId="29738" xr:uid="{00000000-0005-0000-0000-00003B4E0000}"/>
    <cellStyle name="Normal 2 5 4 4 7" xfId="20708" xr:uid="{00000000-0005-0000-0000-00003C4E0000}"/>
    <cellStyle name="Normal 2 5 4 5" xfId="843" xr:uid="{00000000-0005-0000-0000-00003D4E0000}"/>
    <cellStyle name="Normal 2 5 4 5 2" xfId="2337" xr:uid="{00000000-0005-0000-0000-00003E4E0000}"/>
    <cellStyle name="Normal 2 5 4 5 2 2" xfId="6819" xr:uid="{00000000-0005-0000-0000-00003F4E0000}"/>
    <cellStyle name="Normal 2 5 4 5 2 2 2" xfId="15849" xr:uid="{00000000-0005-0000-0000-0000404E0000}"/>
    <cellStyle name="Normal 2 5 4 5 2 2 2 2" xfId="35901" xr:uid="{00000000-0005-0000-0000-0000414E0000}"/>
    <cellStyle name="Normal 2 5 4 5 2 2 3" xfId="26871" xr:uid="{00000000-0005-0000-0000-0000424E0000}"/>
    <cellStyle name="Normal 2 5 4 5 2 3" xfId="11367" xr:uid="{00000000-0005-0000-0000-0000434E0000}"/>
    <cellStyle name="Normal 2 5 4 5 2 3 2" xfId="31419" xr:uid="{00000000-0005-0000-0000-0000444E0000}"/>
    <cellStyle name="Normal 2 5 4 5 2 4" xfId="22389" xr:uid="{00000000-0005-0000-0000-0000454E0000}"/>
    <cellStyle name="Normal 2 5 4 5 3" xfId="3831" xr:uid="{00000000-0005-0000-0000-0000464E0000}"/>
    <cellStyle name="Normal 2 5 4 5 3 2" xfId="8313" xr:uid="{00000000-0005-0000-0000-0000474E0000}"/>
    <cellStyle name="Normal 2 5 4 5 3 2 2" xfId="17343" xr:uid="{00000000-0005-0000-0000-0000484E0000}"/>
    <cellStyle name="Normal 2 5 4 5 3 2 2 2" xfId="37395" xr:uid="{00000000-0005-0000-0000-0000494E0000}"/>
    <cellStyle name="Normal 2 5 4 5 3 2 3" xfId="28365" xr:uid="{00000000-0005-0000-0000-00004A4E0000}"/>
    <cellStyle name="Normal 2 5 4 5 3 3" xfId="12861" xr:uid="{00000000-0005-0000-0000-00004B4E0000}"/>
    <cellStyle name="Normal 2 5 4 5 3 3 2" xfId="32913" xr:uid="{00000000-0005-0000-0000-00004C4E0000}"/>
    <cellStyle name="Normal 2 5 4 5 3 4" xfId="23883" xr:uid="{00000000-0005-0000-0000-00004D4E0000}"/>
    <cellStyle name="Normal 2 5 4 5 4" xfId="5325" xr:uid="{00000000-0005-0000-0000-00004E4E0000}"/>
    <cellStyle name="Normal 2 5 4 5 4 2" xfId="14355" xr:uid="{00000000-0005-0000-0000-00004F4E0000}"/>
    <cellStyle name="Normal 2 5 4 5 4 2 2" xfId="34407" xr:uid="{00000000-0005-0000-0000-0000504E0000}"/>
    <cellStyle name="Normal 2 5 4 5 4 3" xfId="25377" xr:uid="{00000000-0005-0000-0000-0000514E0000}"/>
    <cellStyle name="Normal 2 5 4 5 5" xfId="9873" xr:uid="{00000000-0005-0000-0000-0000524E0000}"/>
    <cellStyle name="Normal 2 5 4 5 5 2" xfId="29925" xr:uid="{00000000-0005-0000-0000-0000534E0000}"/>
    <cellStyle name="Normal 2 5 4 5 6" xfId="20895" xr:uid="{00000000-0005-0000-0000-0000544E0000}"/>
    <cellStyle name="Normal 2 5 4 6" xfId="1592" xr:uid="{00000000-0005-0000-0000-0000554E0000}"/>
    <cellStyle name="Normal 2 5 4 6 2" xfId="6074" xr:uid="{00000000-0005-0000-0000-0000564E0000}"/>
    <cellStyle name="Normal 2 5 4 6 2 2" xfId="15104" xr:uid="{00000000-0005-0000-0000-0000574E0000}"/>
    <cellStyle name="Normal 2 5 4 6 2 2 2" xfId="35156" xr:uid="{00000000-0005-0000-0000-0000584E0000}"/>
    <cellStyle name="Normal 2 5 4 6 2 3" xfId="26126" xr:uid="{00000000-0005-0000-0000-0000594E0000}"/>
    <cellStyle name="Normal 2 5 4 6 3" xfId="10622" xr:uid="{00000000-0005-0000-0000-00005A4E0000}"/>
    <cellStyle name="Normal 2 5 4 6 3 2" xfId="30674" xr:uid="{00000000-0005-0000-0000-00005B4E0000}"/>
    <cellStyle name="Normal 2 5 4 6 4" xfId="21644" xr:uid="{00000000-0005-0000-0000-00005C4E0000}"/>
    <cellStyle name="Normal 2 5 4 7" xfId="3086" xr:uid="{00000000-0005-0000-0000-00005D4E0000}"/>
    <cellStyle name="Normal 2 5 4 7 2" xfId="7568" xr:uid="{00000000-0005-0000-0000-00005E4E0000}"/>
    <cellStyle name="Normal 2 5 4 7 2 2" xfId="16598" xr:uid="{00000000-0005-0000-0000-00005F4E0000}"/>
    <cellStyle name="Normal 2 5 4 7 2 2 2" xfId="36650" xr:uid="{00000000-0005-0000-0000-0000604E0000}"/>
    <cellStyle name="Normal 2 5 4 7 2 3" xfId="27620" xr:uid="{00000000-0005-0000-0000-0000614E0000}"/>
    <cellStyle name="Normal 2 5 4 7 3" xfId="12116" xr:uid="{00000000-0005-0000-0000-0000624E0000}"/>
    <cellStyle name="Normal 2 5 4 7 3 2" xfId="32168" xr:uid="{00000000-0005-0000-0000-0000634E0000}"/>
    <cellStyle name="Normal 2 5 4 7 4" xfId="23138" xr:uid="{00000000-0005-0000-0000-0000644E0000}"/>
    <cellStyle name="Normal 2 5 4 8" xfId="4580" xr:uid="{00000000-0005-0000-0000-0000654E0000}"/>
    <cellStyle name="Normal 2 5 4 8 2" xfId="13610" xr:uid="{00000000-0005-0000-0000-0000664E0000}"/>
    <cellStyle name="Normal 2 5 4 8 2 2" xfId="33662" xr:uid="{00000000-0005-0000-0000-0000674E0000}"/>
    <cellStyle name="Normal 2 5 4 8 3" xfId="24632" xr:uid="{00000000-0005-0000-0000-0000684E0000}"/>
    <cellStyle name="Normal 2 5 4 9" xfId="9128" xr:uid="{00000000-0005-0000-0000-0000694E0000}"/>
    <cellStyle name="Normal 2 5 4 9 2" xfId="29180" xr:uid="{00000000-0005-0000-0000-00006A4E0000}"/>
    <cellStyle name="Normal 2 5 5" xfId="112" xr:uid="{00000000-0005-0000-0000-00006B4E0000}"/>
    <cellStyle name="Normal 2 5 5 10" xfId="20164" xr:uid="{00000000-0005-0000-0000-00006C4E0000}"/>
    <cellStyle name="Normal 2 5 5 2" xfId="298" xr:uid="{00000000-0005-0000-0000-00006D4E0000}"/>
    <cellStyle name="Normal 2 5 5 2 2" xfId="1041" xr:uid="{00000000-0005-0000-0000-00006E4E0000}"/>
    <cellStyle name="Normal 2 5 5 2 2 2" xfId="2535" xr:uid="{00000000-0005-0000-0000-00006F4E0000}"/>
    <cellStyle name="Normal 2 5 5 2 2 2 2" xfId="7017" xr:uid="{00000000-0005-0000-0000-0000704E0000}"/>
    <cellStyle name="Normal 2 5 5 2 2 2 2 2" xfId="16047" xr:uid="{00000000-0005-0000-0000-0000714E0000}"/>
    <cellStyle name="Normal 2 5 5 2 2 2 2 2 2" xfId="36099" xr:uid="{00000000-0005-0000-0000-0000724E0000}"/>
    <cellStyle name="Normal 2 5 5 2 2 2 2 3" xfId="27069" xr:uid="{00000000-0005-0000-0000-0000734E0000}"/>
    <cellStyle name="Normal 2 5 5 2 2 2 3" xfId="11565" xr:uid="{00000000-0005-0000-0000-0000744E0000}"/>
    <cellStyle name="Normal 2 5 5 2 2 2 3 2" xfId="31617" xr:uid="{00000000-0005-0000-0000-0000754E0000}"/>
    <cellStyle name="Normal 2 5 5 2 2 2 4" xfId="22587" xr:uid="{00000000-0005-0000-0000-0000764E0000}"/>
    <cellStyle name="Normal 2 5 5 2 2 3" xfId="4029" xr:uid="{00000000-0005-0000-0000-0000774E0000}"/>
    <cellStyle name="Normal 2 5 5 2 2 3 2" xfId="8511" xr:uid="{00000000-0005-0000-0000-0000784E0000}"/>
    <cellStyle name="Normal 2 5 5 2 2 3 2 2" xfId="17541" xr:uid="{00000000-0005-0000-0000-0000794E0000}"/>
    <cellStyle name="Normal 2 5 5 2 2 3 2 2 2" xfId="37593" xr:uid="{00000000-0005-0000-0000-00007A4E0000}"/>
    <cellStyle name="Normal 2 5 5 2 2 3 2 3" xfId="28563" xr:uid="{00000000-0005-0000-0000-00007B4E0000}"/>
    <cellStyle name="Normal 2 5 5 2 2 3 3" xfId="13059" xr:uid="{00000000-0005-0000-0000-00007C4E0000}"/>
    <cellStyle name="Normal 2 5 5 2 2 3 3 2" xfId="33111" xr:uid="{00000000-0005-0000-0000-00007D4E0000}"/>
    <cellStyle name="Normal 2 5 5 2 2 3 4" xfId="24081" xr:uid="{00000000-0005-0000-0000-00007E4E0000}"/>
    <cellStyle name="Normal 2 5 5 2 2 4" xfId="5523" xr:uid="{00000000-0005-0000-0000-00007F4E0000}"/>
    <cellStyle name="Normal 2 5 5 2 2 4 2" xfId="14553" xr:uid="{00000000-0005-0000-0000-0000804E0000}"/>
    <cellStyle name="Normal 2 5 5 2 2 4 2 2" xfId="34605" xr:uid="{00000000-0005-0000-0000-0000814E0000}"/>
    <cellStyle name="Normal 2 5 5 2 2 4 3" xfId="25575" xr:uid="{00000000-0005-0000-0000-0000824E0000}"/>
    <cellStyle name="Normal 2 5 5 2 2 5" xfId="10071" xr:uid="{00000000-0005-0000-0000-0000834E0000}"/>
    <cellStyle name="Normal 2 5 5 2 2 5 2" xfId="30123" xr:uid="{00000000-0005-0000-0000-0000844E0000}"/>
    <cellStyle name="Normal 2 5 5 2 2 6" xfId="21093" xr:uid="{00000000-0005-0000-0000-0000854E0000}"/>
    <cellStyle name="Normal 2 5 5 2 3" xfId="1792" xr:uid="{00000000-0005-0000-0000-0000864E0000}"/>
    <cellStyle name="Normal 2 5 5 2 3 2" xfId="6274" xr:uid="{00000000-0005-0000-0000-0000874E0000}"/>
    <cellStyle name="Normal 2 5 5 2 3 2 2" xfId="15304" xr:uid="{00000000-0005-0000-0000-0000884E0000}"/>
    <cellStyle name="Normal 2 5 5 2 3 2 2 2" xfId="35356" xr:uid="{00000000-0005-0000-0000-0000894E0000}"/>
    <cellStyle name="Normal 2 5 5 2 3 2 3" xfId="26326" xr:uid="{00000000-0005-0000-0000-00008A4E0000}"/>
    <cellStyle name="Normal 2 5 5 2 3 3" xfId="10822" xr:uid="{00000000-0005-0000-0000-00008B4E0000}"/>
    <cellStyle name="Normal 2 5 5 2 3 3 2" xfId="30874" xr:uid="{00000000-0005-0000-0000-00008C4E0000}"/>
    <cellStyle name="Normal 2 5 5 2 3 4" xfId="21844" xr:uid="{00000000-0005-0000-0000-00008D4E0000}"/>
    <cellStyle name="Normal 2 5 5 2 4" xfId="3286" xr:uid="{00000000-0005-0000-0000-00008E4E0000}"/>
    <cellStyle name="Normal 2 5 5 2 4 2" xfId="7768" xr:uid="{00000000-0005-0000-0000-00008F4E0000}"/>
    <cellStyle name="Normal 2 5 5 2 4 2 2" xfId="16798" xr:uid="{00000000-0005-0000-0000-0000904E0000}"/>
    <cellStyle name="Normal 2 5 5 2 4 2 2 2" xfId="36850" xr:uid="{00000000-0005-0000-0000-0000914E0000}"/>
    <cellStyle name="Normal 2 5 5 2 4 2 3" xfId="27820" xr:uid="{00000000-0005-0000-0000-0000924E0000}"/>
    <cellStyle name="Normal 2 5 5 2 4 3" xfId="12316" xr:uid="{00000000-0005-0000-0000-0000934E0000}"/>
    <cellStyle name="Normal 2 5 5 2 4 3 2" xfId="32368" xr:uid="{00000000-0005-0000-0000-0000944E0000}"/>
    <cellStyle name="Normal 2 5 5 2 4 4" xfId="23338" xr:uid="{00000000-0005-0000-0000-0000954E0000}"/>
    <cellStyle name="Normal 2 5 5 2 5" xfId="4780" xr:uid="{00000000-0005-0000-0000-0000964E0000}"/>
    <cellStyle name="Normal 2 5 5 2 5 2" xfId="13810" xr:uid="{00000000-0005-0000-0000-0000974E0000}"/>
    <cellStyle name="Normal 2 5 5 2 5 2 2" xfId="33862" xr:uid="{00000000-0005-0000-0000-0000984E0000}"/>
    <cellStyle name="Normal 2 5 5 2 5 3" xfId="24832" xr:uid="{00000000-0005-0000-0000-0000994E0000}"/>
    <cellStyle name="Normal 2 5 5 2 6" xfId="9328" xr:uid="{00000000-0005-0000-0000-00009A4E0000}"/>
    <cellStyle name="Normal 2 5 5 2 6 2" xfId="29380" xr:uid="{00000000-0005-0000-0000-00009B4E0000}"/>
    <cellStyle name="Normal 2 5 5 2 7" xfId="20350" xr:uid="{00000000-0005-0000-0000-00009C4E0000}"/>
    <cellStyle name="Normal 2 5 5 3" xfId="484" xr:uid="{00000000-0005-0000-0000-00009D4E0000}"/>
    <cellStyle name="Normal 2 5 5 3 2" xfId="1231" xr:uid="{00000000-0005-0000-0000-00009E4E0000}"/>
    <cellStyle name="Normal 2 5 5 3 2 2" xfId="2725" xr:uid="{00000000-0005-0000-0000-00009F4E0000}"/>
    <cellStyle name="Normal 2 5 5 3 2 2 2" xfId="7207" xr:uid="{00000000-0005-0000-0000-0000A04E0000}"/>
    <cellStyle name="Normal 2 5 5 3 2 2 2 2" xfId="16237" xr:uid="{00000000-0005-0000-0000-0000A14E0000}"/>
    <cellStyle name="Normal 2 5 5 3 2 2 2 2 2" xfId="36289" xr:uid="{00000000-0005-0000-0000-0000A24E0000}"/>
    <cellStyle name="Normal 2 5 5 3 2 2 2 3" xfId="27259" xr:uid="{00000000-0005-0000-0000-0000A34E0000}"/>
    <cellStyle name="Normal 2 5 5 3 2 2 3" xfId="11755" xr:uid="{00000000-0005-0000-0000-0000A44E0000}"/>
    <cellStyle name="Normal 2 5 5 3 2 2 3 2" xfId="31807" xr:uid="{00000000-0005-0000-0000-0000A54E0000}"/>
    <cellStyle name="Normal 2 5 5 3 2 2 4" xfId="22777" xr:uid="{00000000-0005-0000-0000-0000A64E0000}"/>
    <cellStyle name="Normal 2 5 5 3 2 3" xfId="4219" xr:uid="{00000000-0005-0000-0000-0000A74E0000}"/>
    <cellStyle name="Normal 2 5 5 3 2 3 2" xfId="8701" xr:uid="{00000000-0005-0000-0000-0000A84E0000}"/>
    <cellStyle name="Normal 2 5 5 3 2 3 2 2" xfId="17731" xr:uid="{00000000-0005-0000-0000-0000A94E0000}"/>
    <cellStyle name="Normal 2 5 5 3 2 3 2 2 2" xfId="37783" xr:uid="{00000000-0005-0000-0000-0000AA4E0000}"/>
    <cellStyle name="Normal 2 5 5 3 2 3 2 3" xfId="28753" xr:uid="{00000000-0005-0000-0000-0000AB4E0000}"/>
    <cellStyle name="Normal 2 5 5 3 2 3 3" xfId="13249" xr:uid="{00000000-0005-0000-0000-0000AC4E0000}"/>
    <cellStyle name="Normal 2 5 5 3 2 3 3 2" xfId="33301" xr:uid="{00000000-0005-0000-0000-0000AD4E0000}"/>
    <cellStyle name="Normal 2 5 5 3 2 3 4" xfId="24271" xr:uid="{00000000-0005-0000-0000-0000AE4E0000}"/>
    <cellStyle name="Normal 2 5 5 3 2 4" xfId="5713" xr:uid="{00000000-0005-0000-0000-0000AF4E0000}"/>
    <cellStyle name="Normal 2 5 5 3 2 4 2" xfId="14743" xr:uid="{00000000-0005-0000-0000-0000B04E0000}"/>
    <cellStyle name="Normal 2 5 5 3 2 4 2 2" xfId="34795" xr:uid="{00000000-0005-0000-0000-0000B14E0000}"/>
    <cellStyle name="Normal 2 5 5 3 2 4 3" xfId="25765" xr:uid="{00000000-0005-0000-0000-0000B24E0000}"/>
    <cellStyle name="Normal 2 5 5 3 2 5" xfId="10261" xr:uid="{00000000-0005-0000-0000-0000B34E0000}"/>
    <cellStyle name="Normal 2 5 5 3 2 5 2" xfId="30313" xr:uid="{00000000-0005-0000-0000-0000B44E0000}"/>
    <cellStyle name="Normal 2 5 5 3 2 6" xfId="21283" xr:uid="{00000000-0005-0000-0000-0000B54E0000}"/>
    <cellStyle name="Normal 2 5 5 3 3" xfId="1978" xr:uid="{00000000-0005-0000-0000-0000B64E0000}"/>
    <cellStyle name="Normal 2 5 5 3 3 2" xfId="6460" xr:uid="{00000000-0005-0000-0000-0000B74E0000}"/>
    <cellStyle name="Normal 2 5 5 3 3 2 2" xfId="15490" xr:uid="{00000000-0005-0000-0000-0000B84E0000}"/>
    <cellStyle name="Normal 2 5 5 3 3 2 2 2" xfId="35542" xr:uid="{00000000-0005-0000-0000-0000B94E0000}"/>
    <cellStyle name="Normal 2 5 5 3 3 2 3" xfId="26512" xr:uid="{00000000-0005-0000-0000-0000BA4E0000}"/>
    <cellStyle name="Normal 2 5 5 3 3 3" xfId="11008" xr:uid="{00000000-0005-0000-0000-0000BB4E0000}"/>
    <cellStyle name="Normal 2 5 5 3 3 3 2" xfId="31060" xr:uid="{00000000-0005-0000-0000-0000BC4E0000}"/>
    <cellStyle name="Normal 2 5 5 3 3 4" xfId="22030" xr:uid="{00000000-0005-0000-0000-0000BD4E0000}"/>
    <cellStyle name="Normal 2 5 5 3 4" xfId="3472" xr:uid="{00000000-0005-0000-0000-0000BE4E0000}"/>
    <cellStyle name="Normal 2 5 5 3 4 2" xfId="7954" xr:uid="{00000000-0005-0000-0000-0000BF4E0000}"/>
    <cellStyle name="Normal 2 5 5 3 4 2 2" xfId="16984" xr:uid="{00000000-0005-0000-0000-0000C04E0000}"/>
    <cellStyle name="Normal 2 5 5 3 4 2 2 2" xfId="37036" xr:uid="{00000000-0005-0000-0000-0000C14E0000}"/>
    <cellStyle name="Normal 2 5 5 3 4 2 3" xfId="28006" xr:uid="{00000000-0005-0000-0000-0000C24E0000}"/>
    <cellStyle name="Normal 2 5 5 3 4 3" xfId="12502" xr:uid="{00000000-0005-0000-0000-0000C34E0000}"/>
    <cellStyle name="Normal 2 5 5 3 4 3 2" xfId="32554" xr:uid="{00000000-0005-0000-0000-0000C44E0000}"/>
    <cellStyle name="Normal 2 5 5 3 4 4" xfId="23524" xr:uid="{00000000-0005-0000-0000-0000C54E0000}"/>
    <cellStyle name="Normal 2 5 5 3 5" xfId="4966" xr:uid="{00000000-0005-0000-0000-0000C64E0000}"/>
    <cellStyle name="Normal 2 5 5 3 5 2" xfId="13996" xr:uid="{00000000-0005-0000-0000-0000C74E0000}"/>
    <cellStyle name="Normal 2 5 5 3 5 2 2" xfId="34048" xr:uid="{00000000-0005-0000-0000-0000C84E0000}"/>
    <cellStyle name="Normal 2 5 5 3 5 3" xfId="25018" xr:uid="{00000000-0005-0000-0000-0000C94E0000}"/>
    <cellStyle name="Normal 2 5 5 3 6" xfId="9514" xr:uid="{00000000-0005-0000-0000-0000CA4E0000}"/>
    <cellStyle name="Normal 2 5 5 3 6 2" xfId="29566" xr:uid="{00000000-0005-0000-0000-0000CB4E0000}"/>
    <cellStyle name="Normal 2 5 5 3 7" xfId="20536" xr:uid="{00000000-0005-0000-0000-0000CC4E0000}"/>
    <cellStyle name="Normal 2 5 5 4" xfId="670" xr:uid="{00000000-0005-0000-0000-0000CD4E0000}"/>
    <cellStyle name="Normal 2 5 5 4 2" xfId="1417" xr:uid="{00000000-0005-0000-0000-0000CE4E0000}"/>
    <cellStyle name="Normal 2 5 5 4 2 2" xfId="2911" xr:uid="{00000000-0005-0000-0000-0000CF4E0000}"/>
    <cellStyle name="Normal 2 5 5 4 2 2 2" xfId="7393" xr:uid="{00000000-0005-0000-0000-0000D04E0000}"/>
    <cellStyle name="Normal 2 5 5 4 2 2 2 2" xfId="16423" xr:uid="{00000000-0005-0000-0000-0000D14E0000}"/>
    <cellStyle name="Normal 2 5 5 4 2 2 2 2 2" xfId="36475" xr:uid="{00000000-0005-0000-0000-0000D24E0000}"/>
    <cellStyle name="Normal 2 5 5 4 2 2 2 3" xfId="27445" xr:uid="{00000000-0005-0000-0000-0000D34E0000}"/>
    <cellStyle name="Normal 2 5 5 4 2 2 3" xfId="11941" xr:uid="{00000000-0005-0000-0000-0000D44E0000}"/>
    <cellStyle name="Normal 2 5 5 4 2 2 3 2" xfId="31993" xr:uid="{00000000-0005-0000-0000-0000D54E0000}"/>
    <cellStyle name="Normal 2 5 5 4 2 2 4" xfId="22963" xr:uid="{00000000-0005-0000-0000-0000D64E0000}"/>
    <cellStyle name="Normal 2 5 5 4 2 3" xfId="4405" xr:uid="{00000000-0005-0000-0000-0000D74E0000}"/>
    <cellStyle name="Normal 2 5 5 4 2 3 2" xfId="8887" xr:uid="{00000000-0005-0000-0000-0000D84E0000}"/>
    <cellStyle name="Normal 2 5 5 4 2 3 2 2" xfId="17917" xr:uid="{00000000-0005-0000-0000-0000D94E0000}"/>
    <cellStyle name="Normal 2 5 5 4 2 3 2 2 2" xfId="37969" xr:uid="{00000000-0005-0000-0000-0000DA4E0000}"/>
    <cellStyle name="Normal 2 5 5 4 2 3 2 3" xfId="28939" xr:uid="{00000000-0005-0000-0000-0000DB4E0000}"/>
    <cellStyle name="Normal 2 5 5 4 2 3 3" xfId="13435" xr:uid="{00000000-0005-0000-0000-0000DC4E0000}"/>
    <cellStyle name="Normal 2 5 5 4 2 3 3 2" xfId="33487" xr:uid="{00000000-0005-0000-0000-0000DD4E0000}"/>
    <cellStyle name="Normal 2 5 5 4 2 3 4" xfId="24457" xr:uid="{00000000-0005-0000-0000-0000DE4E0000}"/>
    <cellStyle name="Normal 2 5 5 4 2 4" xfId="5899" xr:uid="{00000000-0005-0000-0000-0000DF4E0000}"/>
    <cellStyle name="Normal 2 5 5 4 2 4 2" xfId="14929" xr:uid="{00000000-0005-0000-0000-0000E04E0000}"/>
    <cellStyle name="Normal 2 5 5 4 2 4 2 2" xfId="34981" xr:uid="{00000000-0005-0000-0000-0000E14E0000}"/>
    <cellStyle name="Normal 2 5 5 4 2 4 3" xfId="25951" xr:uid="{00000000-0005-0000-0000-0000E24E0000}"/>
    <cellStyle name="Normal 2 5 5 4 2 5" xfId="10447" xr:uid="{00000000-0005-0000-0000-0000E34E0000}"/>
    <cellStyle name="Normal 2 5 5 4 2 5 2" xfId="30499" xr:uid="{00000000-0005-0000-0000-0000E44E0000}"/>
    <cellStyle name="Normal 2 5 5 4 2 6" xfId="21469" xr:uid="{00000000-0005-0000-0000-0000E54E0000}"/>
    <cellStyle name="Normal 2 5 5 4 3" xfId="2164" xr:uid="{00000000-0005-0000-0000-0000E64E0000}"/>
    <cellStyle name="Normal 2 5 5 4 3 2" xfId="6646" xr:uid="{00000000-0005-0000-0000-0000E74E0000}"/>
    <cellStyle name="Normal 2 5 5 4 3 2 2" xfId="15676" xr:uid="{00000000-0005-0000-0000-0000E84E0000}"/>
    <cellStyle name="Normal 2 5 5 4 3 2 2 2" xfId="35728" xr:uid="{00000000-0005-0000-0000-0000E94E0000}"/>
    <cellStyle name="Normal 2 5 5 4 3 2 3" xfId="26698" xr:uid="{00000000-0005-0000-0000-0000EA4E0000}"/>
    <cellStyle name="Normal 2 5 5 4 3 3" xfId="11194" xr:uid="{00000000-0005-0000-0000-0000EB4E0000}"/>
    <cellStyle name="Normal 2 5 5 4 3 3 2" xfId="31246" xr:uid="{00000000-0005-0000-0000-0000EC4E0000}"/>
    <cellStyle name="Normal 2 5 5 4 3 4" xfId="22216" xr:uid="{00000000-0005-0000-0000-0000ED4E0000}"/>
    <cellStyle name="Normal 2 5 5 4 4" xfId="3658" xr:uid="{00000000-0005-0000-0000-0000EE4E0000}"/>
    <cellStyle name="Normal 2 5 5 4 4 2" xfId="8140" xr:uid="{00000000-0005-0000-0000-0000EF4E0000}"/>
    <cellStyle name="Normal 2 5 5 4 4 2 2" xfId="17170" xr:uid="{00000000-0005-0000-0000-0000F04E0000}"/>
    <cellStyle name="Normal 2 5 5 4 4 2 2 2" xfId="37222" xr:uid="{00000000-0005-0000-0000-0000F14E0000}"/>
    <cellStyle name="Normal 2 5 5 4 4 2 3" xfId="28192" xr:uid="{00000000-0005-0000-0000-0000F24E0000}"/>
    <cellStyle name="Normal 2 5 5 4 4 3" xfId="12688" xr:uid="{00000000-0005-0000-0000-0000F34E0000}"/>
    <cellStyle name="Normal 2 5 5 4 4 3 2" xfId="32740" xr:uid="{00000000-0005-0000-0000-0000F44E0000}"/>
    <cellStyle name="Normal 2 5 5 4 4 4" xfId="23710" xr:uid="{00000000-0005-0000-0000-0000F54E0000}"/>
    <cellStyle name="Normal 2 5 5 4 5" xfId="5152" xr:uid="{00000000-0005-0000-0000-0000F64E0000}"/>
    <cellStyle name="Normal 2 5 5 4 5 2" xfId="14182" xr:uid="{00000000-0005-0000-0000-0000F74E0000}"/>
    <cellStyle name="Normal 2 5 5 4 5 2 2" xfId="34234" xr:uid="{00000000-0005-0000-0000-0000F84E0000}"/>
    <cellStyle name="Normal 2 5 5 4 5 3" xfId="25204" xr:uid="{00000000-0005-0000-0000-0000F94E0000}"/>
    <cellStyle name="Normal 2 5 5 4 6" xfId="9700" xr:uid="{00000000-0005-0000-0000-0000FA4E0000}"/>
    <cellStyle name="Normal 2 5 5 4 6 2" xfId="29752" xr:uid="{00000000-0005-0000-0000-0000FB4E0000}"/>
    <cellStyle name="Normal 2 5 5 4 7" xfId="20722" xr:uid="{00000000-0005-0000-0000-0000FC4E0000}"/>
    <cellStyle name="Normal 2 5 5 5" xfId="857" xr:uid="{00000000-0005-0000-0000-0000FD4E0000}"/>
    <cellStyle name="Normal 2 5 5 5 2" xfId="2351" xr:uid="{00000000-0005-0000-0000-0000FE4E0000}"/>
    <cellStyle name="Normal 2 5 5 5 2 2" xfId="6833" xr:uid="{00000000-0005-0000-0000-0000FF4E0000}"/>
    <cellStyle name="Normal 2 5 5 5 2 2 2" xfId="15863" xr:uid="{00000000-0005-0000-0000-0000004F0000}"/>
    <cellStyle name="Normal 2 5 5 5 2 2 2 2" xfId="35915" xr:uid="{00000000-0005-0000-0000-0000014F0000}"/>
    <cellStyle name="Normal 2 5 5 5 2 2 3" xfId="26885" xr:uid="{00000000-0005-0000-0000-0000024F0000}"/>
    <cellStyle name="Normal 2 5 5 5 2 3" xfId="11381" xr:uid="{00000000-0005-0000-0000-0000034F0000}"/>
    <cellStyle name="Normal 2 5 5 5 2 3 2" xfId="31433" xr:uid="{00000000-0005-0000-0000-0000044F0000}"/>
    <cellStyle name="Normal 2 5 5 5 2 4" xfId="22403" xr:uid="{00000000-0005-0000-0000-0000054F0000}"/>
    <cellStyle name="Normal 2 5 5 5 3" xfId="3845" xr:uid="{00000000-0005-0000-0000-0000064F0000}"/>
    <cellStyle name="Normal 2 5 5 5 3 2" xfId="8327" xr:uid="{00000000-0005-0000-0000-0000074F0000}"/>
    <cellStyle name="Normal 2 5 5 5 3 2 2" xfId="17357" xr:uid="{00000000-0005-0000-0000-0000084F0000}"/>
    <cellStyle name="Normal 2 5 5 5 3 2 2 2" xfId="37409" xr:uid="{00000000-0005-0000-0000-0000094F0000}"/>
    <cellStyle name="Normal 2 5 5 5 3 2 3" xfId="28379" xr:uid="{00000000-0005-0000-0000-00000A4F0000}"/>
    <cellStyle name="Normal 2 5 5 5 3 3" xfId="12875" xr:uid="{00000000-0005-0000-0000-00000B4F0000}"/>
    <cellStyle name="Normal 2 5 5 5 3 3 2" xfId="32927" xr:uid="{00000000-0005-0000-0000-00000C4F0000}"/>
    <cellStyle name="Normal 2 5 5 5 3 4" xfId="23897" xr:uid="{00000000-0005-0000-0000-00000D4F0000}"/>
    <cellStyle name="Normal 2 5 5 5 4" xfId="5339" xr:uid="{00000000-0005-0000-0000-00000E4F0000}"/>
    <cellStyle name="Normal 2 5 5 5 4 2" xfId="14369" xr:uid="{00000000-0005-0000-0000-00000F4F0000}"/>
    <cellStyle name="Normal 2 5 5 5 4 2 2" xfId="34421" xr:uid="{00000000-0005-0000-0000-0000104F0000}"/>
    <cellStyle name="Normal 2 5 5 5 4 3" xfId="25391" xr:uid="{00000000-0005-0000-0000-0000114F0000}"/>
    <cellStyle name="Normal 2 5 5 5 5" xfId="9887" xr:uid="{00000000-0005-0000-0000-0000124F0000}"/>
    <cellStyle name="Normal 2 5 5 5 5 2" xfId="29939" xr:uid="{00000000-0005-0000-0000-0000134F0000}"/>
    <cellStyle name="Normal 2 5 5 5 6" xfId="20909" xr:uid="{00000000-0005-0000-0000-0000144F0000}"/>
    <cellStyle name="Normal 2 5 5 6" xfId="1606" xr:uid="{00000000-0005-0000-0000-0000154F0000}"/>
    <cellStyle name="Normal 2 5 5 6 2" xfId="6088" xr:uid="{00000000-0005-0000-0000-0000164F0000}"/>
    <cellStyle name="Normal 2 5 5 6 2 2" xfId="15118" xr:uid="{00000000-0005-0000-0000-0000174F0000}"/>
    <cellStyle name="Normal 2 5 5 6 2 2 2" xfId="35170" xr:uid="{00000000-0005-0000-0000-0000184F0000}"/>
    <cellStyle name="Normal 2 5 5 6 2 3" xfId="26140" xr:uid="{00000000-0005-0000-0000-0000194F0000}"/>
    <cellStyle name="Normal 2 5 5 6 3" xfId="10636" xr:uid="{00000000-0005-0000-0000-00001A4F0000}"/>
    <cellStyle name="Normal 2 5 5 6 3 2" xfId="30688" xr:uid="{00000000-0005-0000-0000-00001B4F0000}"/>
    <cellStyle name="Normal 2 5 5 6 4" xfId="21658" xr:uid="{00000000-0005-0000-0000-00001C4F0000}"/>
    <cellStyle name="Normal 2 5 5 7" xfId="3100" xr:uid="{00000000-0005-0000-0000-00001D4F0000}"/>
    <cellStyle name="Normal 2 5 5 7 2" xfId="7582" xr:uid="{00000000-0005-0000-0000-00001E4F0000}"/>
    <cellStyle name="Normal 2 5 5 7 2 2" xfId="16612" xr:uid="{00000000-0005-0000-0000-00001F4F0000}"/>
    <cellStyle name="Normal 2 5 5 7 2 2 2" xfId="36664" xr:uid="{00000000-0005-0000-0000-0000204F0000}"/>
    <cellStyle name="Normal 2 5 5 7 2 3" xfId="27634" xr:uid="{00000000-0005-0000-0000-0000214F0000}"/>
    <cellStyle name="Normal 2 5 5 7 3" xfId="12130" xr:uid="{00000000-0005-0000-0000-0000224F0000}"/>
    <cellStyle name="Normal 2 5 5 7 3 2" xfId="32182" xr:uid="{00000000-0005-0000-0000-0000234F0000}"/>
    <cellStyle name="Normal 2 5 5 7 4" xfId="23152" xr:uid="{00000000-0005-0000-0000-0000244F0000}"/>
    <cellStyle name="Normal 2 5 5 8" xfId="4594" xr:uid="{00000000-0005-0000-0000-0000254F0000}"/>
    <cellStyle name="Normal 2 5 5 8 2" xfId="13624" xr:uid="{00000000-0005-0000-0000-0000264F0000}"/>
    <cellStyle name="Normal 2 5 5 8 2 2" xfId="33676" xr:uid="{00000000-0005-0000-0000-0000274F0000}"/>
    <cellStyle name="Normal 2 5 5 8 3" xfId="24646" xr:uid="{00000000-0005-0000-0000-0000284F0000}"/>
    <cellStyle name="Normal 2 5 5 9" xfId="9142" xr:uid="{00000000-0005-0000-0000-0000294F0000}"/>
    <cellStyle name="Normal 2 5 5 9 2" xfId="29194" xr:uid="{00000000-0005-0000-0000-00002A4F0000}"/>
    <cellStyle name="Normal 2 5 6" xfId="145" xr:uid="{00000000-0005-0000-0000-00002B4F0000}"/>
    <cellStyle name="Normal 2 5 6 10" xfId="20197" xr:uid="{00000000-0005-0000-0000-00002C4F0000}"/>
    <cellStyle name="Normal 2 5 6 2" xfId="331" xr:uid="{00000000-0005-0000-0000-00002D4F0000}"/>
    <cellStyle name="Normal 2 5 6 2 2" xfId="1074" xr:uid="{00000000-0005-0000-0000-00002E4F0000}"/>
    <cellStyle name="Normal 2 5 6 2 2 2" xfId="2568" xr:uid="{00000000-0005-0000-0000-00002F4F0000}"/>
    <cellStyle name="Normal 2 5 6 2 2 2 2" xfId="7050" xr:uid="{00000000-0005-0000-0000-0000304F0000}"/>
    <cellStyle name="Normal 2 5 6 2 2 2 2 2" xfId="16080" xr:uid="{00000000-0005-0000-0000-0000314F0000}"/>
    <cellStyle name="Normal 2 5 6 2 2 2 2 2 2" xfId="36132" xr:uid="{00000000-0005-0000-0000-0000324F0000}"/>
    <cellStyle name="Normal 2 5 6 2 2 2 2 3" xfId="27102" xr:uid="{00000000-0005-0000-0000-0000334F0000}"/>
    <cellStyle name="Normal 2 5 6 2 2 2 3" xfId="11598" xr:uid="{00000000-0005-0000-0000-0000344F0000}"/>
    <cellStyle name="Normal 2 5 6 2 2 2 3 2" xfId="31650" xr:uid="{00000000-0005-0000-0000-0000354F0000}"/>
    <cellStyle name="Normal 2 5 6 2 2 2 4" xfId="22620" xr:uid="{00000000-0005-0000-0000-0000364F0000}"/>
    <cellStyle name="Normal 2 5 6 2 2 3" xfId="4062" xr:uid="{00000000-0005-0000-0000-0000374F0000}"/>
    <cellStyle name="Normal 2 5 6 2 2 3 2" xfId="8544" xr:uid="{00000000-0005-0000-0000-0000384F0000}"/>
    <cellStyle name="Normal 2 5 6 2 2 3 2 2" xfId="17574" xr:uid="{00000000-0005-0000-0000-0000394F0000}"/>
    <cellStyle name="Normal 2 5 6 2 2 3 2 2 2" xfId="37626" xr:uid="{00000000-0005-0000-0000-00003A4F0000}"/>
    <cellStyle name="Normal 2 5 6 2 2 3 2 3" xfId="28596" xr:uid="{00000000-0005-0000-0000-00003B4F0000}"/>
    <cellStyle name="Normal 2 5 6 2 2 3 3" xfId="13092" xr:uid="{00000000-0005-0000-0000-00003C4F0000}"/>
    <cellStyle name="Normal 2 5 6 2 2 3 3 2" xfId="33144" xr:uid="{00000000-0005-0000-0000-00003D4F0000}"/>
    <cellStyle name="Normal 2 5 6 2 2 3 4" xfId="24114" xr:uid="{00000000-0005-0000-0000-00003E4F0000}"/>
    <cellStyle name="Normal 2 5 6 2 2 4" xfId="5556" xr:uid="{00000000-0005-0000-0000-00003F4F0000}"/>
    <cellStyle name="Normal 2 5 6 2 2 4 2" xfId="14586" xr:uid="{00000000-0005-0000-0000-0000404F0000}"/>
    <cellStyle name="Normal 2 5 6 2 2 4 2 2" xfId="34638" xr:uid="{00000000-0005-0000-0000-0000414F0000}"/>
    <cellStyle name="Normal 2 5 6 2 2 4 3" xfId="25608" xr:uid="{00000000-0005-0000-0000-0000424F0000}"/>
    <cellStyle name="Normal 2 5 6 2 2 5" xfId="10104" xr:uid="{00000000-0005-0000-0000-0000434F0000}"/>
    <cellStyle name="Normal 2 5 6 2 2 5 2" xfId="30156" xr:uid="{00000000-0005-0000-0000-0000444F0000}"/>
    <cellStyle name="Normal 2 5 6 2 2 6" xfId="21126" xr:uid="{00000000-0005-0000-0000-0000454F0000}"/>
    <cellStyle name="Normal 2 5 6 2 3" xfId="1825" xr:uid="{00000000-0005-0000-0000-0000464F0000}"/>
    <cellStyle name="Normal 2 5 6 2 3 2" xfId="6307" xr:uid="{00000000-0005-0000-0000-0000474F0000}"/>
    <cellStyle name="Normal 2 5 6 2 3 2 2" xfId="15337" xr:uid="{00000000-0005-0000-0000-0000484F0000}"/>
    <cellStyle name="Normal 2 5 6 2 3 2 2 2" xfId="35389" xr:uid="{00000000-0005-0000-0000-0000494F0000}"/>
    <cellStyle name="Normal 2 5 6 2 3 2 3" xfId="26359" xr:uid="{00000000-0005-0000-0000-00004A4F0000}"/>
    <cellStyle name="Normal 2 5 6 2 3 3" xfId="10855" xr:uid="{00000000-0005-0000-0000-00004B4F0000}"/>
    <cellStyle name="Normal 2 5 6 2 3 3 2" xfId="30907" xr:uid="{00000000-0005-0000-0000-00004C4F0000}"/>
    <cellStyle name="Normal 2 5 6 2 3 4" xfId="21877" xr:uid="{00000000-0005-0000-0000-00004D4F0000}"/>
    <cellStyle name="Normal 2 5 6 2 4" xfId="3319" xr:uid="{00000000-0005-0000-0000-00004E4F0000}"/>
    <cellStyle name="Normal 2 5 6 2 4 2" xfId="7801" xr:uid="{00000000-0005-0000-0000-00004F4F0000}"/>
    <cellStyle name="Normal 2 5 6 2 4 2 2" xfId="16831" xr:uid="{00000000-0005-0000-0000-0000504F0000}"/>
    <cellStyle name="Normal 2 5 6 2 4 2 2 2" xfId="36883" xr:uid="{00000000-0005-0000-0000-0000514F0000}"/>
    <cellStyle name="Normal 2 5 6 2 4 2 3" xfId="27853" xr:uid="{00000000-0005-0000-0000-0000524F0000}"/>
    <cellStyle name="Normal 2 5 6 2 4 3" xfId="12349" xr:uid="{00000000-0005-0000-0000-0000534F0000}"/>
    <cellStyle name="Normal 2 5 6 2 4 3 2" xfId="32401" xr:uid="{00000000-0005-0000-0000-0000544F0000}"/>
    <cellStyle name="Normal 2 5 6 2 4 4" xfId="23371" xr:uid="{00000000-0005-0000-0000-0000554F0000}"/>
    <cellStyle name="Normal 2 5 6 2 5" xfId="4813" xr:uid="{00000000-0005-0000-0000-0000564F0000}"/>
    <cellStyle name="Normal 2 5 6 2 5 2" xfId="13843" xr:uid="{00000000-0005-0000-0000-0000574F0000}"/>
    <cellStyle name="Normal 2 5 6 2 5 2 2" xfId="33895" xr:uid="{00000000-0005-0000-0000-0000584F0000}"/>
    <cellStyle name="Normal 2 5 6 2 5 3" xfId="24865" xr:uid="{00000000-0005-0000-0000-0000594F0000}"/>
    <cellStyle name="Normal 2 5 6 2 6" xfId="9361" xr:uid="{00000000-0005-0000-0000-00005A4F0000}"/>
    <cellStyle name="Normal 2 5 6 2 6 2" xfId="29413" xr:uid="{00000000-0005-0000-0000-00005B4F0000}"/>
    <cellStyle name="Normal 2 5 6 2 7" xfId="20383" xr:uid="{00000000-0005-0000-0000-00005C4F0000}"/>
    <cellStyle name="Normal 2 5 6 3" xfId="517" xr:uid="{00000000-0005-0000-0000-00005D4F0000}"/>
    <cellStyle name="Normal 2 5 6 3 2" xfId="1264" xr:uid="{00000000-0005-0000-0000-00005E4F0000}"/>
    <cellStyle name="Normal 2 5 6 3 2 2" xfId="2758" xr:uid="{00000000-0005-0000-0000-00005F4F0000}"/>
    <cellStyle name="Normal 2 5 6 3 2 2 2" xfId="7240" xr:uid="{00000000-0005-0000-0000-0000604F0000}"/>
    <cellStyle name="Normal 2 5 6 3 2 2 2 2" xfId="16270" xr:uid="{00000000-0005-0000-0000-0000614F0000}"/>
    <cellStyle name="Normal 2 5 6 3 2 2 2 2 2" xfId="36322" xr:uid="{00000000-0005-0000-0000-0000624F0000}"/>
    <cellStyle name="Normal 2 5 6 3 2 2 2 3" xfId="27292" xr:uid="{00000000-0005-0000-0000-0000634F0000}"/>
    <cellStyle name="Normal 2 5 6 3 2 2 3" xfId="11788" xr:uid="{00000000-0005-0000-0000-0000644F0000}"/>
    <cellStyle name="Normal 2 5 6 3 2 2 3 2" xfId="31840" xr:uid="{00000000-0005-0000-0000-0000654F0000}"/>
    <cellStyle name="Normal 2 5 6 3 2 2 4" xfId="22810" xr:uid="{00000000-0005-0000-0000-0000664F0000}"/>
    <cellStyle name="Normal 2 5 6 3 2 3" xfId="4252" xr:uid="{00000000-0005-0000-0000-0000674F0000}"/>
    <cellStyle name="Normal 2 5 6 3 2 3 2" xfId="8734" xr:uid="{00000000-0005-0000-0000-0000684F0000}"/>
    <cellStyle name="Normal 2 5 6 3 2 3 2 2" xfId="17764" xr:uid="{00000000-0005-0000-0000-0000694F0000}"/>
    <cellStyle name="Normal 2 5 6 3 2 3 2 2 2" xfId="37816" xr:uid="{00000000-0005-0000-0000-00006A4F0000}"/>
    <cellStyle name="Normal 2 5 6 3 2 3 2 3" xfId="28786" xr:uid="{00000000-0005-0000-0000-00006B4F0000}"/>
    <cellStyle name="Normal 2 5 6 3 2 3 3" xfId="13282" xr:uid="{00000000-0005-0000-0000-00006C4F0000}"/>
    <cellStyle name="Normal 2 5 6 3 2 3 3 2" xfId="33334" xr:uid="{00000000-0005-0000-0000-00006D4F0000}"/>
    <cellStyle name="Normal 2 5 6 3 2 3 4" xfId="24304" xr:uid="{00000000-0005-0000-0000-00006E4F0000}"/>
    <cellStyle name="Normal 2 5 6 3 2 4" xfId="5746" xr:uid="{00000000-0005-0000-0000-00006F4F0000}"/>
    <cellStyle name="Normal 2 5 6 3 2 4 2" xfId="14776" xr:uid="{00000000-0005-0000-0000-0000704F0000}"/>
    <cellStyle name="Normal 2 5 6 3 2 4 2 2" xfId="34828" xr:uid="{00000000-0005-0000-0000-0000714F0000}"/>
    <cellStyle name="Normal 2 5 6 3 2 4 3" xfId="25798" xr:uid="{00000000-0005-0000-0000-0000724F0000}"/>
    <cellStyle name="Normal 2 5 6 3 2 5" xfId="10294" xr:uid="{00000000-0005-0000-0000-0000734F0000}"/>
    <cellStyle name="Normal 2 5 6 3 2 5 2" xfId="30346" xr:uid="{00000000-0005-0000-0000-0000744F0000}"/>
    <cellStyle name="Normal 2 5 6 3 2 6" xfId="21316" xr:uid="{00000000-0005-0000-0000-0000754F0000}"/>
    <cellStyle name="Normal 2 5 6 3 3" xfId="2011" xr:uid="{00000000-0005-0000-0000-0000764F0000}"/>
    <cellStyle name="Normal 2 5 6 3 3 2" xfId="6493" xr:uid="{00000000-0005-0000-0000-0000774F0000}"/>
    <cellStyle name="Normal 2 5 6 3 3 2 2" xfId="15523" xr:uid="{00000000-0005-0000-0000-0000784F0000}"/>
    <cellStyle name="Normal 2 5 6 3 3 2 2 2" xfId="35575" xr:uid="{00000000-0005-0000-0000-0000794F0000}"/>
    <cellStyle name="Normal 2 5 6 3 3 2 3" xfId="26545" xr:uid="{00000000-0005-0000-0000-00007A4F0000}"/>
    <cellStyle name="Normal 2 5 6 3 3 3" xfId="11041" xr:uid="{00000000-0005-0000-0000-00007B4F0000}"/>
    <cellStyle name="Normal 2 5 6 3 3 3 2" xfId="31093" xr:uid="{00000000-0005-0000-0000-00007C4F0000}"/>
    <cellStyle name="Normal 2 5 6 3 3 4" xfId="22063" xr:uid="{00000000-0005-0000-0000-00007D4F0000}"/>
    <cellStyle name="Normal 2 5 6 3 4" xfId="3505" xr:uid="{00000000-0005-0000-0000-00007E4F0000}"/>
    <cellStyle name="Normal 2 5 6 3 4 2" xfId="7987" xr:uid="{00000000-0005-0000-0000-00007F4F0000}"/>
    <cellStyle name="Normal 2 5 6 3 4 2 2" xfId="17017" xr:uid="{00000000-0005-0000-0000-0000804F0000}"/>
    <cellStyle name="Normal 2 5 6 3 4 2 2 2" xfId="37069" xr:uid="{00000000-0005-0000-0000-0000814F0000}"/>
    <cellStyle name="Normal 2 5 6 3 4 2 3" xfId="28039" xr:uid="{00000000-0005-0000-0000-0000824F0000}"/>
    <cellStyle name="Normal 2 5 6 3 4 3" xfId="12535" xr:uid="{00000000-0005-0000-0000-0000834F0000}"/>
    <cellStyle name="Normal 2 5 6 3 4 3 2" xfId="32587" xr:uid="{00000000-0005-0000-0000-0000844F0000}"/>
    <cellStyle name="Normal 2 5 6 3 4 4" xfId="23557" xr:uid="{00000000-0005-0000-0000-0000854F0000}"/>
    <cellStyle name="Normal 2 5 6 3 5" xfId="4999" xr:uid="{00000000-0005-0000-0000-0000864F0000}"/>
    <cellStyle name="Normal 2 5 6 3 5 2" xfId="14029" xr:uid="{00000000-0005-0000-0000-0000874F0000}"/>
    <cellStyle name="Normal 2 5 6 3 5 2 2" xfId="34081" xr:uid="{00000000-0005-0000-0000-0000884F0000}"/>
    <cellStyle name="Normal 2 5 6 3 5 3" xfId="25051" xr:uid="{00000000-0005-0000-0000-0000894F0000}"/>
    <cellStyle name="Normal 2 5 6 3 6" xfId="9547" xr:uid="{00000000-0005-0000-0000-00008A4F0000}"/>
    <cellStyle name="Normal 2 5 6 3 6 2" xfId="29599" xr:uid="{00000000-0005-0000-0000-00008B4F0000}"/>
    <cellStyle name="Normal 2 5 6 3 7" xfId="20569" xr:uid="{00000000-0005-0000-0000-00008C4F0000}"/>
    <cellStyle name="Normal 2 5 6 4" xfId="703" xr:uid="{00000000-0005-0000-0000-00008D4F0000}"/>
    <cellStyle name="Normal 2 5 6 4 2" xfId="1450" xr:uid="{00000000-0005-0000-0000-00008E4F0000}"/>
    <cellStyle name="Normal 2 5 6 4 2 2" xfId="2944" xr:uid="{00000000-0005-0000-0000-00008F4F0000}"/>
    <cellStyle name="Normal 2 5 6 4 2 2 2" xfId="7426" xr:uid="{00000000-0005-0000-0000-0000904F0000}"/>
    <cellStyle name="Normal 2 5 6 4 2 2 2 2" xfId="16456" xr:uid="{00000000-0005-0000-0000-0000914F0000}"/>
    <cellStyle name="Normal 2 5 6 4 2 2 2 2 2" xfId="36508" xr:uid="{00000000-0005-0000-0000-0000924F0000}"/>
    <cellStyle name="Normal 2 5 6 4 2 2 2 3" xfId="27478" xr:uid="{00000000-0005-0000-0000-0000934F0000}"/>
    <cellStyle name="Normal 2 5 6 4 2 2 3" xfId="11974" xr:uid="{00000000-0005-0000-0000-0000944F0000}"/>
    <cellStyle name="Normal 2 5 6 4 2 2 3 2" xfId="32026" xr:uid="{00000000-0005-0000-0000-0000954F0000}"/>
    <cellStyle name="Normal 2 5 6 4 2 2 4" xfId="22996" xr:uid="{00000000-0005-0000-0000-0000964F0000}"/>
    <cellStyle name="Normal 2 5 6 4 2 3" xfId="4438" xr:uid="{00000000-0005-0000-0000-0000974F0000}"/>
    <cellStyle name="Normal 2 5 6 4 2 3 2" xfId="8920" xr:uid="{00000000-0005-0000-0000-0000984F0000}"/>
    <cellStyle name="Normal 2 5 6 4 2 3 2 2" xfId="17950" xr:uid="{00000000-0005-0000-0000-0000994F0000}"/>
    <cellStyle name="Normal 2 5 6 4 2 3 2 2 2" xfId="38002" xr:uid="{00000000-0005-0000-0000-00009A4F0000}"/>
    <cellStyle name="Normal 2 5 6 4 2 3 2 3" xfId="28972" xr:uid="{00000000-0005-0000-0000-00009B4F0000}"/>
    <cellStyle name="Normal 2 5 6 4 2 3 3" xfId="13468" xr:uid="{00000000-0005-0000-0000-00009C4F0000}"/>
    <cellStyle name="Normal 2 5 6 4 2 3 3 2" xfId="33520" xr:uid="{00000000-0005-0000-0000-00009D4F0000}"/>
    <cellStyle name="Normal 2 5 6 4 2 3 4" xfId="24490" xr:uid="{00000000-0005-0000-0000-00009E4F0000}"/>
    <cellStyle name="Normal 2 5 6 4 2 4" xfId="5932" xr:uid="{00000000-0005-0000-0000-00009F4F0000}"/>
    <cellStyle name="Normal 2 5 6 4 2 4 2" xfId="14962" xr:uid="{00000000-0005-0000-0000-0000A04F0000}"/>
    <cellStyle name="Normal 2 5 6 4 2 4 2 2" xfId="35014" xr:uid="{00000000-0005-0000-0000-0000A14F0000}"/>
    <cellStyle name="Normal 2 5 6 4 2 4 3" xfId="25984" xr:uid="{00000000-0005-0000-0000-0000A24F0000}"/>
    <cellStyle name="Normal 2 5 6 4 2 5" xfId="10480" xr:uid="{00000000-0005-0000-0000-0000A34F0000}"/>
    <cellStyle name="Normal 2 5 6 4 2 5 2" xfId="30532" xr:uid="{00000000-0005-0000-0000-0000A44F0000}"/>
    <cellStyle name="Normal 2 5 6 4 2 6" xfId="21502" xr:uid="{00000000-0005-0000-0000-0000A54F0000}"/>
    <cellStyle name="Normal 2 5 6 4 3" xfId="2197" xr:uid="{00000000-0005-0000-0000-0000A64F0000}"/>
    <cellStyle name="Normal 2 5 6 4 3 2" xfId="6679" xr:uid="{00000000-0005-0000-0000-0000A74F0000}"/>
    <cellStyle name="Normal 2 5 6 4 3 2 2" xfId="15709" xr:uid="{00000000-0005-0000-0000-0000A84F0000}"/>
    <cellStyle name="Normal 2 5 6 4 3 2 2 2" xfId="35761" xr:uid="{00000000-0005-0000-0000-0000A94F0000}"/>
    <cellStyle name="Normal 2 5 6 4 3 2 3" xfId="26731" xr:uid="{00000000-0005-0000-0000-0000AA4F0000}"/>
    <cellStyle name="Normal 2 5 6 4 3 3" xfId="11227" xr:uid="{00000000-0005-0000-0000-0000AB4F0000}"/>
    <cellStyle name="Normal 2 5 6 4 3 3 2" xfId="31279" xr:uid="{00000000-0005-0000-0000-0000AC4F0000}"/>
    <cellStyle name="Normal 2 5 6 4 3 4" xfId="22249" xr:uid="{00000000-0005-0000-0000-0000AD4F0000}"/>
    <cellStyle name="Normal 2 5 6 4 4" xfId="3691" xr:uid="{00000000-0005-0000-0000-0000AE4F0000}"/>
    <cellStyle name="Normal 2 5 6 4 4 2" xfId="8173" xr:uid="{00000000-0005-0000-0000-0000AF4F0000}"/>
    <cellStyle name="Normal 2 5 6 4 4 2 2" xfId="17203" xr:uid="{00000000-0005-0000-0000-0000B04F0000}"/>
    <cellStyle name="Normal 2 5 6 4 4 2 2 2" xfId="37255" xr:uid="{00000000-0005-0000-0000-0000B14F0000}"/>
    <cellStyle name="Normal 2 5 6 4 4 2 3" xfId="28225" xr:uid="{00000000-0005-0000-0000-0000B24F0000}"/>
    <cellStyle name="Normal 2 5 6 4 4 3" xfId="12721" xr:uid="{00000000-0005-0000-0000-0000B34F0000}"/>
    <cellStyle name="Normal 2 5 6 4 4 3 2" xfId="32773" xr:uid="{00000000-0005-0000-0000-0000B44F0000}"/>
    <cellStyle name="Normal 2 5 6 4 4 4" xfId="23743" xr:uid="{00000000-0005-0000-0000-0000B54F0000}"/>
    <cellStyle name="Normal 2 5 6 4 5" xfId="5185" xr:uid="{00000000-0005-0000-0000-0000B64F0000}"/>
    <cellStyle name="Normal 2 5 6 4 5 2" xfId="14215" xr:uid="{00000000-0005-0000-0000-0000B74F0000}"/>
    <cellStyle name="Normal 2 5 6 4 5 2 2" xfId="34267" xr:uid="{00000000-0005-0000-0000-0000B84F0000}"/>
    <cellStyle name="Normal 2 5 6 4 5 3" xfId="25237" xr:uid="{00000000-0005-0000-0000-0000B94F0000}"/>
    <cellStyle name="Normal 2 5 6 4 6" xfId="9733" xr:uid="{00000000-0005-0000-0000-0000BA4F0000}"/>
    <cellStyle name="Normal 2 5 6 4 6 2" xfId="29785" xr:uid="{00000000-0005-0000-0000-0000BB4F0000}"/>
    <cellStyle name="Normal 2 5 6 4 7" xfId="20755" xr:uid="{00000000-0005-0000-0000-0000BC4F0000}"/>
    <cellStyle name="Normal 2 5 6 5" xfId="890" xr:uid="{00000000-0005-0000-0000-0000BD4F0000}"/>
    <cellStyle name="Normal 2 5 6 5 2" xfId="2384" xr:uid="{00000000-0005-0000-0000-0000BE4F0000}"/>
    <cellStyle name="Normal 2 5 6 5 2 2" xfId="6866" xr:uid="{00000000-0005-0000-0000-0000BF4F0000}"/>
    <cellStyle name="Normal 2 5 6 5 2 2 2" xfId="15896" xr:uid="{00000000-0005-0000-0000-0000C04F0000}"/>
    <cellStyle name="Normal 2 5 6 5 2 2 2 2" xfId="35948" xr:uid="{00000000-0005-0000-0000-0000C14F0000}"/>
    <cellStyle name="Normal 2 5 6 5 2 2 3" xfId="26918" xr:uid="{00000000-0005-0000-0000-0000C24F0000}"/>
    <cellStyle name="Normal 2 5 6 5 2 3" xfId="11414" xr:uid="{00000000-0005-0000-0000-0000C34F0000}"/>
    <cellStyle name="Normal 2 5 6 5 2 3 2" xfId="31466" xr:uid="{00000000-0005-0000-0000-0000C44F0000}"/>
    <cellStyle name="Normal 2 5 6 5 2 4" xfId="22436" xr:uid="{00000000-0005-0000-0000-0000C54F0000}"/>
    <cellStyle name="Normal 2 5 6 5 3" xfId="3878" xr:uid="{00000000-0005-0000-0000-0000C64F0000}"/>
    <cellStyle name="Normal 2 5 6 5 3 2" xfId="8360" xr:uid="{00000000-0005-0000-0000-0000C74F0000}"/>
    <cellStyle name="Normal 2 5 6 5 3 2 2" xfId="17390" xr:uid="{00000000-0005-0000-0000-0000C84F0000}"/>
    <cellStyle name="Normal 2 5 6 5 3 2 2 2" xfId="37442" xr:uid="{00000000-0005-0000-0000-0000C94F0000}"/>
    <cellStyle name="Normal 2 5 6 5 3 2 3" xfId="28412" xr:uid="{00000000-0005-0000-0000-0000CA4F0000}"/>
    <cellStyle name="Normal 2 5 6 5 3 3" xfId="12908" xr:uid="{00000000-0005-0000-0000-0000CB4F0000}"/>
    <cellStyle name="Normal 2 5 6 5 3 3 2" xfId="32960" xr:uid="{00000000-0005-0000-0000-0000CC4F0000}"/>
    <cellStyle name="Normal 2 5 6 5 3 4" xfId="23930" xr:uid="{00000000-0005-0000-0000-0000CD4F0000}"/>
    <cellStyle name="Normal 2 5 6 5 4" xfId="5372" xr:uid="{00000000-0005-0000-0000-0000CE4F0000}"/>
    <cellStyle name="Normal 2 5 6 5 4 2" xfId="14402" xr:uid="{00000000-0005-0000-0000-0000CF4F0000}"/>
    <cellStyle name="Normal 2 5 6 5 4 2 2" xfId="34454" xr:uid="{00000000-0005-0000-0000-0000D04F0000}"/>
    <cellStyle name="Normal 2 5 6 5 4 3" xfId="25424" xr:uid="{00000000-0005-0000-0000-0000D14F0000}"/>
    <cellStyle name="Normal 2 5 6 5 5" xfId="9920" xr:uid="{00000000-0005-0000-0000-0000D24F0000}"/>
    <cellStyle name="Normal 2 5 6 5 5 2" xfId="29972" xr:uid="{00000000-0005-0000-0000-0000D34F0000}"/>
    <cellStyle name="Normal 2 5 6 5 6" xfId="20942" xr:uid="{00000000-0005-0000-0000-0000D44F0000}"/>
    <cellStyle name="Normal 2 5 6 6" xfId="1639" xr:uid="{00000000-0005-0000-0000-0000D54F0000}"/>
    <cellStyle name="Normal 2 5 6 6 2" xfId="6121" xr:uid="{00000000-0005-0000-0000-0000D64F0000}"/>
    <cellStyle name="Normal 2 5 6 6 2 2" xfId="15151" xr:uid="{00000000-0005-0000-0000-0000D74F0000}"/>
    <cellStyle name="Normal 2 5 6 6 2 2 2" xfId="35203" xr:uid="{00000000-0005-0000-0000-0000D84F0000}"/>
    <cellStyle name="Normal 2 5 6 6 2 3" xfId="26173" xr:uid="{00000000-0005-0000-0000-0000D94F0000}"/>
    <cellStyle name="Normal 2 5 6 6 3" xfId="10669" xr:uid="{00000000-0005-0000-0000-0000DA4F0000}"/>
    <cellStyle name="Normal 2 5 6 6 3 2" xfId="30721" xr:uid="{00000000-0005-0000-0000-0000DB4F0000}"/>
    <cellStyle name="Normal 2 5 6 6 4" xfId="21691" xr:uid="{00000000-0005-0000-0000-0000DC4F0000}"/>
    <cellStyle name="Normal 2 5 6 7" xfId="3133" xr:uid="{00000000-0005-0000-0000-0000DD4F0000}"/>
    <cellStyle name="Normal 2 5 6 7 2" xfId="7615" xr:uid="{00000000-0005-0000-0000-0000DE4F0000}"/>
    <cellStyle name="Normal 2 5 6 7 2 2" xfId="16645" xr:uid="{00000000-0005-0000-0000-0000DF4F0000}"/>
    <cellStyle name="Normal 2 5 6 7 2 2 2" xfId="36697" xr:uid="{00000000-0005-0000-0000-0000E04F0000}"/>
    <cellStyle name="Normal 2 5 6 7 2 3" xfId="27667" xr:uid="{00000000-0005-0000-0000-0000E14F0000}"/>
    <cellStyle name="Normal 2 5 6 7 3" xfId="12163" xr:uid="{00000000-0005-0000-0000-0000E24F0000}"/>
    <cellStyle name="Normal 2 5 6 7 3 2" xfId="32215" xr:uid="{00000000-0005-0000-0000-0000E34F0000}"/>
    <cellStyle name="Normal 2 5 6 7 4" xfId="23185" xr:uid="{00000000-0005-0000-0000-0000E44F0000}"/>
    <cellStyle name="Normal 2 5 6 8" xfId="4627" xr:uid="{00000000-0005-0000-0000-0000E54F0000}"/>
    <cellStyle name="Normal 2 5 6 8 2" xfId="13657" xr:uid="{00000000-0005-0000-0000-0000E64F0000}"/>
    <cellStyle name="Normal 2 5 6 8 2 2" xfId="33709" xr:uid="{00000000-0005-0000-0000-0000E74F0000}"/>
    <cellStyle name="Normal 2 5 6 8 3" xfId="24679" xr:uid="{00000000-0005-0000-0000-0000E84F0000}"/>
    <cellStyle name="Normal 2 5 6 9" xfId="9175" xr:uid="{00000000-0005-0000-0000-0000E94F0000}"/>
    <cellStyle name="Normal 2 5 6 9 2" xfId="29227" xr:uid="{00000000-0005-0000-0000-0000EA4F0000}"/>
    <cellStyle name="Normal 2 5 7" xfId="168" xr:uid="{00000000-0005-0000-0000-0000EB4F0000}"/>
    <cellStyle name="Normal 2 5 7 10" xfId="20220" xr:uid="{00000000-0005-0000-0000-0000EC4F0000}"/>
    <cellStyle name="Normal 2 5 7 2" xfId="354" xr:uid="{00000000-0005-0000-0000-0000ED4F0000}"/>
    <cellStyle name="Normal 2 5 7 2 2" xfId="1097" xr:uid="{00000000-0005-0000-0000-0000EE4F0000}"/>
    <cellStyle name="Normal 2 5 7 2 2 2" xfId="2591" xr:uid="{00000000-0005-0000-0000-0000EF4F0000}"/>
    <cellStyle name="Normal 2 5 7 2 2 2 2" xfId="7073" xr:uid="{00000000-0005-0000-0000-0000F04F0000}"/>
    <cellStyle name="Normal 2 5 7 2 2 2 2 2" xfId="16103" xr:uid="{00000000-0005-0000-0000-0000F14F0000}"/>
    <cellStyle name="Normal 2 5 7 2 2 2 2 2 2" xfId="36155" xr:uid="{00000000-0005-0000-0000-0000F24F0000}"/>
    <cellStyle name="Normal 2 5 7 2 2 2 2 3" xfId="27125" xr:uid="{00000000-0005-0000-0000-0000F34F0000}"/>
    <cellStyle name="Normal 2 5 7 2 2 2 3" xfId="11621" xr:uid="{00000000-0005-0000-0000-0000F44F0000}"/>
    <cellStyle name="Normal 2 5 7 2 2 2 3 2" xfId="31673" xr:uid="{00000000-0005-0000-0000-0000F54F0000}"/>
    <cellStyle name="Normal 2 5 7 2 2 2 4" xfId="22643" xr:uid="{00000000-0005-0000-0000-0000F64F0000}"/>
    <cellStyle name="Normal 2 5 7 2 2 3" xfId="4085" xr:uid="{00000000-0005-0000-0000-0000F74F0000}"/>
    <cellStyle name="Normal 2 5 7 2 2 3 2" xfId="8567" xr:uid="{00000000-0005-0000-0000-0000F84F0000}"/>
    <cellStyle name="Normal 2 5 7 2 2 3 2 2" xfId="17597" xr:uid="{00000000-0005-0000-0000-0000F94F0000}"/>
    <cellStyle name="Normal 2 5 7 2 2 3 2 2 2" xfId="37649" xr:uid="{00000000-0005-0000-0000-0000FA4F0000}"/>
    <cellStyle name="Normal 2 5 7 2 2 3 2 3" xfId="28619" xr:uid="{00000000-0005-0000-0000-0000FB4F0000}"/>
    <cellStyle name="Normal 2 5 7 2 2 3 3" xfId="13115" xr:uid="{00000000-0005-0000-0000-0000FC4F0000}"/>
    <cellStyle name="Normal 2 5 7 2 2 3 3 2" xfId="33167" xr:uid="{00000000-0005-0000-0000-0000FD4F0000}"/>
    <cellStyle name="Normal 2 5 7 2 2 3 4" xfId="24137" xr:uid="{00000000-0005-0000-0000-0000FE4F0000}"/>
    <cellStyle name="Normal 2 5 7 2 2 4" xfId="5579" xr:uid="{00000000-0005-0000-0000-0000FF4F0000}"/>
    <cellStyle name="Normal 2 5 7 2 2 4 2" xfId="14609" xr:uid="{00000000-0005-0000-0000-000000500000}"/>
    <cellStyle name="Normal 2 5 7 2 2 4 2 2" xfId="34661" xr:uid="{00000000-0005-0000-0000-000001500000}"/>
    <cellStyle name="Normal 2 5 7 2 2 4 3" xfId="25631" xr:uid="{00000000-0005-0000-0000-000002500000}"/>
    <cellStyle name="Normal 2 5 7 2 2 5" xfId="10127" xr:uid="{00000000-0005-0000-0000-000003500000}"/>
    <cellStyle name="Normal 2 5 7 2 2 5 2" xfId="30179" xr:uid="{00000000-0005-0000-0000-000004500000}"/>
    <cellStyle name="Normal 2 5 7 2 2 6" xfId="21149" xr:uid="{00000000-0005-0000-0000-000005500000}"/>
    <cellStyle name="Normal 2 5 7 2 3" xfId="1848" xr:uid="{00000000-0005-0000-0000-000006500000}"/>
    <cellStyle name="Normal 2 5 7 2 3 2" xfId="6330" xr:uid="{00000000-0005-0000-0000-000007500000}"/>
    <cellStyle name="Normal 2 5 7 2 3 2 2" xfId="15360" xr:uid="{00000000-0005-0000-0000-000008500000}"/>
    <cellStyle name="Normal 2 5 7 2 3 2 2 2" xfId="35412" xr:uid="{00000000-0005-0000-0000-000009500000}"/>
    <cellStyle name="Normal 2 5 7 2 3 2 3" xfId="26382" xr:uid="{00000000-0005-0000-0000-00000A500000}"/>
    <cellStyle name="Normal 2 5 7 2 3 3" xfId="10878" xr:uid="{00000000-0005-0000-0000-00000B500000}"/>
    <cellStyle name="Normal 2 5 7 2 3 3 2" xfId="30930" xr:uid="{00000000-0005-0000-0000-00000C500000}"/>
    <cellStyle name="Normal 2 5 7 2 3 4" xfId="21900" xr:uid="{00000000-0005-0000-0000-00000D500000}"/>
    <cellStyle name="Normal 2 5 7 2 4" xfId="3342" xr:uid="{00000000-0005-0000-0000-00000E500000}"/>
    <cellStyle name="Normal 2 5 7 2 4 2" xfId="7824" xr:uid="{00000000-0005-0000-0000-00000F500000}"/>
    <cellStyle name="Normal 2 5 7 2 4 2 2" xfId="16854" xr:uid="{00000000-0005-0000-0000-000010500000}"/>
    <cellStyle name="Normal 2 5 7 2 4 2 2 2" xfId="36906" xr:uid="{00000000-0005-0000-0000-000011500000}"/>
    <cellStyle name="Normal 2 5 7 2 4 2 3" xfId="27876" xr:uid="{00000000-0005-0000-0000-000012500000}"/>
    <cellStyle name="Normal 2 5 7 2 4 3" xfId="12372" xr:uid="{00000000-0005-0000-0000-000013500000}"/>
    <cellStyle name="Normal 2 5 7 2 4 3 2" xfId="32424" xr:uid="{00000000-0005-0000-0000-000014500000}"/>
    <cellStyle name="Normal 2 5 7 2 4 4" xfId="23394" xr:uid="{00000000-0005-0000-0000-000015500000}"/>
    <cellStyle name="Normal 2 5 7 2 5" xfId="4836" xr:uid="{00000000-0005-0000-0000-000016500000}"/>
    <cellStyle name="Normal 2 5 7 2 5 2" xfId="13866" xr:uid="{00000000-0005-0000-0000-000017500000}"/>
    <cellStyle name="Normal 2 5 7 2 5 2 2" xfId="33918" xr:uid="{00000000-0005-0000-0000-000018500000}"/>
    <cellStyle name="Normal 2 5 7 2 5 3" xfId="24888" xr:uid="{00000000-0005-0000-0000-000019500000}"/>
    <cellStyle name="Normal 2 5 7 2 6" xfId="9384" xr:uid="{00000000-0005-0000-0000-00001A500000}"/>
    <cellStyle name="Normal 2 5 7 2 6 2" xfId="29436" xr:uid="{00000000-0005-0000-0000-00001B500000}"/>
    <cellStyle name="Normal 2 5 7 2 7" xfId="20406" xr:uid="{00000000-0005-0000-0000-00001C500000}"/>
    <cellStyle name="Normal 2 5 7 3" xfId="540" xr:uid="{00000000-0005-0000-0000-00001D500000}"/>
    <cellStyle name="Normal 2 5 7 3 2" xfId="1287" xr:uid="{00000000-0005-0000-0000-00001E500000}"/>
    <cellStyle name="Normal 2 5 7 3 2 2" xfId="2781" xr:uid="{00000000-0005-0000-0000-00001F500000}"/>
    <cellStyle name="Normal 2 5 7 3 2 2 2" xfId="7263" xr:uid="{00000000-0005-0000-0000-000020500000}"/>
    <cellStyle name="Normal 2 5 7 3 2 2 2 2" xfId="16293" xr:uid="{00000000-0005-0000-0000-000021500000}"/>
    <cellStyle name="Normal 2 5 7 3 2 2 2 2 2" xfId="36345" xr:uid="{00000000-0005-0000-0000-000022500000}"/>
    <cellStyle name="Normal 2 5 7 3 2 2 2 3" xfId="27315" xr:uid="{00000000-0005-0000-0000-000023500000}"/>
    <cellStyle name="Normal 2 5 7 3 2 2 3" xfId="11811" xr:uid="{00000000-0005-0000-0000-000024500000}"/>
    <cellStyle name="Normal 2 5 7 3 2 2 3 2" xfId="31863" xr:uid="{00000000-0005-0000-0000-000025500000}"/>
    <cellStyle name="Normal 2 5 7 3 2 2 4" xfId="22833" xr:uid="{00000000-0005-0000-0000-000026500000}"/>
    <cellStyle name="Normal 2 5 7 3 2 3" xfId="4275" xr:uid="{00000000-0005-0000-0000-000027500000}"/>
    <cellStyle name="Normal 2 5 7 3 2 3 2" xfId="8757" xr:uid="{00000000-0005-0000-0000-000028500000}"/>
    <cellStyle name="Normal 2 5 7 3 2 3 2 2" xfId="17787" xr:uid="{00000000-0005-0000-0000-000029500000}"/>
    <cellStyle name="Normal 2 5 7 3 2 3 2 2 2" xfId="37839" xr:uid="{00000000-0005-0000-0000-00002A500000}"/>
    <cellStyle name="Normal 2 5 7 3 2 3 2 3" xfId="28809" xr:uid="{00000000-0005-0000-0000-00002B500000}"/>
    <cellStyle name="Normal 2 5 7 3 2 3 3" xfId="13305" xr:uid="{00000000-0005-0000-0000-00002C500000}"/>
    <cellStyle name="Normal 2 5 7 3 2 3 3 2" xfId="33357" xr:uid="{00000000-0005-0000-0000-00002D500000}"/>
    <cellStyle name="Normal 2 5 7 3 2 3 4" xfId="24327" xr:uid="{00000000-0005-0000-0000-00002E500000}"/>
    <cellStyle name="Normal 2 5 7 3 2 4" xfId="5769" xr:uid="{00000000-0005-0000-0000-00002F500000}"/>
    <cellStyle name="Normal 2 5 7 3 2 4 2" xfId="14799" xr:uid="{00000000-0005-0000-0000-000030500000}"/>
    <cellStyle name="Normal 2 5 7 3 2 4 2 2" xfId="34851" xr:uid="{00000000-0005-0000-0000-000031500000}"/>
    <cellStyle name="Normal 2 5 7 3 2 4 3" xfId="25821" xr:uid="{00000000-0005-0000-0000-000032500000}"/>
    <cellStyle name="Normal 2 5 7 3 2 5" xfId="10317" xr:uid="{00000000-0005-0000-0000-000033500000}"/>
    <cellStyle name="Normal 2 5 7 3 2 5 2" xfId="30369" xr:uid="{00000000-0005-0000-0000-000034500000}"/>
    <cellStyle name="Normal 2 5 7 3 2 6" xfId="21339" xr:uid="{00000000-0005-0000-0000-000035500000}"/>
    <cellStyle name="Normal 2 5 7 3 3" xfId="2034" xr:uid="{00000000-0005-0000-0000-000036500000}"/>
    <cellStyle name="Normal 2 5 7 3 3 2" xfId="6516" xr:uid="{00000000-0005-0000-0000-000037500000}"/>
    <cellStyle name="Normal 2 5 7 3 3 2 2" xfId="15546" xr:uid="{00000000-0005-0000-0000-000038500000}"/>
    <cellStyle name="Normal 2 5 7 3 3 2 2 2" xfId="35598" xr:uid="{00000000-0005-0000-0000-000039500000}"/>
    <cellStyle name="Normal 2 5 7 3 3 2 3" xfId="26568" xr:uid="{00000000-0005-0000-0000-00003A500000}"/>
    <cellStyle name="Normal 2 5 7 3 3 3" xfId="11064" xr:uid="{00000000-0005-0000-0000-00003B500000}"/>
    <cellStyle name="Normal 2 5 7 3 3 3 2" xfId="31116" xr:uid="{00000000-0005-0000-0000-00003C500000}"/>
    <cellStyle name="Normal 2 5 7 3 3 4" xfId="22086" xr:uid="{00000000-0005-0000-0000-00003D500000}"/>
    <cellStyle name="Normal 2 5 7 3 4" xfId="3528" xr:uid="{00000000-0005-0000-0000-00003E500000}"/>
    <cellStyle name="Normal 2 5 7 3 4 2" xfId="8010" xr:uid="{00000000-0005-0000-0000-00003F500000}"/>
    <cellStyle name="Normal 2 5 7 3 4 2 2" xfId="17040" xr:uid="{00000000-0005-0000-0000-000040500000}"/>
    <cellStyle name="Normal 2 5 7 3 4 2 2 2" xfId="37092" xr:uid="{00000000-0005-0000-0000-000041500000}"/>
    <cellStyle name="Normal 2 5 7 3 4 2 3" xfId="28062" xr:uid="{00000000-0005-0000-0000-000042500000}"/>
    <cellStyle name="Normal 2 5 7 3 4 3" xfId="12558" xr:uid="{00000000-0005-0000-0000-000043500000}"/>
    <cellStyle name="Normal 2 5 7 3 4 3 2" xfId="32610" xr:uid="{00000000-0005-0000-0000-000044500000}"/>
    <cellStyle name="Normal 2 5 7 3 4 4" xfId="23580" xr:uid="{00000000-0005-0000-0000-000045500000}"/>
    <cellStyle name="Normal 2 5 7 3 5" xfId="5022" xr:uid="{00000000-0005-0000-0000-000046500000}"/>
    <cellStyle name="Normal 2 5 7 3 5 2" xfId="14052" xr:uid="{00000000-0005-0000-0000-000047500000}"/>
    <cellStyle name="Normal 2 5 7 3 5 2 2" xfId="34104" xr:uid="{00000000-0005-0000-0000-000048500000}"/>
    <cellStyle name="Normal 2 5 7 3 5 3" xfId="25074" xr:uid="{00000000-0005-0000-0000-000049500000}"/>
    <cellStyle name="Normal 2 5 7 3 6" xfId="9570" xr:uid="{00000000-0005-0000-0000-00004A500000}"/>
    <cellStyle name="Normal 2 5 7 3 6 2" xfId="29622" xr:uid="{00000000-0005-0000-0000-00004B500000}"/>
    <cellStyle name="Normal 2 5 7 3 7" xfId="20592" xr:uid="{00000000-0005-0000-0000-00004C500000}"/>
    <cellStyle name="Normal 2 5 7 4" xfId="726" xr:uid="{00000000-0005-0000-0000-00004D500000}"/>
    <cellStyle name="Normal 2 5 7 4 2" xfId="1473" xr:uid="{00000000-0005-0000-0000-00004E500000}"/>
    <cellStyle name="Normal 2 5 7 4 2 2" xfId="2967" xr:uid="{00000000-0005-0000-0000-00004F500000}"/>
    <cellStyle name="Normal 2 5 7 4 2 2 2" xfId="7449" xr:uid="{00000000-0005-0000-0000-000050500000}"/>
    <cellStyle name="Normal 2 5 7 4 2 2 2 2" xfId="16479" xr:uid="{00000000-0005-0000-0000-000051500000}"/>
    <cellStyle name="Normal 2 5 7 4 2 2 2 2 2" xfId="36531" xr:uid="{00000000-0005-0000-0000-000052500000}"/>
    <cellStyle name="Normal 2 5 7 4 2 2 2 3" xfId="27501" xr:uid="{00000000-0005-0000-0000-000053500000}"/>
    <cellStyle name="Normal 2 5 7 4 2 2 3" xfId="11997" xr:uid="{00000000-0005-0000-0000-000054500000}"/>
    <cellStyle name="Normal 2 5 7 4 2 2 3 2" xfId="32049" xr:uid="{00000000-0005-0000-0000-000055500000}"/>
    <cellStyle name="Normal 2 5 7 4 2 2 4" xfId="23019" xr:uid="{00000000-0005-0000-0000-000056500000}"/>
    <cellStyle name="Normal 2 5 7 4 2 3" xfId="4461" xr:uid="{00000000-0005-0000-0000-000057500000}"/>
    <cellStyle name="Normal 2 5 7 4 2 3 2" xfId="8943" xr:uid="{00000000-0005-0000-0000-000058500000}"/>
    <cellStyle name="Normal 2 5 7 4 2 3 2 2" xfId="17973" xr:uid="{00000000-0005-0000-0000-000059500000}"/>
    <cellStyle name="Normal 2 5 7 4 2 3 2 2 2" xfId="38025" xr:uid="{00000000-0005-0000-0000-00005A500000}"/>
    <cellStyle name="Normal 2 5 7 4 2 3 2 3" xfId="28995" xr:uid="{00000000-0005-0000-0000-00005B500000}"/>
    <cellStyle name="Normal 2 5 7 4 2 3 3" xfId="13491" xr:uid="{00000000-0005-0000-0000-00005C500000}"/>
    <cellStyle name="Normal 2 5 7 4 2 3 3 2" xfId="33543" xr:uid="{00000000-0005-0000-0000-00005D500000}"/>
    <cellStyle name="Normal 2 5 7 4 2 3 4" xfId="24513" xr:uid="{00000000-0005-0000-0000-00005E500000}"/>
    <cellStyle name="Normal 2 5 7 4 2 4" xfId="5955" xr:uid="{00000000-0005-0000-0000-00005F500000}"/>
    <cellStyle name="Normal 2 5 7 4 2 4 2" xfId="14985" xr:uid="{00000000-0005-0000-0000-000060500000}"/>
    <cellStyle name="Normal 2 5 7 4 2 4 2 2" xfId="35037" xr:uid="{00000000-0005-0000-0000-000061500000}"/>
    <cellStyle name="Normal 2 5 7 4 2 4 3" xfId="26007" xr:uid="{00000000-0005-0000-0000-000062500000}"/>
    <cellStyle name="Normal 2 5 7 4 2 5" xfId="10503" xr:uid="{00000000-0005-0000-0000-000063500000}"/>
    <cellStyle name="Normal 2 5 7 4 2 5 2" xfId="30555" xr:uid="{00000000-0005-0000-0000-000064500000}"/>
    <cellStyle name="Normal 2 5 7 4 2 6" xfId="21525" xr:uid="{00000000-0005-0000-0000-000065500000}"/>
    <cellStyle name="Normal 2 5 7 4 3" xfId="2220" xr:uid="{00000000-0005-0000-0000-000066500000}"/>
    <cellStyle name="Normal 2 5 7 4 3 2" xfId="6702" xr:uid="{00000000-0005-0000-0000-000067500000}"/>
    <cellStyle name="Normal 2 5 7 4 3 2 2" xfId="15732" xr:uid="{00000000-0005-0000-0000-000068500000}"/>
    <cellStyle name="Normal 2 5 7 4 3 2 2 2" xfId="35784" xr:uid="{00000000-0005-0000-0000-000069500000}"/>
    <cellStyle name="Normal 2 5 7 4 3 2 3" xfId="26754" xr:uid="{00000000-0005-0000-0000-00006A500000}"/>
    <cellStyle name="Normal 2 5 7 4 3 3" xfId="11250" xr:uid="{00000000-0005-0000-0000-00006B500000}"/>
    <cellStyle name="Normal 2 5 7 4 3 3 2" xfId="31302" xr:uid="{00000000-0005-0000-0000-00006C500000}"/>
    <cellStyle name="Normal 2 5 7 4 3 4" xfId="22272" xr:uid="{00000000-0005-0000-0000-00006D500000}"/>
    <cellStyle name="Normal 2 5 7 4 4" xfId="3714" xr:uid="{00000000-0005-0000-0000-00006E500000}"/>
    <cellStyle name="Normal 2 5 7 4 4 2" xfId="8196" xr:uid="{00000000-0005-0000-0000-00006F500000}"/>
    <cellStyle name="Normal 2 5 7 4 4 2 2" xfId="17226" xr:uid="{00000000-0005-0000-0000-000070500000}"/>
    <cellStyle name="Normal 2 5 7 4 4 2 2 2" xfId="37278" xr:uid="{00000000-0005-0000-0000-000071500000}"/>
    <cellStyle name="Normal 2 5 7 4 4 2 3" xfId="28248" xr:uid="{00000000-0005-0000-0000-000072500000}"/>
    <cellStyle name="Normal 2 5 7 4 4 3" xfId="12744" xr:uid="{00000000-0005-0000-0000-000073500000}"/>
    <cellStyle name="Normal 2 5 7 4 4 3 2" xfId="32796" xr:uid="{00000000-0005-0000-0000-000074500000}"/>
    <cellStyle name="Normal 2 5 7 4 4 4" xfId="23766" xr:uid="{00000000-0005-0000-0000-000075500000}"/>
    <cellStyle name="Normal 2 5 7 4 5" xfId="5208" xr:uid="{00000000-0005-0000-0000-000076500000}"/>
    <cellStyle name="Normal 2 5 7 4 5 2" xfId="14238" xr:uid="{00000000-0005-0000-0000-000077500000}"/>
    <cellStyle name="Normal 2 5 7 4 5 2 2" xfId="34290" xr:uid="{00000000-0005-0000-0000-000078500000}"/>
    <cellStyle name="Normal 2 5 7 4 5 3" xfId="25260" xr:uid="{00000000-0005-0000-0000-000079500000}"/>
    <cellStyle name="Normal 2 5 7 4 6" xfId="9756" xr:uid="{00000000-0005-0000-0000-00007A500000}"/>
    <cellStyle name="Normal 2 5 7 4 6 2" xfId="29808" xr:uid="{00000000-0005-0000-0000-00007B500000}"/>
    <cellStyle name="Normal 2 5 7 4 7" xfId="20778" xr:uid="{00000000-0005-0000-0000-00007C500000}"/>
    <cellStyle name="Normal 2 5 7 5" xfId="913" xr:uid="{00000000-0005-0000-0000-00007D500000}"/>
    <cellStyle name="Normal 2 5 7 5 2" xfId="2407" xr:uid="{00000000-0005-0000-0000-00007E500000}"/>
    <cellStyle name="Normal 2 5 7 5 2 2" xfId="6889" xr:uid="{00000000-0005-0000-0000-00007F500000}"/>
    <cellStyle name="Normal 2 5 7 5 2 2 2" xfId="15919" xr:uid="{00000000-0005-0000-0000-000080500000}"/>
    <cellStyle name="Normal 2 5 7 5 2 2 2 2" xfId="35971" xr:uid="{00000000-0005-0000-0000-000081500000}"/>
    <cellStyle name="Normal 2 5 7 5 2 2 3" xfId="26941" xr:uid="{00000000-0005-0000-0000-000082500000}"/>
    <cellStyle name="Normal 2 5 7 5 2 3" xfId="11437" xr:uid="{00000000-0005-0000-0000-000083500000}"/>
    <cellStyle name="Normal 2 5 7 5 2 3 2" xfId="31489" xr:uid="{00000000-0005-0000-0000-000084500000}"/>
    <cellStyle name="Normal 2 5 7 5 2 4" xfId="22459" xr:uid="{00000000-0005-0000-0000-000085500000}"/>
    <cellStyle name="Normal 2 5 7 5 3" xfId="3901" xr:uid="{00000000-0005-0000-0000-000086500000}"/>
    <cellStyle name="Normal 2 5 7 5 3 2" xfId="8383" xr:uid="{00000000-0005-0000-0000-000087500000}"/>
    <cellStyle name="Normal 2 5 7 5 3 2 2" xfId="17413" xr:uid="{00000000-0005-0000-0000-000088500000}"/>
    <cellStyle name="Normal 2 5 7 5 3 2 2 2" xfId="37465" xr:uid="{00000000-0005-0000-0000-000089500000}"/>
    <cellStyle name="Normal 2 5 7 5 3 2 3" xfId="28435" xr:uid="{00000000-0005-0000-0000-00008A500000}"/>
    <cellStyle name="Normal 2 5 7 5 3 3" xfId="12931" xr:uid="{00000000-0005-0000-0000-00008B500000}"/>
    <cellStyle name="Normal 2 5 7 5 3 3 2" xfId="32983" xr:uid="{00000000-0005-0000-0000-00008C500000}"/>
    <cellStyle name="Normal 2 5 7 5 3 4" xfId="23953" xr:uid="{00000000-0005-0000-0000-00008D500000}"/>
    <cellStyle name="Normal 2 5 7 5 4" xfId="5395" xr:uid="{00000000-0005-0000-0000-00008E500000}"/>
    <cellStyle name="Normal 2 5 7 5 4 2" xfId="14425" xr:uid="{00000000-0005-0000-0000-00008F500000}"/>
    <cellStyle name="Normal 2 5 7 5 4 2 2" xfId="34477" xr:uid="{00000000-0005-0000-0000-000090500000}"/>
    <cellStyle name="Normal 2 5 7 5 4 3" xfId="25447" xr:uid="{00000000-0005-0000-0000-000091500000}"/>
    <cellStyle name="Normal 2 5 7 5 5" xfId="9943" xr:uid="{00000000-0005-0000-0000-000092500000}"/>
    <cellStyle name="Normal 2 5 7 5 5 2" xfId="29995" xr:uid="{00000000-0005-0000-0000-000093500000}"/>
    <cellStyle name="Normal 2 5 7 5 6" xfId="20965" xr:uid="{00000000-0005-0000-0000-000094500000}"/>
    <cellStyle name="Normal 2 5 7 6" xfId="1662" xr:uid="{00000000-0005-0000-0000-000095500000}"/>
    <cellStyle name="Normal 2 5 7 6 2" xfId="6144" xr:uid="{00000000-0005-0000-0000-000096500000}"/>
    <cellStyle name="Normal 2 5 7 6 2 2" xfId="15174" xr:uid="{00000000-0005-0000-0000-000097500000}"/>
    <cellStyle name="Normal 2 5 7 6 2 2 2" xfId="35226" xr:uid="{00000000-0005-0000-0000-000098500000}"/>
    <cellStyle name="Normal 2 5 7 6 2 3" xfId="26196" xr:uid="{00000000-0005-0000-0000-000099500000}"/>
    <cellStyle name="Normal 2 5 7 6 3" xfId="10692" xr:uid="{00000000-0005-0000-0000-00009A500000}"/>
    <cellStyle name="Normal 2 5 7 6 3 2" xfId="30744" xr:uid="{00000000-0005-0000-0000-00009B500000}"/>
    <cellStyle name="Normal 2 5 7 6 4" xfId="21714" xr:uid="{00000000-0005-0000-0000-00009C500000}"/>
    <cellStyle name="Normal 2 5 7 7" xfId="3156" xr:uid="{00000000-0005-0000-0000-00009D500000}"/>
    <cellStyle name="Normal 2 5 7 7 2" xfId="7638" xr:uid="{00000000-0005-0000-0000-00009E500000}"/>
    <cellStyle name="Normal 2 5 7 7 2 2" xfId="16668" xr:uid="{00000000-0005-0000-0000-00009F500000}"/>
    <cellStyle name="Normal 2 5 7 7 2 2 2" xfId="36720" xr:uid="{00000000-0005-0000-0000-0000A0500000}"/>
    <cellStyle name="Normal 2 5 7 7 2 3" xfId="27690" xr:uid="{00000000-0005-0000-0000-0000A1500000}"/>
    <cellStyle name="Normal 2 5 7 7 3" xfId="12186" xr:uid="{00000000-0005-0000-0000-0000A2500000}"/>
    <cellStyle name="Normal 2 5 7 7 3 2" xfId="32238" xr:uid="{00000000-0005-0000-0000-0000A3500000}"/>
    <cellStyle name="Normal 2 5 7 7 4" xfId="23208" xr:uid="{00000000-0005-0000-0000-0000A4500000}"/>
    <cellStyle name="Normal 2 5 7 8" xfId="4650" xr:uid="{00000000-0005-0000-0000-0000A5500000}"/>
    <cellStyle name="Normal 2 5 7 8 2" xfId="13680" xr:uid="{00000000-0005-0000-0000-0000A6500000}"/>
    <cellStyle name="Normal 2 5 7 8 2 2" xfId="33732" xr:uid="{00000000-0005-0000-0000-0000A7500000}"/>
    <cellStyle name="Normal 2 5 7 8 3" xfId="24702" xr:uid="{00000000-0005-0000-0000-0000A8500000}"/>
    <cellStyle name="Normal 2 5 7 9" xfId="9198" xr:uid="{00000000-0005-0000-0000-0000A9500000}"/>
    <cellStyle name="Normal 2 5 7 9 2" xfId="29250" xr:uid="{00000000-0005-0000-0000-0000AA500000}"/>
    <cellStyle name="Normal 2 5 8" xfId="191" xr:uid="{00000000-0005-0000-0000-0000AB500000}"/>
    <cellStyle name="Normal 2 5 8 10" xfId="20243" xr:uid="{00000000-0005-0000-0000-0000AC500000}"/>
    <cellStyle name="Normal 2 5 8 2" xfId="377" xr:uid="{00000000-0005-0000-0000-0000AD500000}"/>
    <cellStyle name="Normal 2 5 8 2 2" xfId="1120" xr:uid="{00000000-0005-0000-0000-0000AE500000}"/>
    <cellStyle name="Normal 2 5 8 2 2 2" xfId="2614" xr:uid="{00000000-0005-0000-0000-0000AF500000}"/>
    <cellStyle name="Normal 2 5 8 2 2 2 2" xfId="7096" xr:uid="{00000000-0005-0000-0000-0000B0500000}"/>
    <cellStyle name="Normal 2 5 8 2 2 2 2 2" xfId="16126" xr:uid="{00000000-0005-0000-0000-0000B1500000}"/>
    <cellStyle name="Normal 2 5 8 2 2 2 2 2 2" xfId="36178" xr:uid="{00000000-0005-0000-0000-0000B2500000}"/>
    <cellStyle name="Normal 2 5 8 2 2 2 2 3" xfId="27148" xr:uid="{00000000-0005-0000-0000-0000B3500000}"/>
    <cellStyle name="Normal 2 5 8 2 2 2 3" xfId="11644" xr:uid="{00000000-0005-0000-0000-0000B4500000}"/>
    <cellStyle name="Normal 2 5 8 2 2 2 3 2" xfId="31696" xr:uid="{00000000-0005-0000-0000-0000B5500000}"/>
    <cellStyle name="Normal 2 5 8 2 2 2 4" xfId="22666" xr:uid="{00000000-0005-0000-0000-0000B6500000}"/>
    <cellStyle name="Normal 2 5 8 2 2 3" xfId="4108" xr:uid="{00000000-0005-0000-0000-0000B7500000}"/>
    <cellStyle name="Normal 2 5 8 2 2 3 2" xfId="8590" xr:uid="{00000000-0005-0000-0000-0000B8500000}"/>
    <cellStyle name="Normal 2 5 8 2 2 3 2 2" xfId="17620" xr:uid="{00000000-0005-0000-0000-0000B9500000}"/>
    <cellStyle name="Normal 2 5 8 2 2 3 2 2 2" xfId="37672" xr:uid="{00000000-0005-0000-0000-0000BA500000}"/>
    <cellStyle name="Normal 2 5 8 2 2 3 2 3" xfId="28642" xr:uid="{00000000-0005-0000-0000-0000BB500000}"/>
    <cellStyle name="Normal 2 5 8 2 2 3 3" xfId="13138" xr:uid="{00000000-0005-0000-0000-0000BC500000}"/>
    <cellStyle name="Normal 2 5 8 2 2 3 3 2" xfId="33190" xr:uid="{00000000-0005-0000-0000-0000BD500000}"/>
    <cellStyle name="Normal 2 5 8 2 2 3 4" xfId="24160" xr:uid="{00000000-0005-0000-0000-0000BE500000}"/>
    <cellStyle name="Normal 2 5 8 2 2 4" xfId="5602" xr:uid="{00000000-0005-0000-0000-0000BF500000}"/>
    <cellStyle name="Normal 2 5 8 2 2 4 2" xfId="14632" xr:uid="{00000000-0005-0000-0000-0000C0500000}"/>
    <cellStyle name="Normal 2 5 8 2 2 4 2 2" xfId="34684" xr:uid="{00000000-0005-0000-0000-0000C1500000}"/>
    <cellStyle name="Normal 2 5 8 2 2 4 3" xfId="25654" xr:uid="{00000000-0005-0000-0000-0000C2500000}"/>
    <cellStyle name="Normal 2 5 8 2 2 5" xfId="10150" xr:uid="{00000000-0005-0000-0000-0000C3500000}"/>
    <cellStyle name="Normal 2 5 8 2 2 5 2" xfId="30202" xr:uid="{00000000-0005-0000-0000-0000C4500000}"/>
    <cellStyle name="Normal 2 5 8 2 2 6" xfId="21172" xr:uid="{00000000-0005-0000-0000-0000C5500000}"/>
    <cellStyle name="Normal 2 5 8 2 3" xfId="1871" xr:uid="{00000000-0005-0000-0000-0000C6500000}"/>
    <cellStyle name="Normal 2 5 8 2 3 2" xfId="6353" xr:uid="{00000000-0005-0000-0000-0000C7500000}"/>
    <cellStyle name="Normal 2 5 8 2 3 2 2" xfId="15383" xr:uid="{00000000-0005-0000-0000-0000C8500000}"/>
    <cellStyle name="Normal 2 5 8 2 3 2 2 2" xfId="35435" xr:uid="{00000000-0005-0000-0000-0000C9500000}"/>
    <cellStyle name="Normal 2 5 8 2 3 2 3" xfId="26405" xr:uid="{00000000-0005-0000-0000-0000CA500000}"/>
    <cellStyle name="Normal 2 5 8 2 3 3" xfId="10901" xr:uid="{00000000-0005-0000-0000-0000CB500000}"/>
    <cellStyle name="Normal 2 5 8 2 3 3 2" xfId="30953" xr:uid="{00000000-0005-0000-0000-0000CC500000}"/>
    <cellStyle name="Normal 2 5 8 2 3 4" xfId="21923" xr:uid="{00000000-0005-0000-0000-0000CD500000}"/>
    <cellStyle name="Normal 2 5 8 2 4" xfId="3365" xr:uid="{00000000-0005-0000-0000-0000CE500000}"/>
    <cellStyle name="Normal 2 5 8 2 4 2" xfId="7847" xr:uid="{00000000-0005-0000-0000-0000CF500000}"/>
    <cellStyle name="Normal 2 5 8 2 4 2 2" xfId="16877" xr:uid="{00000000-0005-0000-0000-0000D0500000}"/>
    <cellStyle name="Normal 2 5 8 2 4 2 2 2" xfId="36929" xr:uid="{00000000-0005-0000-0000-0000D1500000}"/>
    <cellStyle name="Normal 2 5 8 2 4 2 3" xfId="27899" xr:uid="{00000000-0005-0000-0000-0000D2500000}"/>
    <cellStyle name="Normal 2 5 8 2 4 3" xfId="12395" xr:uid="{00000000-0005-0000-0000-0000D3500000}"/>
    <cellStyle name="Normal 2 5 8 2 4 3 2" xfId="32447" xr:uid="{00000000-0005-0000-0000-0000D4500000}"/>
    <cellStyle name="Normal 2 5 8 2 4 4" xfId="23417" xr:uid="{00000000-0005-0000-0000-0000D5500000}"/>
    <cellStyle name="Normal 2 5 8 2 5" xfId="4859" xr:uid="{00000000-0005-0000-0000-0000D6500000}"/>
    <cellStyle name="Normal 2 5 8 2 5 2" xfId="13889" xr:uid="{00000000-0005-0000-0000-0000D7500000}"/>
    <cellStyle name="Normal 2 5 8 2 5 2 2" xfId="33941" xr:uid="{00000000-0005-0000-0000-0000D8500000}"/>
    <cellStyle name="Normal 2 5 8 2 5 3" xfId="24911" xr:uid="{00000000-0005-0000-0000-0000D9500000}"/>
    <cellStyle name="Normal 2 5 8 2 6" xfId="9407" xr:uid="{00000000-0005-0000-0000-0000DA500000}"/>
    <cellStyle name="Normal 2 5 8 2 6 2" xfId="29459" xr:uid="{00000000-0005-0000-0000-0000DB500000}"/>
    <cellStyle name="Normal 2 5 8 2 7" xfId="20429" xr:uid="{00000000-0005-0000-0000-0000DC500000}"/>
    <cellStyle name="Normal 2 5 8 3" xfId="563" xr:uid="{00000000-0005-0000-0000-0000DD500000}"/>
    <cellStyle name="Normal 2 5 8 3 2" xfId="1310" xr:uid="{00000000-0005-0000-0000-0000DE500000}"/>
    <cellStyle name="Normal 2 5 8 3 2 2" xfId="2804" xr:uid="{00000000-0005-0000-0000-0000DF500000}"/>
    <cellStyle name="Normal 2 5 8 3 2 2 2" xfId="7286" xr:uid="{00000000-0005-0000-0000-0000E0500000}"/>
    <cellStyle name="Normal 2 5 8 3 2 2 2 2" xfId="16316" xr:uid="{00000000-0005-0000-0000-0000E1500000}"/>
    <cellStyle name="Normal 2 5 8 3 2 2 2 2 2" xfId="36368" xr:uid="{00000000-0005-0000-0000-0000E2500000}"/>
    <cellStyle name="Normal 2 5 8 3 2 2 2 3" xfId="27338" xr:uid="{00000000-0005-0000-0000-0000E3500000}"/>
    <cellStyle name="Normal 2 5 8 3 2 2 3" xfId="11834" xr:uid="{00000000-0005-0000-0000-0000E4500000}"/>
    <cellStyle name="Normal 2 5 8 3 2 2 3 2" xfId="31886" xr:uid="{00000000-0005-0000-0000-0000E5500000}"/>
    <cellStyle name="Normal 2 5 8 3 2 2 4" xfId="22856" xr:uid="{00000000-0005-0000-0000-0000E6500000}"/>
    <cellStyle name="Normal 2 5 8 3 2 3" xfId="4298" xr:uid="{00000000-0005-0000-0000-0000E7500000}"/>
    <cellStyle name="Normal 2 5 8 3 2 3 2" xfId="8780" xr:uid="{00000000-0005-0000-0000-0000E8500000}"/>
    <cellStyle name="Normal 2 5 8 3 2 3 2 2" xfId="17810" xr:uid="{00000000-0005-0000-0000-0000E9500000}"/>
    <cellStyle name="Normal 2 5 8 3 2 3 2 2 2" xfId="37862" xr:uid="{00000000-0005-0000-0000-0000EA500000}"/>
    <cellStyle name="Normal 2 5 8 3 2 3 2 3" xfId="28832" xr:uid="{00000000-0005-0000-0000-0000EB500000}"/>
    <cellStyle name="Normal 2 5 8 3 2 3 3" xfId="13328" xr:uid="{00000000-0005-0000-0000-0000EC500000}"/>
    <cellStyle name="Normal 2 5 8 3 2 3 3 2" xfId="33380" xr:uid="{00000000-0005-0000-0000-0000ED500000}"/>
    <cellStyle name="Normal 2 5 8 3 2 3 4" xfId="24350" xr:uid="{00000000-0005-0000-0000-0000EE500000}"/>
    <cellStyle name="Normal 2 5 8 3 2 4" xfId="5792" xr:uid="{00000000-0005-0000-0000-0000EF500000}"/>
    <cellStyle name="Normal 2 5 8 3 2 4 2" xfId="14822" xr:uid="{00000000-0005-0000-0000-0000F0500000}"/>
    <cellStyle name="Normal 2 5 8 3 2 4 2 2" xfId="34874" xr:uid="{00000000-0005-0000-0000-0000F1500000}"/>
    <cellStyle name="Normal 2 5 8 3 2 4 3" xfId="25844" xr:uid="{00000000-0005-0000-0000-0000F2500000}"/>
    <cellStyle name="Normal 2 5 8 3 2 5" xfId="10340" xr:uid="{00000000-0005-0000-0000-0000F3500000}"/>
    <cellStyle name="Normal 2 5 8 3 2 5 2" xfId="30392" xr:uid="{00000000-0005-0000-0000-0000F4500000}"/>
    <cellStyle name="Normal 2 5 8 3 2 6" xfId="21362" xr:uid="{00000000-0005-0000-0000-0000F5500000}"/>
    <cellStyle name="Normal 2 5 8 3 3" xfId="2057" xr:uid="{00000000-0005-0000-0000-0000F6500000}"/>
    <cellStyle name="Normal 2 5 8 3 3 2" xfId="6539" xr:uid="{00000000-0005-0000-0000-0000F7500000}"/>
    <cellStyle name="Normal 2 5 8 3 3 2 2" xfId="15569" xr:uid="{00000000-0005-0000-0000-0000F8500000}"/>
    <cellStyle name="Normal 2 5 8 3 3 2 2 2" xfId="35621" xr:uid="{00000000-0005-0000-0000-0000F9500000}"/>
    <cellStyle name="Normal 2 5 8 3 3 2 3" xfId="26591" xr:uid="{00000000-0005-0000-0000-0000FA500000}"/>
    <cellStyle name="Normal 2 5 8 3 3 3" xfId="11087" xr:uid="{00000000-0005-0000-0000-0000FB500000}"/>
    <cellStyle name="Normal 2 5 8 3 3 3 2" xfId="31139" xr:uid="{00000000-0005-0000-0000-0000FC500000}"/>
    <cellStyle name="Normal 2 5 8 3 3 4" xfId="22109" xr:uid="{00000000-0005-0000-0000-0000FD500000}"/>
    <cellStyle name="Normal 2 5 8 3 4" xfId="3551" xr:uid="{00000000-0005-0000-0000-0000FE500000}"/>
    <cellStyle name="Normal 2 5 8 3 4 2" xfId="8033" xr:uid="{00000000-0005-0000-0000-0000FF500000}"/>
    <cellStyle name="Normal 2 5 8 3 4 2 2" xfId="17063" xr:uid="{00000000-0005-0000-0000-000000510000}"/>
    <cellStyle name="Normal 2 5 8 3 4 2 2 2" xfId="37115" xr:uid="{00000000-0005-0000-0000-000001510000}"/>
    <cellStyle name="Normal 2 5 8 3 4 2 3" xfId="28085" xr:uid="{00000000-0005-0000-0000-000002510000}"/>
    <cellStyle name="Normal 2 5 8 3 4 3" xfId="12581" xr:uid="{00000000-0005-0000-0000-000003510000}"/>
    <cellStyle name="Normal 2 5 8 3 4 3 2" xfId="32633" xr:uid="{00000000-0005-0000-0000-000004510000}"/>
    <cellStyle name="Normal 2 5 8 3 4 4" xfId="23603" xr:uid="{00000000-0005-0000-0000-000005510000}"/>
    <cellStyle name="Normal 2 5 8 3 5" xfId="5045" xr:uid="{00000000-0005-0000-0000-000006510000}"/>
    <cellStyle name="Normal 2 5 8 3 5 2" xfId="14075" xr:uid="{00000000-0005-0000-0000-000007510000}"/>
    <cellStyle name="Normal 2 5 8 3 5 2 2" xfId="34127" xr:uid="{00000000-0005-0000-0000-000008510000}"/>
    <cellStyle name="Normal 2 5 8 3 5 3" xfId="25097" xr:uid="{00000000-0005-0000-0000-000009510000}"/>
    <cellStyle name="Normal 2 5 8 3 6" xfId="9593" xr:uid="{00000000-0005-0000-0000-00000A510000}"/>
    <cellStyle name="Normal 2 5 8 3 6 2" xfId="29645" xr:uid="{00000000-0005-0000-0000-00000B510000}"/>
    <cellStyle name="Normal 2 5 8 3 7" xfId="20615" xr:uid="{00000000-0005-0000-0000-00000C510000}"/>
    <cellStyle name="Normal 2 5 8 4" xfId="749" xr:uid="{00000000-0005-0000-0000-00000D510000}"/>
    <cellStyle name="Normal 2 5 8 4 2" xfId="1496" xr:uid="{00000000-0005-0000-0000-00000E510000}"/>
    <cellStyle name="Normal 2 5 8 4 2 2" xfId="2990" xr:uid="{00000000-0005-0000-0000-00000F510000}"/>
    <cellStyle name="Normal 2 5 8 4 2 2 2" xfId="7472" xr:uid="{00000000-0005-0000-0000-000010510000}"/>
    <cellStyle name="Normal 2 5 8 4 2 2 2 2" xfId="16502" xr:uid="{00000000-0005-0000-0000-000011510000}"/>
    <cellStyle name="Normal 2 5 8 4 2 2 2 2 2" xfId="36554" xr:uid="{00000000-0005-0000-0000-000012510000}"/>
    <cellStyle name="Normal 2 5 8 4 2 2 2 3" xfId="27524" xr:uid="{00000000-0005-0000-0000-000013510000}"/>
    <cellStyle name="Normal 2 5 8 4 2 2 3" xfId="12020" xr:uid="{00000000-0005-0000-0000-000014510000}"/>
    <cellStyle name="Normal 2 5 8 4 2 2 3 2" xfId="32072" xr:uid="{00000000-0005-0000-0000-000015510000}"/>
    <cellStyle name="Normal 2 5 8 4 2 2 4" xfId="23042" xr:uid="{00000000-0005-0000-0000-000016510000}"/>
    <cellStyle name="Normal 2 5 8 4 2 3" xfId="4484" xr:uid="{00000000-0005-0000-0000-000017510000}"/>
    <cellStyle name="Normal 2 5 8 4 2 3 2" xfId="8966" xr:uid="{00000000-0005-0000-0000-000018510000}"/>
    <cellStyle name="Normal 2 5 8 4 2 3 2 2" xfId="17996" xr:uid="{00000000-0005-0000-0000-000019510000}"/>
    <cellStyle name="Normal 2 5 8 4 2 3 2 2 2" xfId="38048" xr:uid="{00000000-0005-0000-0000-00001A510000}"/>
    <cellStyle name="Normal 2 5 8 4 2 3 2 3" xfId="29018" xr:uid="{00000000-0005-0000-0000-00001B510000}"/>
    <cellStyle name="Normal 2 5 8 4 2 3 3" xfId="13514" xr:uid="{00000000-0005-0000-0000-00001C510000}"/>
    <cellStyle name="Normal 2 5 8 4 2 3 3 2" xfId="33566" xr:uid="{00000000-0005-0000-0000-00001D510000}"/>
    <cellStyle name="Normal 2 5 8 4 2 3 4" xfId="24536" xr:uid="{00000000-0005-0000-0000-00001E510000}"/>
    <cellStyle name="Normal 2 5 8 4 2 4" xfId="5978" xr:uid="{00000000-0005-0000-0000-00001F510000}"/>
    <cellStyle name="Normal 2 5 8 4 2 4 2" xfId="15008" xr:uid="{00000000-0005-0000-0000-000020510000}"/>
    <cellStyle name="Normal 2 5 8 4 2 4 2 2" xfId="35060" xr:uid="{00000000-0005-0000-0000-000021510000}"/>
    <cellStyle name="Normal 2 5 8 4 2 4 3" xfId="26030" xr:uid="{00000000-0005-0000-0000-000022510000}"/>
    <cellStyle name="Normal 2 5 8 4 2 5" xfId="10526" xr:uid="{00000000-0005-0000-0000-000023510000}"/>
    <cellStyle name="Normal 2 5 8 4 2 5 2" xfId="30578" xr:uid="{00000000-0005-0000-0000-000024510000}"/>
    <cellStyle name="Normal 2 5 8 4 2 6" xfId="21548" xr:uid="{00000000-0005-0000-0000-000025510000}"/>
    <cellStyle name="Normal 2 5 8 4 3" xfId="2243" xr:uid="{00000000-0005-0000-0000-000026510000}"/>
    <cellStyle name="Normal 2 5 8 4 3 2" xfId="6725" xr:uid="{00000000-0005-0000-0000-000027510000}"/>
    <cellStyle name="Normal 2 5 8 4 3 2 2" xfId="15755" xr:uid="{00000000-0005-0000-0000-000028510000}"/>
    <cellStyle name="Normal 2 5 8 4 3 2 2 2" xfId="35807" xr:uid="{00000000-0005-0000-0000-000029510000}"/>
    <cellStyle name="Normal 2 5 8 4 3 2 3" xfId="26777" xr:uid="{00000000-0005-0000-0000-00002A510000}"/>
    <cellStyle name="Normal 2 5 8 4 3 3" xfId="11273" xr:uid="{00000000-0005-0000-0000-00002B510000}"/>
    <cellStyle name="Normal 2 5 8 4 3 3 2" xfId="31325" xr:uid="{00000000-0005-0000-0000-00002C510000}"/>
    <cellStyle name="Normal 2 5 8 4 3 4" xfId="22295" xr:uid="{00000000-0005-0000-0000-00002D510000}"/>
    <cellStyle name="Normal 2 5 8 4 4" xfId="3737" xr:uid="{00000000-0005-0000-0000-00002E510000}"/>
    <cellStyle name="Normal 2 5 8 4 4 2" xfId="8219" xr:uid="{00000000-0005-0000-0000-00002F510000}"/>
    <cellStyle name="Normal 2 5 8 4 4 2 2" xfId="17249" xr:uid="{00000000-0005-0000-0000-000030510000}"/>
    <cellStyle name="Normal 2 5 8 4 4 2 2 2" xfId="37301" xr:uid="{00000000-0005-0000-0000-000031510000}"/>
    <cellStyle name="Normal 2 5 8 4 4 2 3" xfId="28271" xr:uid="{00000000-0005-0000-0000-000032510000}"/>
    <cellStyle name="Normal 2 5 8 4 4 3" xfId="12767" xr:uid="{00000000-0005-0000-0000-000033510000}"/>
    <cellStyle name="Normal 2 5 8 4 4 3 2" xfId="32819" xr:uid="{00000000-0005-0000-0000-000034510000}"/>
    <cellStyle name="Normal 2 5 8 4 4 4" xfId="23789" xr:uid="{00000000-0005-0000-0000-000035510000}"/>
    <cellStyle name="Normal 2 5 8 4 5" xfId="5231" xr:uid="{00000000-0005-0000-0000-000036510000}"/>
    <cellStyle name="Normal 2 5 8 4 5 2" xfId="14261" xr:uid="{00000000-0005-0000-0000-000037510000}"/>
    <cellStyle name="Normal 2 5 8 4 5 2 2" xfId="34313" xr:uid="{00000000-0005-0000-0000-000038510000}"/>
    <cellStyle name="Normal 2 5 8 4 5 3" xfId="25283" xr:uid="{00000000-0005-0000-0000-000039510000}"/>
    <cellStyle name="Normal 2 5 8 4 6" xfId="9779" xr:uid="{00000000-0005-0000-0000-00003A510000}"/>
    <cellStyle name="Normal 2 5 8 4 6 2" xfId="29831" xr:uid="{00000000-0005-0000-0000-00003B510000}"/>
    <cellStyle name="Normal 2 5 8 4 7" xfId="20801" xr:uid="{00000000-0005-0000-0000-00003C510000}"/>
    <cellStyle name="Normal 2 5 8 5" xfId="936" xr:uid="{00000000-0005-0000-0000-00003D510000}"/>
    <cellStyle name="Normal 2 5 8 5 2" xfId="2430" xr:uid="{00000000-0005-0000-0000-00003E510000}"/>
    <cellStyle name="Normal 2 5 8 5 2 2" xfId="6912" xr:uid="{00000000-0005-0000-0000-00003F510000}"/>
    <cellStyle name="Normal 2 5 8 5 2 2 2" xfId="15942" xr:uid="{00000000-0005-0000-0000-000040510000}"/>
    <cellStyle name="Normal 2 5 8 5 2 2 2 2" xfId="35994" xr:uid="{00000000-0005-0000-0000-000041510000}"/>
    <cellStyle name="Normal 2 5 8 5 2 2 3" xfId="26964" xr:uid="{00000000-0005-0000-0000-000042510000}"/>
    <cellStyle name="Normal 2 5 8 5 2 3" xfId="11460" xr:uid="{00000000-0005-0000-0000-000043510000}"/>
    <cellStyle name="Normal 2 5 8 5 2 3 2" xfId="31512" xr:uid="{00000000-0005-0000-0000-000044510000}"/>
    <cellStyle name="Normal 2 5 8 5 2 4" xfId="22482" xr:uid="{00000000-0005-0000-0000-000045510000}"/>
    <cellStyle name="Normal 2 5 8 5 3" xfId="3924" xr:uid="{00000000-0005-0000-0000-000046510000}"/>
    <cellStyle name="Normal 2 5 8 5 3 2" xfId="8406" xr:uid="{00000000-0005-0000-0000-000047510000}"/>
    <cellStyle name="Normal 2 5 8 5 3 2 2" xfId="17436" xr:uid="{00000000-0005-0000-0000-000048510000}"/>
    <cellStyle name="Normal 2 5 8 5 3 2 2 2" xfId="37488" xr:uid="{00000000-0005-0000-0000-000049510000}"/>
    <cellStyle name="Normal 2 5 8 5 3 2 3" xfId="28458" xr:uid="{00000000-0005-0000-0000-00004A510000}"/>
    <cellStyle name="Normal 2 5 8 5 3 3" xfId="12954" xr:uid="{00000000-0005-0000-0000-00004B510000}"/>
    <cellStyle name="Normal 2 5 8 5 3 3 2" xfId="33006" xr:uid="{00000000-0005-0000-0000-00004C510000}"/>
    <cellStyle name="Normal 2 5 8 5 3 4" xfId="23976" xr:uid="{00000000-0005-0000-0000-00004D510000}"/>
    <cellStyle name="Normal 2 5 8 5 4" xfId="5418" xr:uid="{00000000-0005-0000-0000-00004E510000}"/>
    <cellStyle name="Normal 2 5 8 5 4 2" xfId="14448" xr:uid="{00000000-0005-0000-0000-00004F510000}"/>
    <cellStyle name="Normal 2 5 8 5 4 2 2" xfId="34500" xr:uid="{00000000-0005-0000-0000-000050510000}"/>
    <cellStyle name="Normal 2 5 8 5 4 3" xfId="25470" xr:uid="{00000000-0005-0000-0000-000051510000}"/>
    <cellStyle name="Normal 2 5 8 5 5" xfId="9966" xr:uid="{00000000-0005-0000-0000-000052510000}"/>
    <cellStyle name="Normal 2 5 8 5 5 2" xfId="30018" xr:uid="{00000000-0005-0000-0000-000053510000}"/>
    <cellStyle name="Normal 2 5 8 5 6" xfId="20988" xr:uid="{00000000-0005-0000-0000-000054510000}"/>
    <cellStyle name="Normal 2 5 8 6" xfId="1685" xr:uid="{00000000-0005-0000-0000-000055510000}"/>
    <cellStyle name="Normal 2 5 8 6 2" xfId="6167" xr:uid="{00000000-0005-0000-0000-000056510000}"/>
    <cellStyle name="Normal 2 5 8 6 2 2" xfId="15197" xr:uid="{00000000-0005-0000-0000-000057510000}"/>
    <cellStyle name="Normal 2 5 8 6 2 2 2" xfId="35249" xr:uid="{00000000-0005-0000-0000-000058510000}"/>
    <cellStyle name="Normal 2 5 8 6 2 3" xfId="26219" xr:uid="{00000000-0005-0000-0000-000059510000}"/>
    <cellStyle name="Normal 2 5 8 6 3" xfId="10715" xr:uid="{00000000-0005-0000-0000-00005A510000}"/>
    <cellStyle name="Normal 2 5 8 6 3 2" xfId="30767" xr:uid="{00000000-0005-0000-0000-00005B510000}"/>
    <cellStyle name="Normal 2 5 8 6 4" xfId="21737" xr:uid="{00000000-0005-0000-0000-00005C510000}"/>
    <cellStyle name="Normal 2 5 8 7" xfId="3179" xr:uid="{00000000-0005-0000-0000-00005D510000}"/>
    <cellStyle name="Normal 2 5 8 7 2" xfId="7661" xr:uid="{00000000-0005-0000-0000-00005E510000}"/>
    <cellStyle name="Normal 2 5 8 7 2 2" xfId="16691" xr:uid="{00000000-0005-0000-0000-00005F510000}"/>
    <cellStyle name="Normal 2 5 8 7 2 2 2" xfId="36743" xr:uid="{00000000-0005-0000-0000-000060510000}"/>
    <cellStyle name="Normal 2 5 8 7 2 3" xfId="27713" xr:uid="{00000000-0005-0000-0000-000061510000}"/>
    <cellStyle name="Normal 2 5 8 7 3" xfId="12209" xr:uid="{00000000-0005-0000-0000-000062510000}"/>
    <cellStyle name="Normal 2 5 8 7 3 2" xfId="32261" xr:uid="{00000000-0005-0000-0000-000063510000}"/>
    <cellStyle name="Normal 2 5 8 7 4" xfId="23231" xr:uid="{00000000-0005-0000-0000-000064510000}"/>
    <cellStyle name="Normal 2 5 8 8" xfId="4673" xr:uid="{00000000-0005-0000-0000-000065510000}"/>
    <cellStyle name="Normal 2 5 8 8 2" xfId="13703" xr:uid="{00000000-0005-0000-0000-000066510000}"/>
    <cellStyle name="Normal 2 5 8 8 2 2" xfId="33755" xr:uid="{00000000-0005-0000-0000-000067510000}"/>
    <cellStyle name="Normal 2 5 8 8 3" xfId="24725" xr:uid="{00000000-0005-0000-0000-000068510000}"/>
    <cellStyle name="Normal 2 5 8 9" xfId="9221" xr:uid="{00000000-0005-0000-0000-000069510000}"/>
    <cellStyle name="Normal 2 5 8 9 2" xfId="29273" xr:uid="{00000000-0005-0000-0000-00006A510000}"/>
    <cellStyle name="Normal 2 5 9" xfId="214" xr:uid="{00000000-0005-0000-0000-00006B510000}"/>
    <cellStyle name="Normal 2 5 9 2" xfId="959" xr:uid="{00000000-0005-0000-0000-00006C510000}"/>
    <cellStyle name="Normal 2 5 9 2 2" xfId="2453" xr:uid="{00000000-0005-0000-0000-00006D510000}"/>
    <cellStyle name="Normal 2 5 9 2 2 2" xfId="6935" xr:uid="{00000000-0005-0000-0000-00006E510000}"/>
    <cellStyle name="Normal 2 5 9 2 2 2 2" xfId="15965" xr:uid="{00000000-0005-0000-0000-00006F510000}"/>
    <cellStyle name="Normal 2 5 9 2 2 2 2 2" xfId="36017" xr:uid="{00000000-0005-0000-0000-000070510000}"/>
    <cellStyle name="Normal 2 5 9 2 2 2 3" xfId="26987" xr:uid="{00000000-0005-0000-0000-000071510000}"/>
    <cellStyle name="Normal 2 5 9 2 2 3" xfId="11483" xr:uid="{00000000-0005-0000-0000-000072510000}"/>
    <cellStyle name="Normal 2 5 9 2 2 3 2" xfId="31535" xr:uid="{00000000-0005-0000-0000-000073510000}"/>
    <cellStyle name="Normal 2 5 9 2 2 4" xfId="22505" xr:uid="{00000000-0005-0000-0000-000074510000}"/>
    <cellStyle name="Normal 2 5 9 2 3" xfId="3947" xr:uid="{00000000-0005-0000-0000-000075510000}"/>
    <cellStyle name="Normal 2 5 9 2 3 2" xfId="8429" xr:uid="{00000000-0005-0000-0000-000076510000}"/>
    <cellStyle name="Normal 2 5 9 2 3 2 2" xfId="17459" xr:uid="{00000000-0005-0000-0000-000077510000}"/>
    <cellStyle name="Normal 2 5 9 2 3 2 2 2" xfId="37511" xr:uid="{00000000-0005-0000-0000-000078510000}"/>
    <cellStyle name="Normal 2 5 9 2 3 2 3" xfId="28481" xr:uid="{00000000-0005-0000-0000-000079510000}"/>
    <cellStyle name="Normal 2 5 9 2 3 3" xfId="12977" xr:uid="{00000000-0005-0000-0000-00007A510000}"/>
    <cellStyle name="Normal 2 5 9 2 3 3 2" xfId="33029" xr:uid="{00000000-0005-0000-0000-00007B510000}"/>
    <cellStyle name="Normal 2 5 9 2 3 4" xfId="23999" xr:uid="{00000000-0005-0000-0000-00007C510000}"/>
    <cellStyle name="Normal 2 5 9 2 4" xfId="5441" xr:uid="{00000000-0005-0000-0000-00007D510000}"/>
    <cellStyle name="Normal 2 5 9 2 4 2" xfId="14471" xr:uid="{00000000-0005-0000-0000-00007E510000}"/>
    <cellStyle name="Normal 2 5 9 2 4 2 2" xfId="34523" xr:uid="{00000000-0005-0000-0000-00007F510000}"/>
    <cellStyle name="Normal 2 5 9 2 4 3" xfId="25493" xr:uid="{00000000-0005-0000-0000-000080510000}"/>
    <cellStyle name="Normal 2 5 9 2 5" xfId="9989" xr:uid="{00000000-0005-0000-0000-000081510000}"/>
    <cellStyle name="Normal 2 5 9 2 5 2" xfId="30041" xr:uid="{00000000-0005-0000-0000-000082510000}"/>
    <cellStyle name="Normal 2 5 9 2 6" xfId="21011" xr:uid="{00000000-0005-0000-0000-000083510000}"/>
    <cellStyle name="Normal 2 5 9 3" xfId="1708" xr:uid="{00000000-0005-0000-0000-000084510000}"/>
    <cellStyle name="Normal 2 5 9 3 2" xfId="6190" xr:uid="{00000000-0005-0000-0000-000085510000}"/>
    <cellStyle name="Normal 2 5 9 3 2 2" xfId="15220" xr:uid="{00000000-0005-0000-0000-000086510000}"/>
    <cellStyle name="Normal 2 5 9 3 2 2 2" xfId="35272" xr:uid="{00000000-0005-0000-0000-000087510000}"/>
    <cellStyle name="Normal 2 5 9 3 2 3" xfId="26242" xr:uid="{00000000-0005-0000-0000-000088510000}"/>
    <cellStyle name="Normal 2 5 9 3 3" xfId="10738" xr:uid="{00000000-0005-0000-0000-000089510000}"/>
    <cellStyle name="Normal 2 5 9 3 3 2" xfId="30790" xr:uid="{00000000-0005-0000-0000-00008A510000}"/>
    <cellStyle name="Normal 2 5 9 3 4" xfId="21760" xr:uid="{00000000-0005-0000-0000-00008B510000}"/>
    <cellStyle name="Normal 2 5 9 4" xfId="3202" xr:uid="{00000000-0005-0000-0000-00008C510000}"/>
    <cellStyle name="Normal 2 5 9 4 2" xfId="7684" xr:uid="{00000000-0005-0000-0000-00008D510000}"/>
    <cellStyle name="Normal 2 5 9 4 2 2" xfId="16714" xr:uid="{00000000-0005-0000-0000-00008E510000}"/>
    <cellStyle name="Normal 2 5 9 4 2 2 2" xfId="36766" xr:uid="{00000000-0005-0000-0000-00008F510000}"/>
    <cellStyle name="Normal 2 5 9 4 2 3" xfId="27736" xr:uid="{00000000-0005-0000-0000-000090510000}"/>
    <cellStyle name="Normal 2 5 9 4 3" xfId="12232" xr:uid="{00000000-0005-0000-0000-000091510000}"/>
    <cellStyle name="Normal 2 5 9 4 3 2" xfId="32284" xr:uid="{00000000-0005-0000-0000-000092510000}"/>
    <cellStyle name="Normal 2 5 9 4 4" xfId="23254" xr:uid="{00000000-0005-0000-0000-000093510000}"/>
    <cellStyle name="Normal 2 5 9 5" xfId="4696" xr:uid="{00000000-0005-0000-0000-000094510000}"/>
    <cellStyle name="Normal 2 5 9 5 2" xfId="13726" xr:uid="{00000000-0005-0000-0000-000095510000}"/>
    <cellStyle name="Normal 2 5 9 5 2 2" xfId="33778" xr:uid="{00000000-0005-0000-0000-000096510000}"/>
    <cellStyle name="Normal 2 5 9 5 3" xfId="24748" xr:uid="{00000000-0005-0000-0000-000097510000}"/>
    <cellStyle name="Normal 2 5 9 6" xfId="9244" xr:uid="{00000000-0005-0000-0000-000098510000}"/>
    <cellStyle name="Normal 2 5 9 6 2" xfId="29296" xr:uid="{00000000-0005-0000-0000-000099510000}"/>
    <cellStyle name="Normal 2 5 9 7" xfId="20266" xr:uid="{00000000-0005-0000-0000-00009A510000}"/>
    <cellStyle name="Normal 2 6" xfId="33" xr:uid="{00000000-0005-0000-0000-00009B510000}"/>
    <cellStyle name="Normal 2 6 10" xfId="20085" xr:uid="{00000000-0005-0000-0000-00009C510000}"/>
    <cellStyle name="Normal 2 6 2" xfId="219" xr:uid="{00000000-0005-0000-0000-00009D510000}"/>
    <cellStyle name="Normal 2 6 2 2" xfId="964" xr:uid="{00000000-0005-0000-0000-00009E510000}"/>
    <cellStyle name="Normal 2 6 2 2 2" xfId="2458" xr:uid="{00000000-0005-0000-0000-00009F510000}"/>
    <cellStyle name="Normal 2 6 2 2 2 2" xfId="6940" xr:uid="{00000000-0005-0000-0000-0000A0510000}"/>
    <cellStyle name="Normal 2 6 2 2 2 2 2" xfId="15970" xr:uid="{00000000-0005-0000-0000-0000A1510000}"/>
    <cellStyle name="Normal 2 6 2 2 2 2 2 2" xfId="36022" xr:uid="{00000000-0005-0000-0000-0000A2510000}"/>
    <cellStyle name="Normal 2 6 2 2 2 2 3" xfId="26992" xr:uid="{00000000-0005-0000-0000-0000A3510000}"/>
    <cellStyle name="Normal 2 6 2 2 2 3" xfId="11488" xr:uid="{00000000-0005-0000-0000-0000A4510000}"/>
    <cellStyle name="Normal 2 6 2 2 2 3 2" xfId="31540" xr:uid="{00000000-0005-0000-0000-0000A5510000}"/>
    <cellStyle name="Normal 2 6 2 2 2 4" xfId="22510" xr:uid="{00000000-0005-0000-0000-0000A6510000}"/>
    <cellStyle name="Normal 2 6 2 2 3" xfId="3952" xr:uid="{00000000-0005-0000-0000-0000A7510000}"/>
    <cellStyle name="Normal 2 6 2 2 3 2" xfId="8434" xr:uid="{00000000-0005-0000-0000-0000A8510000}"/>
    <cellStyle name="Normal 2 6 2 2 3 2 2" xfId="17464" xr:uid="{00000000-0005-0000-0000-0000A9510000}"/>
    <cellStyle name="Normal 2 6 2 2 3 2 2 2" xfId="37516" xr:uid="{00000000-0005-0000-0000-0000AA510000}"/>
    <cellStyle name="Normal 2 6 2 2 3 2 3" xfId="28486" xr:uid="{00000000-0005-0000-0000-0000AB510000}"/>
    <cellStyle name="Normal 2 6 2 2 3 3" xfId="12982" xr:uid="{00000000-0005-0000-0000-0000AC510000}"/>
    <cellStyle name="Normal 2 6 2 2 3 3 2" xfId="33034" xr:uid="{00000000-0005-0000-0000-0000AD510000}"/>
    <cellStyle name="Normal 2 6 2 2 3 4" xfId="24004" xr:uid="{00000000-0005-0000-0000-0000AE510000}"/>
    <cellStyle name="Normal 2 6 2 2 4" xfId="5446" xr:uid="{00000000-0005-0000-0000-0000AF510000}"/>
    <cellStyle name="Normal 2 6 2 2 4 2" xfId="14476" xr:uid="{00000000-0005-0000-0000-0000B0510000}"/>
    <cellStyle name="Normal 2 6 2 2 4 2 2" xfId="34528" xr:uid="{00000000-0005-0000-0000-0000B1510000}"/>
    <cellStyle name="Normal 2 6 2 2 4 3" xfId="25498" xr:uid="{00000000-0005-0000-0000-0000B2510000}"/>
    <cellStyle name="Normal 2 6 2 2 5" xfId="9994" xr:uid="{00000000-0005-0000-0000-0000B3510000}"/>
    <cellStyle name="Normal 2 6 2 2 5 2" xfId="30046" xr:uid="{00000000-0005-0000-0000-0000B4510000}"/>
    <cellStyle name="Normal 2 6 2 2 6" xfId="21016" xr:uid="{00000000-0005-0000-0000-0000B5510000}"/>
    <cellStyle name="Normal 2 6 2 3" xfId="1713" xr:uid="{00000000-0005-0000-0000-0000B6510000}"/>
    <cellStyle name="Normal 2 6 2 3 2" xfId="6195" xr:uid="{00000000-0005-0000-0000-0000B7510000}"/>
    <cellStyle name="Normal 2 6 2 3 2 2" xfId="15225" xr:uid="{00000000-0005-0000-0000-0000B8510000}"/>
    <cellStyle name="Normal 2 6 2 3 2 2 2" xfId="35277" xr:uid="{00000000-0005-0000-0000-0000B9510000}"/>
    <cellStyle name="Normal 2 6 2 3 2 3" xfId="26247" xr:uid="{00000000-0005-0000-0000-0000BA510000}"/>
    <cellStyle name="Normal 2 6 2 3 3" xfId="10743" xr:uid="{00000000-0005-0000-0000-0000BB510000}"/>
    <cellStyle name="Normal 2 6 2 3 3 2" xfId="30795" xr:uid="{00000000-0005-0000-0000-0000BC510000}"/>
    <cellStyle name="Normal 2 6 2 3 4" xfId="21765" xr:uid="{00000000-0005-0000-0000-0000BD510000}"/>
    <cellStyle name="Normal 2 6 2 4" xfId="3207" xr:uid="{00000000-0005-0000-0000-0000BE510000}"/>
    <cellStyle name="Normal 2 6 2 4 2" xfId="7689" xr:uid="{00000000-0005-0000-0000-0000BF510000}"/>
    <cellStyle name="Normal 2 6 2 4 2 2" xfId="16719" xr:uid="{00000000-0005-0000-0000-0000C0510000}"/>
    <cellStyle name="Normal 2 6 2 4 2 2 2" xfId="36771" xr:uid="{00000000-0005-0000-0000-0000C1510000}"/>
    <cellStyle name="Normal 2 6 2 4 2 3" xfId="27741" xr:uid="{00000000-0005-0000-0000-0000C2510000}"/>
    <cellStyle name="Normal 2 6 2 4 3" xfId="12237" xr:uid="{00000000-0005-0000-0000-0000C3510000}"/>
    <cellStyle name="Normal 2 6 2 4 3 2" xfId="32289" xr:uid="{00000000-0005-0000-0000-0000C4510000}"/>
    <cellStyle name="Normal 2 6 2 4 4" xfId="23259" xr:uid="{00000000-0005-0000-0000-0000C5510000}"/>
    <cellStyle name="Normal 2 6 2 5" xfId="4701" xr:uid="{00000000-0005-0000-0000-0000C6510000}"/>
    <cellStyle name="Normal 2 6 2 5 2" xfId="13731" xr:uid="{00000000-0005-0000-0000-0000C7510000}"/>
    <cellStyle name="Normal 2 6 2 5 2 2" xfId="33783" xr:uid="{00000000-0005-0000-0000-0000C8510000}"/>
    <cellStyle name="Normal 2 6 2 5 3" xfId="24753" xr:uid="{00000000-0005-0000-0000-0000C9510000}"/>
    <cellStyle name="Normal 2 6 2 6" xfId="9249" xr:uid="{00000000-0005-0000-0000-0000CA510000}"/>
    <cellStyle name="Normal 2 6 2 6 2" xfId="29301" xr:uid="{00000000-0005-0000-0000-0000CB510000}"/>
    <cellStyle name="Normal 2 6 2 7" xfId="20271" xr:uid="{00000000-0005-0000-0000-0000CC510000}"/>
    <cellStyle name="Normal 2 6 3" xfId="405" xr:uid="{00000000-0005-0000-0000-0000CD510000}"/>
    <cellStyle name="Normal 2 6 3 2" xfId="1152" xr:uid="{00000000-0005-0000-0000-0000CE510000}"/>
    <cellStyle name="Normal 2 6 3 2 2" xfId="2646" xr:uid="{00000000-0005-0000-0000-0000CF510000}"/>
    <cellStyle name="Normal 2 6 3 2 2 2" xfId="7128" xr:uid="{00000000-0005-0000-0000-0000D0510000}"/>
    <cellStyle name="Normal 2 6 3 2 2 2 2" xfId="16158" xr:uid="{00000000-0005-0000-0000-0000D1510000}"/>
    <cellStyle name="Normal 2 6 3 2 2 2 2 2" xfId="36210" xr:uid="{00000000-0005-0000-0000-0000D2510000}"/>
    <cellStyle name="Normal 2 6 3 2 2 2 3" xfId="27180" xr:uid="{00000000-0005-0000-0000-0000D3510000}"/>
    <cellStyle name="Normal 2 6 3 2 2 3" xfId="11676" xr:uid="{00000000-0005-0000-0000-0000D4510000}"/>
    <cellStyle name="Normal 2 6 3 2 2 3 2" xfId="31728" xr:uid="{00000000-0005-0000-0000-0000D5510000}"/>
    <cellStyle name="Normal 2 6 3 2 2 4" xfId="22698" xr:uid="{00000000-0005-0000-0000-0000D6510000}"/>
    <cellStyle name="Normal 2 6 3 2 3" xfId="4140" xr:uid="{00000000-0005-0000-0000-0000D7510000}"/>
    <cellStyle name="Normal 2 6 3 2 3 2" xfId="8622" xr:uid="{00000000-0005-0000-0000-0000D8510000}"/>
    <cellStyle name="Normal 2 6 3 2 3 2 2" xfId="17652" xr:uid="{00000000-0005-0000-0000-0000D9510000}"/>
    <cellStyle name="Normal 2 6 3 2 3 2 2 2" xfId="37704" xr:uid="{00000000-0005-0000-0000-0000DA510000}"/>
    <cellStyle name="Normal 2 6 3 2 3 2 3" xfId="28674" xr:uid="{00000000-0005-0000-0000-0000DB510000}"/>
    <cellStyle name="Normal 2 6 3 2 3 3" xfId="13170" xr:uid="{00000000-0005-0000-0000-0000DC510000}"/>
    <cellStyle name="Normal 2 6 3 2 3 3 2" xfId="33222" xr:uid="{00000000-0005-0000-0000-0000DD510000}"/>
    <cellStyle name="Normal 2 6 3 2 3 4" xfId="24192" xr:uid="{00000000-0005-0000-0000-0000DE510000}"/>
    <cellStyle name="Normal 2 6 3 2 4" xfId="5634" xr:uid="{00000000-0005-0000-0000-0000DF510000}"/>
    <cellStyle name="Normal 2 6 3 2 4 2" xfId="14664" xr:uid="{00000000-0005-0000-0000-0000E0510000}"/>
    <cellStyle name="Normal 2 6 3 2 4 2 2" xfId="34716" xr:uid="{00000000-0005-0000-0000-0000E1510000}"/>
    <cellStyle name="Normal 2 6 3 2 4 3" xfId="25686" xr:uid="{00000000-0005-0000-0000-0000E2510000}"/>
    <cellStyle name="Normal 2 6 3 2 5" xfId="10182" xr:uid="{00000000-0005-0000-0000-0000E3510000}"/>
    <cellStyle name="Normal 2 6 3 2 5 2" xfId="30234" xr:uid="{00000000-0005-0000-0000-0000E4510000}"/>
    <cellStyle name="Normal 2 6 3 2 6" xfId="21204" xr:uid="{00000000-0005-0000-0000-0000E5510000}"/>
    <cellStyle name="Normal 2 6 3 3" xfId="1899" xr:uid="{00000000-0005-0000-0000-0000E6510000}"/>
    <cellStyle name="Normal 2 6 3 3 2" xfId="6381" xr:uid="{00000000-0005-0000-0000-0000E7510000}"/>
    <cellStyle name="Normal 2 6 3 3 2 2" xfId="15411" xr:uid="{00000000-0005-0000-0000-0000E8510000}"/>
    <cellStyle name="Normal 2 6 3 3 2 2 2" xfId="35463" xr:uid="{00000000-0005-0000-0000-0000E9510000}"/>
    <cellStyle name="Normal 2 6 3 3 2 3" xfId="26433" xr:uid="{00000000-0005-0000-0000-0000EA510000}"/>
    <cellStyle name="Normal 2 6 3 3 3" xfId="10929" xr:uid="{00000000-0005-0000-0000-0000EB510000}"/>
    <cellStyle name="Normal 2 6 3 3 3 2" xfId="30981" xr:uid="{00000000-0005-0000-0000-0000EC510000}"/>
    <cellStyle name="Normal 2 6 3 3 4" xfId="21951" xr:uid="{00000000-0005-0000-0000-0000ED510000}"/>
    <cellStyle name="Normal 2 6 3 4" xfId="3393" xr:uid="{00000000-0005-0000-0000-0000EE510000}"/>
    <cellStyle name="Normal 2 6 3 4 2" xfId="7875" xr:uid="{00000000-0005-0000-0000-0000EF510000}"/>
    <cellStyle name="Normal 2 6 3 4 2 2" xfId="16905" xr:uid="{00000000-0005-0000-0000-0000F0510000}"/>
    <cellStyle name="Normal 2 6 3 4 2 2 2" xfId="36957" xr:uid="{00000000-0005-0000-0000-0000F1510000}"/>
    <cellStyle name="Normal 2 6 3 4 2 3" xfId="27927" xr:uid="{00000000-0005-0000-0000-0000F2510000}"/>
    <cellStyle name="Normal 2 6 3 4 3" xfId="12423" xr:uid="{00000000-0005-0000-0000-0000F3510000}"/>
    <cellStyle name="Normal 2 6 3 4 3 2" xfId="32475" xr:uid="{00000000-0005-0000-0000-0000F4510000}"/>
    <cellStyle name="Normal 2 6 3 4 4" xfId="23445" xr:uid="{00000000-0005-0000-0000-0000F5510000}"/>
    <cellStyle name="Normal 2 6 3 5" xfId="4887" xr:uid="{00000000-0005-0000-0000-0000F6510000}"/>
    <cellStyle name="Normal 2 6 3 5 2" xfId="13917" xr:uid="{00000000-0005-0000-0000-0000F7510000}"/>
    <cellStyle name="Normal 2 6 3 5 2 2" xfId="33969" xr:uid="{00000000-0005-0000-0000-0000F8510000}"/>
    <cellStyle name="Normal 2 6 3 5 3" xfId="24939" xr:uid="{00000000-0005-0000-0000-0000F9510000}"/>
    <cellStyle name="Normal 2 6 3 6" xfId="9435" xr:uid="{00000000-0005-0000-0000-0000FA510000}"/>
    <cellStyle name="Normal 2 6 3 6 2" xfId="29487" xr:uid="{00000000-0005-0000-0000-0000FB510000}"/>
    <cellStyle name="Normal 2 6 3 7" xfId="20457" xr:uid="{00000000-0005-0000-0000-0000FC510000}"/>
    <cellStyle name="Normal 2 6 4" xfId="591" xr:uid="{00000000-0005-0000-0000-0000FD510000}"/>
    <cellStyle name="Normal 2 6 4 2" xfId="1338" xr:uid="{00000000-0005-0000-0000-0000FE510000}"/>
    <cellStyle name="Normal 2 6 4 2 2" xfId="2832" xr:uid="{00000000-0005-0000-0000-0000FF510000}"/>
    <cellStyle name="Normal 2 6 4 2 2 2" xfId="7314" xr:uid="{00000000-0005-0000-0000-000000520000}"/>
    <cellStyle name="Normal 2 6 4 2 2 2 2" xfId="16344" xr:uid="{00000000-0005-0000-0000-000001520000}"/>
    <cellStyle name="Normal 2 6 4 2 2 2 2 2" xfId="36396" xr:uid="{00000000-0005-0000-0000-000002520000}"/>
    <cellStyle name="Normal 2 6 4 2 2 2 3" xfId="27366" xr:uid="{00000000-0005-0000-0000-000003520000}"/>
    <cellStyle name="Normal 2 6 4 2 2 3" xfId="11862" xr:uid="{00000000-0005-0000-0000-000004520000}"/>
    <cellStyle name="Normal 2 6 4 2 2 3 2" xfId="31914" xr:uid="{00000000-0005-0000-0000-000005520000}"/>
    <cellStyle name="Normal 2 6 4 2 2 4" xfId="22884" xr:uid="{00000000-0005-0000-0000-000006520000}"/>
    <cellStyle name="Normal 2 6 4 2 3" xfId="4326" xr:uid="{00000000-0005-0000-0000-000007520000}"/>
    <cellStyle name="Normal 2 6 4 2 3 2" xfId="8808" xr:uid="{00000000-0005-0000-0000-000008520000}"/>
    <cellStyle name="Normal 2 6 4 2 3 2 2" xfId="17838" xr:uid="{00000000-0005-0000-0000-000009520000}"/>
    <cellStyle name="Normal 2 6 4 2 3 2 2 2" xfId="37890" xr:uid="{00000000-0005-0000-0000-00000A520000}"/>
    <cellStyle name="Normal 2 6 4 2 3 2 3" xfId="28860" xr:uid="{00000000-0005-0000-0000-00000B520000}"/>
    <cellStyle name="Normal 2 6 4 2 3 3" xfId="13356" xr:uid="{00000000-0005-0000-0000-00000C520000}"/>
    <cellStyle name="Normal 2 6 4 2 3 3 2" xfId="33408" xr:uid="{00000000-0005-0000-0000-00000D520000}"/>
    <cellStyle name="Normal 2 6 4 2 3 4" xfId="24378" xr:uid="{00000000-0005-0000-0000-00000E520000}"/>
    <cellStyle name="Normal 2 6 4 2 4" xfId="5820" xr:uid="{00000000-0005-0000-0000-00000F520000}"/>
    <cellStyle name="Normal 2 6 4 2 4 2" xfId="14850" xr:uid="{00000000-0005-0000-0000-000010520000}"/>
    <cellStyle name="Normal 2 6 4 2 4 2 2" xfId="34902" xr:uid="{00000000-0005-0000-0000-000011520000}"/>
    <cellStyle name="Normal 2 6 4 2 4 3" xfId="25872" xr:uid="{00000000-0005-0000-0000-000012520000}"/>
    <cellStyle name="Normal 2 6 4 2 5" xfId="10368" xr:uid="{00000000-0005-0000-0000-000013520000}"/>
    <cellStyle name="Normal 2 6 4 2 5 2" xfId="30420" xr:uid="{00000000-0005-0000-0000-000014520000}"/>
    <cellStyle name="Normal 2 6 4 2 6" xfId="21390" xr:uid="{00000000-0005-0000-0000-000015520000}"/>
    <cellStyle name="Normal 2 6 4 3" xfId="2085" xr:uid="{00000000-0005-0000-0000-000016520000}"/>
    <cellStyle name="Normal 2 6 4 3 2" xfId="6567" xr:uid="{00000000-0005-0000-0000-000017520000}"/>
    <cellStyle name="Normal 2 6 4 3 2 2" xfId="15597" xr:uid="{00000000-0005-0000-0000-000018520000}"/>
    <cellStyle name="Normal 2 6 4 3 2 2 2" xfId="35649" xr:uid="{00000000-0005-0000-0000-000019520000}"/>
    <cellStyle name="Normal 2 6 4 3 2 3" xfId="26619" xr:uid="{00000000-0005-0000-0000-00001A520000}"/>
    <cellStyle name="Normal 2 6 4 3 3" xfId="11115" xr:uid="{00000000-0005-0000-0000-00001B520000}"/>
    <cellStyle name="Normal 2 6 4 3 3 2" xfId="31167" xr:uid="{00000000-0005-0000-0000-00001C520000}"/>
    <cellStyle name="Normal 2 6 4 3 4" xfId="22137" xr:uid="{00000000-0005-0000-0000-00001D520000}"/>
    <cellStyle name="Normal 2 6 4 4" xfId="3579" xr:uid="{00000000-0005-0000-0000-00001E520000}"/>
    <cellStyle name="Normal 2 6 4 4 2" xfId="8061" xr:uid="{00000000-0005-0000-0000-00001F520000}"/>
    <cellStyle name="Normal 2 6 4 4 2 2" xfId="17091" xr:uid="{00000000-0005-0000-0000-000020520000}"/>
    <cellStyle name="Normal 2 6 4 4 2 2 2" xfId="37143" xr:uid="{00000000-0005-0000-0000-000021520000}"/>
    <cellStyle name="Normal 2 6 4 4 2 3" xfId="28113" xr:uid="{00000000-0005-0000-0000-000022520000}"/>
    <cellStyle name="Normal 2 6 4 4 3" xfId="12609" xr:uid="{00000000-0005-0000-0000-000023520000}"/>
    <cellStyle name="Normal 2 6 4 4 3 2" xfId="32661" xr:uid="{00000000-0005-0000-0000-000024520000}"/>
    <cellStyle name="Normal 2 6 4 4 4" xfId="23631" xr:uid="{00000000-0005-0000-0000-000025520000}"/>
    <cellStyle name="Normal 2 6 4 5" xfId="5073" xr:uid="{00000000-0005-0000-0000-000026520000}"/>
    <cellStyle name="Normal 2 6 4 5 2" xfId="14103" xr:uid="{00000000-0005-0000-0000-000027520000}"/>
    <cellStyle name="Normal 2 6 4 5 2 2" xfId="34155" xr:uid="{00000000-0005-0000-0000-000028520000}"/>
    <cellStyle name="Normal 2 6 4 5 3" xfId="25125" xr:uid="{00000000-0005-0000-0000-000029520000}"/>
    <cellStyle name="Normal 2 6 4 6" xfId="9621" xr:uid="{00000000-0005-0000-0000-00002A520000}"/>
    <cellStyle name="Normal 2 6 4 6 2" xfId="29673" xr:uid="{00000000-0005-0000-0000-00002B520000}"/>
    <cellStyle name="Normal 2 6 4 7" xfId="20643" xr:uid="{00000000-0005-0000-0000-00002C520000}"/>
    <cellStyle name="Normal 2 6 5" xfId="778" xr:uid="{00000000-0005-0000-0000-00002D520000}"/>
    <cellStyle name="Normal 2 6 5 2" xfId="2272" xr:uid="{00000000-0005-0000-0000-00002E520000}"/>
    <cellStyle name="Normal 2 6 5 2 2" xfId="6754" xr:uid="{00000000-0005-0000-0000-00002F520000}"/>
    <cellStyle name="Normal 2 6 5 2 2 2" xfId="15784" xr:uid="{00000000-0005-0000-0000-000030520000}"/>
    <cellStyle name="Normal 2 6 5 2 2 2 2" xfId="35836" xr:uid="{00000000-0005-0000-0000-000031520000}"/>
    <cellStyle name="Normal 2 6 5 2 2 3" xfId="26806" xr:uid="{00000000-0005-0000-0000-000032520000}"/>
    <cellStyle name="Normal 2 6 5 2 3" xfId="11302" xr:uid="{00000000-0005-0000-0000-000033520000}"/>
    <cellStyle name="Normal 2 6 5 2 3 2" xfId="31354" xr:uid="{00000000-0005-0000-0000-000034520000}"/>
    <cellStyle name="Normal 2 6 5 2 4" xfId="22324" xr:uid="{00000000-0005-0000-0000-000035520000}"/>
    <cellStyle name="Normal 2 6 5 3" xfId="3766" xr:uid="{00000000-0005-0000-0000-000036520000}"/>
    <cellStyle name="Normal 2 6 5 3 2" xfId="8248" xr:uid="{00000000-0005-0000-0000-000037520000}"/>
    <cellStyle name="Normal 2 6 5 3 2 2" xfId="17278" xr:uid="{00000000-0005-0000-0000-000038520000}"/>
    <cellStyle name="Normal 2 6 5 3 2 2 2" xfId="37330" xr:uid="{00000000-0005-0000-0000-000039520000}"/>
    <cellStyle name="Normal 2 6 5 3 2 3" xfId="28300" xr:uid="{00000000-0005-0000-0000-00003A520000}"/>
    <cellStyle name="Normal 2 6 5 3 3" xfId="12796" xr:uid="{00000000-0005-0000-0000-00003B520000}"/>
    <cellStyle name="Normal 2 6 5 3 3 2" xfId="32848" xr:uid="{00000000-0005-0000-0000-00003C520000}"/>
    <cellStyle name="Normal 2 6 5 3 4" xfId="23818" xr:uid="{00000000-0005-0000-0000-00003D520000}"/>
    <cellStyle name="Normal 2 6 5 4" xfId="5260" xr:uid="{00000000-0005-0000-0000-00003E520000}"/>
    <cellStyle name="Normal 2 6 5 4 2" xfId="14290" xr:uid="{00000000-0005-0000-0000-00003F520000}"/>
    <cellStyle name="Normal 2 6 5 4 2 2" xfId="34342" xr:uid="{00000000-0005-0000-0000-000040520000}"/>
    <cellStyle name="Normal 2 6 5 4 3" xfId="25312" xr:uid="{00000000-0005-0000-0000-000041520000}"/>
    <cellStyle name="Normal 2 6 5 5" xfId="9808" xr:uid="{00000000-0005-0000-0000-000042520000}"/>
    <cellStyle name="Normal 2 6 5 5 2" xfId="29860" xr:uid="{00000000-0005-0000-0000-000043520000}"/>
    <cellStyle name="Normal 2 6 5 6" xfId="20830" xr:uid="{00000000-0005-0000-0000-000044520000}"/>
    <cellStyle name="Normal 2 6 6" xfId="1527" xr:uid="{00000000-0005-0000-0000-000045520000}"/>
    <cellStyle name="Normal 2 6 6 2" xfId="6009" xr:uid="{00000000-0005-0000-0000-000046520000}"/>
    <cellStyle name="Normal 2 6 6 2 2" xfId="15039" xr:uid="{00000000-0005-0000-0000-000047520000}"/>
    <cellStyle name="Normal 2 6 6 2 2 2" xfId="35091" xr:uid="{00000000-0005-0000-0000-000048520000}"/>
    <cellStyle name="Normal 2 6 6 2 3" xfId="26061" xr:uid="{00000000-0005-0000-0000-000049520000}"/>
    <cellStyle name="Normal 2 6 6 3" xfId="10557" xr:uid="{00000000-0005-0000-0000-00004A520000}"/>
    <cellStyle name="Normal 2 6 6 3 2" xfId="30609" xr:uid="{00000000-0005-0000-0000-00004B520000}"/>
    <cellStyle name="Normal 2 6 6 4" xfId="21579" xr:uid="{00000000-0005-0000-0000-00004C520000}"/>
    <cellStyle name="Normal 2 6 7" xfId="3021" xr:uid="{00000000-0005-0000-0000-00004D520000}"/>
    <cellStyle name="Normal 2 6 7 2" xfId="7503" xr:uid="{00000000-0005-0000-0000-00004E520000}"/>
    <cellStyle name="Normal 2 6 7 2 2" xfId="16533" xr:uid="{00000000-0005-0000-0000-00004F520000}"/>
    <cellStyle name="Normal 2 6 7 2 2 2" xfId="36585" xr:uid="{00000000-0005-0000-0000-000050520000}"/>
    <cellStyle name="Normal 2 6 7 2 3" xfId="27555" xr:uid="{00000000-0005-0000-0000-000051520000}"/>
    <cellStyle name="Normal 2 6 7 3" xfId="12051" xr:uid="{00000000-0005-0000-0000-000052520000}"/>
    <cellStyle name="Normal 2 6 7 3 2" xfId="32103" xr:uid="{00000000-0005-0000-0000-000053520000}"/>
    <cellStyle name="Normal 2 6 7 4" xfId="23073" xr:uid="{00000000-0005-0000-0000-000054520000}"/>
    <cellStyle name="Normal 2 6 8" xfId="4515" xr:uid="{00000000-0005-0000-0000-000055520000}"/>
    <cellStyle name="Normal 2 6 8 2" xfId="13545" xr:uid="{00000000-0005-0000-0000-000056520000}"/>
    <cellStyle name="Normal 2 6 8 2 2" xfId="33597" xr:uid="{00000000-0005-0000-0000-000057520000}"/>
    <cellStyle name="Normal 2 6 8 3" xfId="24567" xr:uid="{00000000-0005-0000-0000-000058520000}"/>
    <cellStyle name="Normal 2 6 9" xfId="9063" xr:uid="{00000000-0005-0000-0000-000059520000}"/>
    <cellStyle name="Normal 2 6 9 2" xfId="29115" xr:uid="{00000000-0005-0000-0000-00005A520000}"/>
    <cellStyle name="Normal 2 7" xfId="56" xr:uid="{00000000-0005-0000-0000-00005B520000}"/>
    <cellStyle name="Normal 2 7 10" xfId="20108" xr:uid="{00000000-0005-0000-0000-00005C520000}"/>
    <cellStyle name="Normal 2 7 2" xfId="242" xr:uid="{00000000-0005-0000-0000-00005D520000}"/>
    <cellStyle name="Normal 2 7 2 2" xfId="987" xr:uid="{00000000-0005-0000-0000-00005E520000}"/>
    <cellStyle name="Normal 2 7 2 2 2" xfId="2481" xr:uid="{00000000-0005-0000-0000-00005F520000}"/>
    <cellStyle name="Normal 2 7 2 2 2 2" xfId="6963" xr:uid="{00000000-0005-0000-0000-000060520000}"/>
    <cellStyle name="Normal 2 7 2 2 2 2 2" xfId="15993" xr:uid="{00000000-0005-0000-0000-000061520000}"/>
    <cellStyle name="Normal 2 7 2 2 2 2 2 2" xfId="36045" xr:uid="{00000000-0005-0000-0000-000062520000}"/>
    <cellStyle name="Normal 2 7 2 2 2 2 3" xfId="27015" xr:uid="{00000000-0005-0000-0000-000063520000}"/>
    <cellStyle name="Normal 2 7 2 2 2 3" xfId="11511" xr:uid="{00000000-0005-0000-0000-000064520000}"/>
    <cellStyle name="Normal 2 7 2 2 2 3 2" xfId="31563" xr:uid="{00000000-0005-0000-0000-000065520000}"/>
    <cellStyle name="Normal 2 7 2 2 2 4" xfId="22533" xr:uid="{00000000-0005-0000-0000-000066520000}"/>
    <cellStyle name="Normal 2 7 2 2 3" xfId="3975" xr:uid="{00000000-0005-0000-0000-000067520000}"/>
    <cellStyle name="Normal 2 7 2 2 3 2" xfId="8457" xr:uid="{00000000-0005-0000-0000-000068520000}"/>
    <cellStyle name="Normal 2 7 2 2 3 2 2" xfId="17487" xr:uid="{00000000-0005-0000-0000-000069520000}"/>
    <cellStyle name="Normal 2 7 2 2 3 2 2 2" xfId="37539" xr:uid="{00000000-0005-0000-0000-00006A520000}"/>
    <cellStyle name="Normal 2 7 2 2 3 2 3" xfId="28509" xr:uid="{00000000-0005-0000-0000-00006B520000}"/>
    <cellStyle name="Normal 2 7 2 2 3 3" xfId="13005" xr:uid="{00000000-0005-0000-0000-00006C520000}"/>
    <cellStyle name="Normal 2 7 2 2 3 3 2" xfId="33057" xr:uid="{00000000-0005-0000-0000-00006D520000}"/>
    <cellStyle name="Normal 2 7 2 2 3 4" xfId="24027" xr:uid="{00000000-0005-0000-0000-00006E520000}"/>
    <cellStyle name="Normal 2 7 2 2 4" xfId="5469" xr:uid="{00000000-0005-0000-0000-00006F520000}"/>
    <cellStyle name="Normal 2 7 2 2 4 2" xfId="14499" xr:uid="{00000000-0005-0000-0000-000070520000}"/>
    <cellStyle name="Normal 2 7 2 2 4 2 2" xfId="34551" xr:uid="{00000000-0005-0000-0000-000071520000}"/>
    <cellStyle name="Normal 2 7 2 2 4 3" xfId="25521" xr:uid="{00000000-0005-0000-0000-000072520000}"/>
    <cellStyle name="Normal 2 7 2 2 5" xfId="10017" xr:uid="{00000000-0005-0000-0000-000073520000}"/>
    <cellStyle name="Normal 2 7 2 2 5 2" xfId="30069" xr:uid="{00000000-0005-0000-0000-000074520000}"/>
    <cellStyle name="Normal 2 7 2 2 6" xfId="21039" xr:uid="{00000000-0005-0000-0000-000075520000}"/>
    <cellStyle name="Normal 2 7 2 3" xfId="1736" xr:uid="{00000000-0005-0000-0000-000076520000}"/>
    <cellStyle name="Normal 2 7 2 3 2" xfId="6218" xr:uid="{00000000-0005-0000-0000-000077520000}"/>
    <cellStyle name="Normal 2 7 2 3 2 2" xfId="15248" xr:uid="{00000000-0005-0000-0000-000078520000}"/>
    <cellStyle name="Normal 2 7 2 3 2 2 2" xfId="35300" xr:uid="{00000000-0005-0000-0000-000079520000}"/>
    <cellStyle name="Normal 2 7 2 3 2 3" xfId="26270" xr:uid="{00000000-0005-0000-0000-00007A520000}"/>
    <cellStyle name="Normal 2 7 2 3 3" xfId="10766" xr:uid="{00000000-0005-0000-0000-00007B520000}"/>
    <cellStyle name="Normal 2 7 2 3 3 2" xfId="30818" xr:uid="{00000000-0005-0000-0000-00007C520000}"/>
    <cellStyle name="Normal 2 7 2 3 4" xfId="21788" xr:uid="{00000000-0005-0000-0000-00007D520000}"/>
    <cellStyle name="Normal 2 7 2 4" xfId="3230" xr:uid="{00000000-0005-0000-0000-00007E520000}"/>
    <cellStyle name="Normal 2 7 2 4 2" xfId="7712" xr:uid="{00000000-0005-0000-0000-00007F520000}"/>
    <cellStyle name="Normal 2 7 2 4 2 2" xfId="16742" xr:uid="{00000000-0005-0000-0000-000080520000}"/>
    <cellStyle name="Normal 2 7 2 4 2 2 2" xfId="36794" xr:uid="{00000000-0005-0000-0000-000081520000}"/>
    <cellStyle name="Normal 2 7 2 4 2 3" xfId="27764" xr:uid="{00000000-0005-0000-0000-000082520000}"/>
    <cellStyle name="Normal 2 7 2 4 3" xfId="12260" xr:uid="{00000000-0005-0000-0000-000083520000}"/>
    <cellStyle name="Normal 2 7 2 4 3 2" xfId="32312" xr:uid="{00000000-0005-0000-0000-000084520000}"/>
    <cellStyle name="Normal 2 7 2 4 4" xfId="23282" xr:uid="{00000000-0005-0000-0000-000085520000}"/>
    <cellStyle name="Normal 2 7 2 5" xfId="4724" xr:uid="{00000000-0005-0000-0000-000086520000}"/>
    <cellStyle name="Normal 2 7 2 5 2" xfId="13754" xr:uid="{00000000-0005-0000-0000-000087520000}"/>
    <cellStyle name="Normal 2 7 2 5 2 2" xfId="33806" xr:uid="{00000000-0005-0000-0000-000088520000}"/>
    <cellStyle name="Normal 2 7 2 5 3" xfId="24776" xr:uid="{00000000-0005-0000-0000-000089520000}"/>
    <cellStyle name="Normal 2 7 2 6" xfId="9272" xr:uid="{00000000-0005-0000-0000-00008A520000}"/>
    <cellStyle name="Normal 2 7 2 6 2" xfId="29324" xr:uid="{00000000-0005-0000-0000-00008B520000}"/>
    <cellStyle name="Normal 2 7 2 7" xfId="20294" xr:uid="{00000000-0005-0000-0000-00008C520000}"/>
    <cellStyle name="Normal 2 7 3" xfId="428" xr:uid="{00000000-0005-0000-0000-00008D520000}"/>
    <cellStyle name="Normal 2 7 3 2" xfId="1175" xr:uid="{00000000-0005-0000-0000-00008E520000}"/>
    <cellStyle name="Normal 2 7 3 2 2" xfId="2669" xr:uid="{00000000-0005-0000-0000-00008F520000}"/>
    <cellStyle name="Normal 2 7 3 2 2 2" xfId="7151" xr:uid="{00000000-0005-0000-0000-000090520000}"/>
    <cellStyle name="Normal 2 7 3 2 2 2 2" xfId="16181" xr:uid="{00000000-0005-0000-0000-000091520000}"/>
    <cellStyle name="Normal 2 7 3 2 2 2 2 2" xfId="36233" xr:uid="{00000000-0005-0000-0000-000092520000}"/>
    <cellStyle name="Normal 2 7 3 2 2 2 3" xfId="27203" xr:uid="{00000000-0005-0000-0000-000093520000}"/>
    <cellStyle name="Normal 2 7 3 2 2 3" xfId="11699" xr:uid="{00000000-0005-0000-0000-000094520000}"/>
    <cellStyle name="Normal 2 7 3 2 2 3 2" xfId="31751" xr:uid="{00000000-0005-0000-0000-000095520000}"/>
    <cellStyle name="Normal 2 7 3 2 2 4" xfId="22721" xr:uid="{00000000-0005-0000-0000-000096520000}"/>
    <cellStyle name="Normal 2 7 3 2 3" xfId="4163" xr:uid="{00000000-0005-0000-0000-000097520000}"/>
    <cellStyle name="Normal 2 7 3 2 3 2" xfId="8645" xr:uid="{00000000-0005-0000-0000-000098520000}"/>
    <cellStyle name="Normal 2 7 3 2 3 2 2" xfId="17675" xr:uid="{00000000-0005-0000-0000-000099520000}"/>
    <cellStyle name="Normal 2 7 3 2 3 2 2 2" xfId="37727" xr:uid="{00000000-0005-0000-0000-00009A520000}"/>
    <cellStyle name="Normal 2 7 3 2 3 2 3" xfId="28697" xr:uid="{00000000-0005-0000-0000-00009B520000}"/>
    <cellStyle name="Normal 2 7 3 2 3 3" xfId="13193" xr:uid="{00000000-0005-0000-0000-00009C520000}"/>
    <cellStyle name="Normal 2 7 3 2 3 3 2" xfId="33245" xr:uid="{00000000-0005-0000-0000-00009D520000}"/>
    <cellStyle name="Normal 2 7 3 2 3 4" xfId="24215" xr:uid="{00000000-0005-0000-0000-00009E520000}"/>
    <cellStyle name="Normal 2 7 3 2 4" xfId="5657" xr:uid="{00000000-0005-0000-0000-00009F520000}"/>
    <cellStyle name="Normal 2 7 3 2 4 2" xfId="14687" xr:uid="{00000000-0005-0000-0000-0000A0520000}"/>
    <cellStyle name="Normal 2 7 3 2 4 2 2" xfId="34739" xr:uid="{00000000-0005-0000-0000-0000A1520000}"/>
    <cellStyle name="Normal 2 7 3 2 4 3" xfId="25709" xr:uid="{00000000-0005-0000-0000-0000A2520000}"/>
    <cellStyle name="Normal 2 7 3 2 5" xfId="10205" xr:uid="{00000000-0005-0000-0000-0000A3520000}"/>
    <cellStyle name="Normal 2 7 3 2 5 2" xfId="30257" xr:uid="{00000000-0005-0000-0000-0000A4520000}"/>
    <cellStyle name="Normal 2 7 3 2 6" xfId="21227" xr:uid="{00000000-0005-0000-0000-0000A5520000}"/>
    <cellStyle name="Normal 2 7 3 3" xfId="1922" xr:uid="{00000000-0005-0000-0000-0000A6520000}"/>
    <cellStyle name="Normal 2 7 3 3 2" xfId="6404" xr:uid="{00000000-0005-0000-0000-0000A7520000}"/>
    <cellStyle name="Normal 2 7 3 3 2 2" xfId="15434" xr:uid="{00000000-0005-0000-0000-0000A8520000}"/>
    <cellStyle name="Normal 2 7 3 3 2 2 2" xfId="35486" xr:uid="{00000000-0005-0000-0000-0000A9520000}"/>
    <cellStyle name="Normal 2 7 3 3 2 3" xfId="26456" xr:uid="{00000000-0005-0000-0000-0000AA520000}"/>
    <cellStyle name="Normal 2 7 3 3 3" xfId="10952" xr:uid="{00000000-0005-0000-0000-0000AB520000}"/>
    <cellStyle name="Normal 2 7 3 3 3 2" xfId="31004" xr:uid="{00000000-0005-0000-0000-0000AC520000}"/>
    <cellStyle name="Normal 2 7 3 3 4" xfId="21974" xr:uid="{00000000-0005-0000-0000-0000AD520000}"/>
    <cellStyle name="Normal 2 7 3 4" xfId="3416" xr:uid="{00000000-0005-0000-0000-0000AE520000}"/>
    <cellStyle name="Normal 2 7 3 4 2" xfId="7898" xr:uid="{00000000-0005-0000-0000-0000AF520000}"/>
    <cellStyle name="Normal 2 7 3 4 2 2" xfId="16928" xr:uid="{00000000-0005-0000-0000-0000B0520000}"/>
    <cellStyle name="Normal 2 7 3 4 2 2 2" xfId="36980" xr:uid="{00000000-0005-0000-0000-0000B1520000}"/>
    <cellStyle name="Normal 2 7 3 4 2 3" xfId="27950" xr:uid="{00000000-0005-0000-0000-0000B2520000}"/>
    <cellStyle name="Normal 2 7 3 4 3" xfId="12446" xr:uid="{00000000-0005-0000-0000-0000B3520000}"/>
    <cellStyle name="Normal 2 7 3 4 3 2" xfId="32498" xr:uid="{00000000-0005-0000-0000-0000B4520000}"/>
    <cellStyle name="Normal 2 7 3 4 4" xfId="23468" xr:uid="{00000000-0005-0000-0000-0000B5520000}"/>
    <cellStyle name="Normal 2 7 3 5" xfId="4910" xr:uid="{00000000-0005-0000-0000-0000B6520000}"/>
    <cellStyle name="Normal 2 7 3 5 2" xfId="13940" xr:uid="{00000000-0005-0000-0000-0000B7520000}"/>
    <cellStyle name="Normal 2 7 3 5 2 2" xfId="33992" xr:uid="{00000000-0005-0000-0000-0000B8520000}"/>
    <cellStyle name="Normal 2 7 3 5 3" xfId="24962" xr:uid="{00000000-0005-0000-0000-0000B9520000}"/>
    <cellStyle name="Normal 2 7 3 6" xfId="9458" xr:uid="{00000000-0005-0000-0000-0000BA520000}"/>
    <cellStyle name="Normal 2 7 3 6 2" xfId="29510" xr:uid="{00000000-0005-0000-0000-0000BB520000}"/>
    <cellStyle name="Normal 2 7 3 7" xfId="20480" xr:uid="{00000000-0005-0000-0000-0000BC520000}"/>
    <cellStyle name="Normal 2 7 4" xfId="614" xr:uid="{00000000-0005-0000-0000-0000BD520000}"/>
    <cellStyle name="Normal 2 7 4 2" xfId="1361" xr:uid="{00000000-0005-0000-0000-0000BE520000}"/>
    <cellStyle name="Normal 2 7 4 2 2" xfId="2855" xr:uid="{00000000-0005-0000-0000-0000BF520000}"/>
    <cellStyle name="Normal 2 7 4 2 2 2" xfId="7337" xr:uid="{00000000-0005-0000-0000-0000C0520000}"/>
    <cellStyle name="Normal 2 7 4 2 2 2 2" xfId="16367" xr:uid="{00000000-0005-0000-0000-0000C1520000}"/>
    <cellStyle name="Normal 2 7 4 2 2 2 2 2" xfId="36419" xr:uid="{00000000-0005-0000-0000-0000C2520000}"/>
    <cellStyle name="Normal 2 7 4 2 2 2 3" xfId="27389" xr:uid="{00000000-0005-0000-0000-0000C3520000}"/>
    <cellStyle name="Normal 2 7 4 2 2 3" xfId="11885" xr:uid="{00000000-0005-0000-0000-0000C4520000}"/>
    <cellStyle name="Normal 2 7 4 2 2 3 2" xfId="31937" xr:uid="{00000000-0005-0000-0000-0000C5520000}"/>
    <cellStyle name="Normal 2 7 4 2 2 4" xfId="22907" xr:uid="{00000000-0005-0000-0000-0000C6520000}"/>
    <cellStyle name="Normal 2 7 4 2 3" xfId="4349" xr:uid="{00000000-0005-0000-0000-0000C7520000}"/>
    <cellStyle name="Normal 2 7 4 2 3 2" xfId="8831" xr:uid="{00000000-0005-0000-0000-0000C8520000}"/>
    <cellStyle name="Normal 2 7 4 2 3 2 2" xfId="17861" xr:uid="{00000000-0005-0000-0000-0000C9520000}"/>
    <cellStyle name="Normal 2 7 4 2 3 2 2 2" xfId="37913" xr:uid="{00000000-0005-0000-0000-0000CA520000}"/>
    <cellStyle name="Normal 2 7 4 2 3 2 3" xfId="28883" xr:uid="{00000000-0005-0000-0000-0000CB520000}"/>
    <cellStyle name="Normal 2 7 4 2 3 3" xfId="13379" xr:uid="{00000000-0005-0000-0000-0000CC520000}"/>
    <cellStyle name="Normal 2 7 4 2 3 3 2" xfId="33431" xr:uid="{00000000-0005-0000-0000-0000CD520000}"/>
    <cellStyle name="Normal 2 7 4 2 3 4" xfId="24401" xr:uid="{00000000-0005-0000-0000-0000CE520000}"/>
    <cellStyle name="Normal 2 7 4 2 4" xfId="5843" xr:uid="{00000000-0005-0000-0000-0000CF520000}"/>
    <cellStyle name="Normal 2 7 4 2 4 2" xfId="14873" xr:uid="{00000000-0005-0000-0000-0000D0520000}"/>
    <cellStyle name="Normal 2 7 4 2 4 2 2" xfId="34925" xr:uid="{00000000-0005-0000-0000-0000D1520000}"/>
    <cellStyle name="Normal 2 7 4 2 4 3" xfId="25895" xr:uid="{00000000-0005-0000-0000-0000D2520000}"/>
    <cellStyle name="Normal 2 7 4 2 5" xfId="10391" xr:uid="{00000000-0005-0000-0000-0000D3520000}"/>
    <cellStyle name="Normal 2 7 4 2 5 2" xfId="30443" xr:uid="{00000000-0005-0000-0000-0000D4520000}"/>
    <cellStyle name="Normal 2 7 4 2 6" xfId="21413" xr:uid="{00000000-0005-0000-0000-0000D5520000}"/>
    <cellStyle name="Normal 2 7 4 3" xfId="2108" xr:uid="{00000000-0005-0000-0000-0000D6520000}"/>
    <cellStyle name="Normal 2 7 4 3 2" xfId="6590" xr:uid="{00000000-0005-0000-0000-0000D7520000}"/>
    <cellStyle name="Normal 2 7 4 3 2 2" xfId="15620" xr:uid="{00000000-0005-0000-0000-0000D8520000}"/>
    <cellStyle name="Normal 2 7 4 3 2 2 2" xfId="35672" xr:uid="{00000000-0005-0000-0000-0000D9520000}"/>
    <cellStyle name="Normal 2 7 4 3 2 3" xfId="26642" xr:uid="{00000000-0005-0000-0000-0000DA520000}"/>
    <cellStyle name="Normal 2 7 4 3 3" xfId="11138" xr:uid="{00000000-0005-0000-0000-0000DB520000}"/>
    <cellStyle name="Normal 2 7 4 3 3 2" xfId="31190" xr:uid="{00000000-0005-0000-0000-0000DC520000}"/>
    <cellStyle name="Normal 2 7 4 3 4" xfId="22160" xr:uid="{00000000-0005-0000-0000-0000DD520000}"/>
    <cellStyle name="Normal 2 7 4 4" xfId="3602" xr:uid="{00000000-0005-0000-0000-0000DE520000}"/>
    <cellStyle name="Normal 2 7 4 4 2" xfId="8084" xr:uid="{00000000-0005-0000-0000-0000DF520000}"/>
    <cellStyle name="Normal 2 7 4 4 2 2" xfId="17114" xr:uid="{00000000-0005-0000-0000-0000E0520000}"/>
    <cellStyle name="Normal 2 7 4 4 2 2 2" xfId="37166" xr:uid="{00000000-0005-0000-0000-0000E1520000}"/>
    <cellStyle name="Normal 2 7 4 4 2 3" xfId="28136" xr:uid="{00000000-0005-0000-0000-0000E2520000}"/>
    <cellStyle name="Normal 2 7 4 4 3" xfId="12632" xr:uid="{00000000-0005-0000-0000-0000E3520000}"/>
    <cellStyle name="Normal 2 7 4 4 3 2" xfId="32684" xr:uid="{00000000-0005-0000-0000-0000E4520000}"/>
    <cellStyle name="Normal 2 7 4 4 4" xfId="23654" xr:uid="{00000000-0005-0000-0000-0000E5520000}"/>
    <cellStyle name="Normal 2 7 4 5" xfId="5096" xr:uid="{00000000-0005-0000-0000-0000E6520000}"/>
    <cellStyle name="Normal 2 7 4 5 2" xfId="14126" xr:uid="{00000000-0005-0000-0000-0000E7520000}"/>
    <cellStyle name="Normal 2 7 4 5 2 2" xfId="34178" xr:uid="{00000000-0005-0000-0000-0000E8520000}"/>
    <cellStyle name="Normal 2 7 4 5 3" xfId="25148" xr:uid="{00000000-0005-0000-0000-0000E9520000}"/>
    <cellStyle name="Normal 2 7 4 6" xfId="9644" xr:uid="{00000000-0005-0000-0000-0000EA520000}"/>
    <cellStyle name="Normal 2 7 4 6 2" xfId="29696" xr:uid="{00000000-0005-0000-0000-0000EB520000}"/>
    <cellStyle name="Normal 2 7 4 7" xfId="20666" xr:uid="{00000000-0005-0000-0000-0000EC520000}"/>
    <cellStyle name="Normal 2 7 5" xfId="801" xr:uid="{00000000-0005-0000-0000-0000ED520000}"/>
    <cellStyle name="Normal 2 7 5 2" xfId="2295" xr:uid="{00000000-0005-0000-0000-0000EE520000}"/>
    <cellStyle name="Normal 2 7 5 2 2" xfId="6777" xr:uid="{00000000-0005-0000-0000-0000EF520000}"/>
    <cellStyle name="Normal 2 7 5 2 2 2" xfId="15807" xr:uid="{00000000-0005-0000-0000-0000F0520000}"/>
    <cellStyle name="Normal 2 7 5 2 2 2 2" xfId="35859" xr:uid="{00000000-0005-0000-0000-0000F1520000}"/>
    <cellStyle name="Normal 2 7 5 2 2 3" xfId="26829" xr:uid="{00000000-0005-0000-0000-0000F2520000}"/>
    <cellStyle name="Normal 2 7 5 2 3" xfId="11325" xr:uid="{00000000-0005-0000-0000-0000F3520000}"/>
    <cellStyle name="Normal 2 7 5 2 3 2" xfId="31377" xr:uid="{00000000-0005-0000-0000-0000F4520000}"/>
    <cellStyle name="Normal 2 7 5 2 4" xfId="22347" xr:uid="{00000000-0005-0000-0000-0000F5520000}"/>
    <cellStyle name="Normal 2 7 5 3" xfId="3789" xr:uid="{00000000-0005-0000-0000-0000F6520000}"/>
    <cellStyle name="Normal 2 7 5 3 2" xfId="8271" xr:uid="{00000000-0005-0000-0000-0000F7520000}"/>
    <cellStyle name="Normal 2 7 5 3 2 2" xfId="17301" xr:uid="{00000000-0005-0000-0000-0000F8520000}"/>
    <cellStyle name="Normal 2 7 5 3 2 2 2" xfId="37353" xr:uid="{00000000-0005-0000-0000-0000F9520000}"/>
    <cellStyle name="Normal 2 7 5 3 2 3" xfId="28323" xr:uid="{00000000-0005-0000-0000-0000FA520000}"/>
    <cellStyle name="Normal 2 7 5 3 3" xfId="12819" xr:uid="{00000000-0005-0000-0000-0000FB520000}"/>
    <cellStyle name="Normal 2 7 5 3 3 2" xfId="32871" xr:uid="{00000000-0005-0000-0000-0000FC520000}"/>
    <cellStyle name="Normal 2 7 5 3 4" xfId="23841" xr:uid="{00000000-0005-0000-0000-0000FD520000}"/>
    <cellStyle name="Normal 2 7 5 4" xfId="5283" xr:uid="{00000000-0005-0000-0000-0000FE520000}"/>
    <cellStyle name="Normal 2 7 5 4 2" xfId="14313" xr:uid="{00000000-0005-0000-0000-0000FF520000}"/>
    <cellStyle name="Normal 2 7 5 4 2 2" xfId="34365" xr:uid="{00000000-0005-0000-0000-000000530000}"/>
    <cellStyle name="Normal 2 7 5 4 3" xfId="25335" xr:uid="{00000000-0005-0000-0000-000001530000}"/>
    <cellStyle name="Normal 2 7 5 5" xfId="9831" xr:uid="{00000000-0005-0000-0000-000002530000}"/>
    <cellStyle name="Normal 2 7 5 5 2" xfId="29883" xr:uid="{00000000-0005-0000-0000-000003530000}"/>
    <cellStyle name="Normal 2 7 5 6" xfId="20853" xr:uid="{00000000-0005-0000-0000-000004530000}"/>
    <cellStyle name="Normal 2 7 6" xfId="1550" xr:uid="{00000000-0005-0000-0000-000005530000}"/>
    <cellStyle name="Normal 2 7 6 2" xfId="6032" xr:uid="{00000000-0005-0000-0000-000006530000}"/>
    <cellStyle name="Normal 2 7 6 2 2" xfId="15062" xr:uid="{00000000-0005-0000-0000-000007530000}"/>
    <cellStyle name="Normal 2 7 6 2 2 2" xfId="35114" xr:uid="{00000000-0005-0000-0000-000008530000}"/>
    <cellStyle name="Normal 2 7 6 2 3" xfId="26084" xr:uid="{00000000-0005-0000-0000-000009530000}"/>
    <cellStyle name="Normal 2 7 6 3" xfId="10580" xr:uid="{00000000-0005-0000-0000-00000A530000}"/>
    <cellStyle name="Normal 2 7 6 3 2" xfId="30632" xr:uid="{00000000-0005-0000-0000-00000B530000}"/>
    <cellStyle name="Normal 2 7 6 4" xfId="21602" xr:uid="{00000000-0005-0000-0000-00000C530000}"/>
    <cellStyle name="Normal 2 7 7" xfId="3044" xr:uid="{00000000-0005-0000-0000-00000D530000}"/>
    <cellStyle name="Normal 2 7 7 2" xfId="7526" xr:uid="{00000000-0005-0000-0000-00000E530000}"/>
    <cellStyle name="Normal 2 7 7 2 2" xfId="16556" xr:uid="{00000000-0005-0000-0000-00000F530000}"/>
    <cellStyle name="Normal 2 7 7 2 2 2" xfId="36608" xr:uid="{00000000-0005-0000-0000-000010530000}"/>
    <cellStyle name="Normal 2 7 7 2 3" xfId="27578" xr:uid="{00000000-0005-0000-0000-000011530000}"/>
    <cellStyle name="Normal 2 7 7 3" xfId="12074" xr:uid="{00000000-0005-0000-0000-000012530000}"/>
    <cellStyle name="Normal 2 7 7 3 2" xfId="32126" xr:uid="{00000000-0005-0000-0000-000013530000}"/>
    <cellStyle name="Normal 2 7 7 4" xfId="23096" xr:uid="{00000000-0005-0000-0000-000014530000}"/>
    <cellStyle name="Normal 2 7 8" xfId="4538" xr:uid="{00000000-0005-0000-0000-000015530000}"/>
    <cellStyle name="Normal 2 7 8 2" xfId="13568" xr:uid="{00000000-0005-0000-0000-000016530000}"/>
    <cellStyle name="Normal 2 7 8 2 2" xfId="33620" xr:uid="{00000000-0005-0000-0000-000017530000}"/>
    <cellStyle name="Normal 2 7 8 3" xfId="24590" xr:uid="{00000000-0005-0000-0000-000018530000}"/>
    <cellStyle name="Normal 2 7 9" xfId="9086" xr:uid="{00000000-0005-0000-0000-000019530000}"/>
    <cellStyle name="Normal 2 7 9 2" xfId="29138" xr:uid="{00000000-0005-0000-0000-00001A530000}"/>
    <cellStyle name="Normal 2 8" xfId="80" xr:uid="{00000000-0005-0000-0000-00001B530000}"/>
    <cellStyle name="Normal 2 8 10" xfId="20132" xr:uid="{00000000-0005-0000-0000-00001C530000}"/>
    <cellStyle name="Normal 2 8 2" xfId="266" xr:uid="{00000000-0005-0000-0000-00001D530000}"/>
    <cellStyle name="Normal 2 8 2 2" xfId="1010" xr:uid="{00000000-0005-0000-0000-00001E530000}"/>
    <cellStyle name="Normal 2 8 2 2 2" xfId="2504" xr:uid="{00000000-0005-0000-0000-00001F530000}"/>
    <cellStyle name="Normal 2 8 2 2 2 2" xfId="6986" xr:uid="{00000000-0005-0000-0000-000020530000}"/>
    <cellStyle name="Normal 2 8 2 2 2 2 2" xfId="16016" xr:uid="{00000000-0005-0000-0000-000021530000}"/>
    <cellStyle name="Normal 2 8 2 2 2 2 2 2" xfId="36068" xr:uid="{00000000-0005-0000-0000-000022530000}"/>
    <cellStyle name="Normal 2 8 2 2 2 2 3" xfId="27038" xr:uid="{00000000-0005-0000-0000-000023530000}"/>
    <cellStyle name="Normal 2 8 2 2 2 3" xfId="11534" xr:uid="{00000000-0005-0000-0000-000024530000}"/>
    <cellStyle name="Normal 2 8 2 2 2 3 2" xfId="31586" xr:uid="{00000000-0005-0000-0000-000025530000}"/>
    <cellStyle name="Normal 2 8 2 2 2 4" xfId="22556" xr:uid="{00000000-0005-0000-0000-000026530000}"/>
    <cellStyle name="Normal 2 8 2 2 3" xfId="3998" xr:uid="{00000000-0005-0000-0000-000027530000}"/>
    <cellStyle name="Normal 2 8 2 2 3 2" xfId="8480" xr:uid="{00000000-0005-0000-0000-000028530000}"/>
    <cellStyle name="Normal 2 8 2 2 3 2 2" xfId="17510" xr:uid="{00000000-0005-0000-0000-000029530000}"/>
    <cellStyle name="Normal 2 8 2 2 3 2 2 2" xfId="37562" xr:uid="{00000000-0005-0000-0000-00002A530000}"/>
    <cellStyle name="Normal 2 8 2 2 3 2 3" xfId="28532" xr:uid="{00000000-0005-0000-0000-00002B530000}"/>
    <cellStyle name="Normal 2 8 2 2 3 3" xfId="13028" xr:uid="{00000000-0005-0000-0000-00002C530000}"/>
    <cellStyle name="Normal 2 8 2 2 3 3 2" xfId="33080" xr:uid="{00000000-0005-0000-0000-00002D530000}"/>
    <cellStyle name="Normal 2 8 2 2 3 4" xfId="24050" xr:uid="{00000000-0005-0000-0000-00002E530000}"/>
    <cellStyle name="Normal 2 8 2 2 4" xfId="5492" xr:uid="{00000000-0005-0000-0000-00002F530000}"/>
    <cellStyle name="Normal 2 8 2 2 4 2" xfId="14522" xr:uid="{00000000-0005-0000-0000-000030530000}"/>
    <cellStyle name="Normal 2 8 2 2 4 2 2" xfId="34574" xr:uid="{00000000-0005-0000-0000-000031530000}"/>
    <cellStyle name="Normal 2 8 2 2 4 3" xfId="25544" xr:uid="{00000000-0005-0000-0000-000032530000}"/>
    <cellStyle name="Normal 2 8 2 2 5" xfId="10040" xr:uid="{00000000-0005-0000-0000-000033530000}"/>
    <cellStyle name="Normal 2 8 2 2 5 2" xfId="30092" xr:uid="{00000000-0005-0000-0000-000034530000}"/>
    <cellStyle name="Normal 2 8 2 2 6" xfId="21062" xr:uid="{00000000-0005-0000-0000-000035530000}"/>
    <cellStyle name="Normal 2 8 2 3" xfId="1760" xr:uid="{00000000-0005-0000-0000-000036530000}"/>
    <cellStyle name="Normal 2 8 2 3 2" xfId="6242" xr:uid="{00000000-0005-0000-0000-000037530000}"/>
    <cellStyle name="Normal 2 8 2 3 2 2" xfId="15272" xr:uid="{00000000-0005-0000-0000-000038530000}"/>
    <cellStyle name="Normal 2 8 2 3 2 2 2" xfId="35324" xr:uid="{00000000-0005-0000-0000-000039530000}"/>
    <cellStyle name="Normal 2 8 2 3 2 3" xfId="26294" xr:uid="{00000000-0005-0000-0000-00003A530000}"/>
    <cellStyle name="Normal 2 8 2 3 3" xfId="10790" xr:uid="{00000000-0005-0000-0000-00003B530000}"/>
    <cellStyle name="Normal 2 8 2 3 3 2" xfId="30842" xr:uid="{00000000-0005-0000-0000-00003C530000}"/>
    <cellStyle name="Normal 2 8 2 3 4" xfId="21812" xr:uid="{00000000-0005-0000-0000-00003D530000}"/>
    <cellStyle name="Normal 2 8 2 4" xfId="3254" xr:uid="{00000000-0005-0000-0000-00003E530000}"/>
    <cellStyle name="Normal 2 8 2 4 2" xfId="7736" xr:uid="{00000000-0005-0000-0000-00003F530000}"/>
    <cellStyle name="Normal 2 8 2 4 2 2" xfId="16766" xr:uid="{00000000-0005-0000-0000-000040530000}"/>
    <cellStyle name="Normal 2 8 2 4 2 2 2" xfId="36818" xr:uid="{00000000-0005-0000-0000-000041530000}"/>
    <cellStyle name="Normal 2 8 2 4 2 3" xfId="27788" xr:uid="{00000000-0005-0000-0000-000042530000}"/>
    <cellStyle name="Normal 2 8 2 4 3" xfId="12284" xr:uid="{00000000-0005-0000-0000-000043530000}"/>
    <cellStyle name="Normal 2 8 2 4 3 2" xfId="32336" xr:uid="{00000000-0005-0000-0000-000044530000}"/>
    <cellStyle name="Normal 2 8 2 4 4" xfId="23306" xr:uid="{00000000-0005-0000-0000-000045530000}"/>
    <cellStyle name="Normal 2 8 2 5" xfId="4748" xr:uid="{00000000-0005-0000-0000-000046530000}"/>
    <cellStyle name="Normal 2 8 2 5 2" xfId="13778" xr:uid="{00000000-0005-0000-0000-000047530000}"/>
    <cellStyle name="Normal 2 8 2 5 2 2" xfId="33830" xr:uid="{00000000-0005-0000-0000-000048530000}"/>
    <cellStyle name="Normal 2 8 2 5 3" xfId="24800" xr:uid="{00000000-0005-0000-0000-000049530000}"/>
    <cellStyle name="Normal 2 8 2 6" xfId="9296" xr:uid="{00000000-0005-0000-0000-00004A530000}"/>
    <cellStyle name="Normal 2 8 2 6 2" xfId="29348" xr:uid="{00000000-0005-0000-0000-00004B530000}"/>
    <cellStyle name="Normal 2 8 2 7" xfId="20318" xr:uid="{00000000-0005-0000-0000-00004C530000}"/>
    <cellStyle name="Normal 2 8 3" xfId="452" xr:uid="{00000000-0005-0000-0000-00004D530000}"/>
    <cellStyle name="Normal 2 8 3 2" xfId="1199" xr:uid="{00000000-0005-0000-0000-00004E530000}"/>
    <cellStyle name="Normal 2 8 3 2 2" xfId="2693" xr:uid="{00000000-0005-0000-0000-00004F530000}"/>
    <cellStyle name="Normal 2 8 3 2 2 2" xfId="7175" xr:uid="{00000000-0005-0000-0000-000050530000}"/>
    <cellStyle name="Normal 2 8 3 2 2 2 2" xfId="16205" xr:uid="{00000000-0005-0000-0000-000051530000}"/>
    <cellStyle name="Normal 2 8 3 2 2 2 2 2" xfId="36257" xr:uid="{00000000-0005-0000-0000-000052530000}"/>
    <cellStyle name="Normal 2 8 3 2 2 2 3" xfId="27227" xr:uid="{00000000-0005-0000-0000-000053530000}"/>
    <cellStyle name="Normal 2 8 3 2 2 3" xfId="11723" xr:uid="{00000000-0005-0000-0000-000054530000}"/>
    <cellStyle name="Normal 2 8 3 2 2 3 2" xfId="31775" xr:uid="{00000000-0005-0000-0000-000055530000}"/>
    <cellStyle name="Normal 2 8 3 2 2 4" xfId="22745" xr:uid="{00000000-0005-0000-0000-000056530000}"/>
    <cellStyle name="Normal 2 8 3 2 3" xfId="4187" xr:uid="{00000000-0005-0000-0000-000057530000}"/>
    <cellStyle name="Normal 2 8 3 2 3 2" xfId="8669" xr:uid="{00000000-0005-0000-0000-000058530000}"/>
    <cellStyle name="Normal 2 8 3 2 3 2 2" xfId="17699" xr:uid="{00000000-0005-0000-0000-000059530000}"/>
    <cellStyle name="Normal 2 8 3 2 3 2 2 2" xfId="37751" xr:uid="{00000000-0005-0000-0000-00005A530000}"/>
    <cellStyle name="Normal 2 8 3 2 3 2 3" xfId="28721" xr:uid="{00000000-0005-0000-0000-00005B530000}"/>
    <cellStyle name="Normal 2 8 3 2 3 3" xfId="13217" xr:uid="{00000000-0005-0000-0000-00005C530000}"/>
    <cellStyle name="Normal 2 8 3 2 3 3 2" xfId="33269" xr:uid="{00000000-0005-0000-0000-00005D530000}"/>
    <cellStyle name="Normal 2 8 3 2 3 4" xfId="24239" xr:uid="{00000000-0005-0000-0000-00005E530000}"/>
    <cellStyle name="Normal 2 8 3 2 4" xfId="5681" xr:uid="{00000000-0005-0000-0000-00005F530000}"/>
    <cellStyle name="Normal 2 8 3 2 4 2" xfId="14711" xr:uid="{00000000-0005-0000-0000-000060530000}"/>
    <cellStyle name="Normal 2 8 3 2 4 2 2" xfId="34763" xr:uid="{00000000-0005-0000-0000-000061530000}"/>
    <cellStyle name="Normal 2 8 3 2 4 3" xfId="25733" xr:uid="{00000000-0005-0000-0000-000062530000}"/>
    <cellStyle name="Normal 2 8 3 2 5" xfId="10229" xr:uid="{00000000-0005-0000-0000-000063530000}"/>
    <cellStyle name="Normal 2 8 3 2 5 2" xfId="30281" xr:uid="{00000000-0005-0000-0000-000064530000}"/>
    <cellStyle name="Normal 2 8 3 2 6" xfId="21251" xr:uid="{00000000-0005-0000-0000-000065530000}"/>
    <cellStyle name="Normal 2 8 3 3" xfId="1946" xr:uid="{00000000-0005-0000-0000-000066530000}"/>
    <cellStyle name="Normal 2 8 3 3 2" xfId="6428" xr:uid="{00000000-0005-0000-0000-000067530000}"/>
    <cellStyle name="Normal 2 8 3 3 2 2" xfId="15458" xr:uid="{00000000-0005-0000-0000-000068530000}"/>
    <cellStyle name="Normal 2 8 3 3 2 2 2" xfId="35510" xr:uid="{00000000-0005-0000-0000-000069530000}"/>
    <cellStyle name="Normal 2 8 3 3 2 3" xfId="26480" xr:uid="{00000000-0005-0000-0000-00006A530000}"/>
    <cellStyle name="Normal 2 8 3 3 3" xfId="10976" xr:uid="{00000000-0005-0000-0000-00006B530000}"/>
    <cellStyle name="Normal 2 8 3 3 3 2" xfId="31028" xr:uid="{00000000-0005-0000-0000-00006C530000}"/>
    <cellStyle name="Normal 2 8 3 3 4" xfId="21998" xr:uid="{00000000-0005-0000-0000-00006D530000}"/>
    <cellStyle name="Normal 2 8 3 4" xfId="3440" xr:uid="{00000000-0005-0000-0000-00006E530000}"/>
    <cellStyle name="Normal 2 8 3 4 2" xfId="7922" xr:uid="{00000000-0005-0000-0000-00006F530000}"/>
    <cellStyle name="Normal 2 8 3 4 2 2" xfId="16952" xr:uid="{00000000-0005-0000-0000-000070530000}"/>
    <cellStyle name="Normal 2 8 3 4 2 2 2" xfId="37004" xr:uid="{00000000-0005-0000-0000-000071530000}"/>
    <cellStyle name="Normal 2 8 3 4 2 3" xfId="27974" xr:uid="{00000000-0005-0000-0000-000072530000}"/>
    <cellStyle name="Normal 2 8 3 4 3" xfId="12470" xr:uid="{00000000-0005-0000-0000-000073530000}"/>
    <cellStyle name="Normal 2 8 3 4 3 2" xfId="32522" xr:uid="{00000000-0005-0000-0000-000074530000}"/>
    <cellStyle name="Normal 2 8 3 4 4" xfId="23492" xr:uid="{00000000-0005-0000-0000-000075530000}"/>
    <cellStyle name="Normal 2 8 3 5" xfId="4934" xr:uid="{00000000-0005-0000-0000-000076530000}"/>
    <cellStyle name="Normal 2 8 3 5 2" xfId="13964" xr:uid="{00000000-0005-0000-0000-000077530000}"/>
    <cellStyle name="Normal 2 8 3 5 2 2" xfId="34016" xr:uid="{00000000-0005-0000-0000-000078530000}"/>
    <cellStyle name="Normal 2 8 3 5 3" xfId="24986" xr:uid="{00000000-0005-0000-0000-000079530000}"/>
    <cellStyle name="Normal 2 8 3 6" xfId="9482" xr:uid="{00000000-0005-0000-0000-00007A530000}"/>
    <cellStyle name="Normal 2 8 3 6 2" xfId="29534" xr:uid="{00000000-0005-0000-0000-00007B530000}"/>
    <cellStyle name="Normal 2 8 3 7" xfId="20504" xr:uid="{00000000-0005-0000-0000-00007C530000}"/>
    <cellStyle name="Normal 2 8 4" xfId="638" xr:uid="{00000000-0005-0000-0000-00007D530000}"/>
    <cellStyle name="Normal 2 8 4 2" xfId="1385" xr:uid="{00000000-0005-0000-0000-00007E530000}"/>
    <cellStyle name="Normal 2 8 4 2 2" xfId="2879" xr:uid="{00000000-0005-0000-0000-00007F530000}"/>
    <cellStyle name="Normal 2 8 4 2 2 2" xfId="7361" xr:uid="{00000000-0005-0000-0000-000080530000}"/>
    <cellStyle name="Normal 2 8 4 2 2 2 2" xfId="16391" xr:uid="{00000000-0005-0000-0000-000081530000}"/>
    <cellStyle name="Normal 2 8 4 2 2 2 2 2" xfId="36443" xr:uid="{00000000-0005-0000-0000-000082530000}"/>
    <cellStyle name="Normal 2 8 4 2 2 2 3" xfId="27413" xr:uid="{00000000-0005-0000-0000-000083530000}"/>
    <cellStyle name="Normal 2 8 4 2 2 3" xfId="11909" xr:uid="{00000000-0005-0000-0000-000084530000}"/>
    <cellStyle name="Normal 2 8 4 2 2 3 2" xfId="31961" xr:uid="{00000000-0005-0000-0000-000085530000}"/>
    <cellStyle name="Normal 2 8 4 2 2 4" xfId="22931" xr:uid="{00000000-0005-0000-0000-000086530000}"/>
    <cellStyle name="Normal 2 8 4 2 3" xfId="4373" xr:uid="{00000000-0005-0000-0000-000087530000}"/>
    <cellStyle name="Normal 2 8 4 2 3 2" xfId="8855" xr:uid="{00000000-0005-0000-0000-000088530000}"/>
    <cellStyle name="Normal 2 8 4 2 3 2 2" xfId="17885" xr:uid="{00000000-0005-0000-0000-000089530000}"/>
    <cellStyle name="Normal 2 8 4 2 3 2 2 2" xfId="37937" xr:uid="{00000000-0005-0000-0000-00008A530000}"/>
    <cellStyle name="Normal 2 8 4 2 3 2 3" xfId="28907" xr:uid="{00000000-0005-0000-0000-00008B530000}"/>
    <cellStyle name="Normal 2 8 4 2 3 3" xfId="13403" xr:uid="{00000000-0005-0000-0000-00008C530000}"/>
    <cellStyle name="Normal 2 8 4 2 3 3 2" xfId="33455" xr:uid="{00000000-0005-0000-0000-00008D530000}"/>
    <cellStyle name="Normal 2 8 4 2 3 4" xfId="24425" xr:uid="{00000000-0005-0000-0000-00008E530000}"/>
    <cellStyle name="Normal 2 8 4 2 4" xfId="5867" xr:uid="{00000000-0005-0000-0000-00008F530000}"/>
    <cellStyle name="Normal 2 8 4 2 4 2" xfId="14897" xr:uid="{00000000-0005-0000-0000-000090530000}"/>
    <cellStyle name="Normal 2 8 4 2 4 2 2" xfId="34949" xr:uid="{00000000-0005-0000-0000-000091530000}"/>
    <cellStyle name="Normal 2 8 4 2 4 3" xfId="25919" xr:uid="{00000000-0005-0000-0000-000092530000}"/>
    <cellStyle name="Normal 2 8 4 2 5" xfId="10415" xr:uid="{00000000-0005-0000-0000-000093530000}"/>
    <cellStyle name="Normal 2 8 4 2 5 2" xfId="30467" xr:uid="{00000000-0005-0000-0000-000094530000}"/>
    <cellStyle name="Normal 2 8 4 2 6" xfId="21437" xr:uid="{00000000-0005-0000-0000-000095530000}"/>
    <cellStyle name="Normal 2 8 4 3" xfId="2132" xr:uid="{00000000-0005-0000-0000-000096530000}"/>
    <cellStyle name="Normal 2 8 4 3 2" xfId="6614" xr:uid="{00000000-0005-0000-0000-000097530000}"/>
    <cellStyle name="Normal 2 8 4 3 2 2" xfId="15644" xr:uid="{00000000-0005-0000-0000-000098530000}"/>
    <cellStyle name="Normal 2 8 4 3 2 2 2" xfId="35696" xr:uid="{00000000-0005-0000-0000-000099530000}"/>
    <cellStyle name="Normal 2 8 4 3 2 3" xfId="26666" xr:uid="{00000000-0005-0000-0000-00009A530000}"/>
    <cellStyle name="Normal 2 8 4 3 3" xfId="11162" xr:uid="{00000000-0005-0000-0000-00009B530000}"/>
    <cellStyle name="Normal 2 8 4 3 3 2" xfId="31214" xr:uid="{00000000-0005-0000-0000-00009C530000}"/>
    <cellStyle name="Normal 2 8 4 3 4" xfId="22184" xr:uid="{00000000-0005-0000-0000-00009D530000}"/>
    <cellStyle name="Normal 2 8 4 4" xfId="3626" xr:uid="{00000000-0005-0000-0000-00009E530000}"/>
    <cellStyle name="Normal 2 8 4 4 2" xfId="8108" xr:uid="{00000000-0005-0000-0000-00009F530000}"/>
    <cellStyle name="Normal 2 8 4 4 2 2" xfId="17138" xr:uid="{00000000-0005-0000-0000-0000A0530000}"/>
    <cellStyle name="Normal 2 8 4 4 2 2 2" xfId="37190" xr:uid="{00000000-0005-0000-0000-0000A1530000}"/>
    <cellStyle name="Normal 2 8 4 4 2 3" xfId="28160" xr:uid="{00000000-0005-0000-0000-0000A2530000}"/>
    <cellStyle name="Normal 2 8 4 4 3" xfId="12656" xr:uid="{00000000-0005-0000-0000-0000A3530000}"/>
    <cellStyle name="Normal 2 8 4 4 3 2" xfId="32708" xr:uid="{00000000-0005-0000-0000-0000A4530000}"/>
    <cellStyle name="Normal 2 8 4 4 4" xfId="23678" xr:uid="{00000000-0005-0000-0000-0000A5530000}"/>
    <cellStyle name="Normal 2 8 4 5" xfId="5120" xr:uid="{00000000-0005-0000-0000-0000A6530000}"/>
    <cellStyle name="Normal 2 8 4 5 2" xfId="14150" xr:uid="{00000000-0005-0000-0000-0000A7530000}"/>
    <cellStyle name="Normal 2 8 4 5 2 2" xfId="34202" xr:uid="{00000000-0005-0000-0000-0000A8530000}"/>
    <cellStyle name="Normal 2 8 4 5 3" xfId="25172" xr:uid="{00000000-0005-0000-0000-0000A9530000}"/>
    <cellStyle name="Normal 2 8 4 6" xfId="9668" xr:uid="{00000000-0005-0000-0000-0000AA530000}"/>
    <cellStyle name="Normal 2 8 4 6 2" xfId="29720" xr:uid="{00000000-0005-0000-0000-0000AB530000}"/>
    <cellStyle name="Normal 2 8 4 7" xfId="20690" xr:uid="{00000000-0005-0000-0000-0000AC530000}"/>
    <cellStyle name="Normal 2 8 5" xfId="825" xr:uid="{00000000-0005-0000-0000-0000AD530000}"/>
    <cellStyle name="Normal 2 8 5 2" xfId="2319" xr:uid="{00000000-0005-0000-0000-0000AE530000}"/>
    <cellStyle name="Normal 2 8 5 2 2" xfId="6801" xr:uid="{00000000-0005-0000-0000-0000AF530000}"/>
    <cellStyle name="Normal 2 8 5 2 2 2" xfId="15831" xr:uid="{00000000-0005-0000-0000-0000B0530000}"/>
    <cellStyle name="Normal 2 8 5 2 2 2 2" xfId="35883" xr:uid="{00000000-0005-0000-0000-0000B1530000}"/>
    <cellStyle name="Normal 2 8 5 2 2 3" xfId="26853" xr:uid="{00000000-0005-0000-0000-0000B2530000}"/>
    <cellStyle name="Normal 2 8 5 2 3" xfId="11349" xr:uid="{00000000-0005-0000-0000-0000B3530000}"/>
    <cellStyle name="Normal 2 8 5 2 3 2" xfId="31401" xr:uid="{00000000-0005-0000-0000-0000B4530000}"/>
    <cellStyle name="Normal 2 8 5 2 4" xfId="22371" xr:uid="{00000000-0005-0000-0000-0000B5530000}"/>
    <cellStyle name="Normal 2 8 5 3" xfId="3813" xr:uid="{00000000-0005-0000-0000-0000B6530000}"/>
    <cellStyle name="Normal 2 8 5 3 2" xfId="8295" xr:uid="{00000000-0005-0000-0000-0000B7530000}"/>
    <cellStyle name="Normal 2 8 5 3 2 2" xfId="17325" xr:uid="{00000000-0005-0000-0000-0000B8530000}"/>
    <cellStyle name="Normal 2 8 5 3 2 2 2" xfId="37377" xr:uid="{00000000-0005-0000-0000-0000B9530000}"/>
    <cellStyle name="Normal 2 8 5 3 2 3" xfId="28347" xr:uid="{00000000-0005-0000-0000-0000BA530000}"/>
    <cellStyle name="Normal 2 8 5 3 3" xfId="12843" xr:uid="{00000000-0005-0000-0000-0000BB530000}"/>
    <cellStyle name="Normal 2 8 5 3 3 2" xfId="32895" xr:uid="{00000000-0005-0000-0000-0000BC530000}"/>
    <cellStyle name="Normal 2 8 5 3 4" xfId="23865" xr:uid="{00000000-0005-0000-0000-0000BD530000}"/>
    <cellStyle name="Normal 2 8 5 4" xfId="5307" xr:uid="{00000000-0005-0000-0000-0000BE530000}"/>
    <cellStyle name="Normal 2 8 5 4 2" xfId="14337" xr:uid="{00000000-0005-0000-0000-0000BF530000}"/>
    <cellStyle name="Normal 2 8 5 4 2 2" xfId="34389" xr:uid="{00000000-0005-0000-0000-0000C0530000}"/>
    <cellStyle name="Normal 2 8 5 4 3" xfId="25359" xr:uid="{00000000-0005-0000-0000-0000C1530000}"/>
    <cellStyle name="Normal 2 8 5 5" xfId="9855" xr:uid="{00000000-0005-0000-0000-0000C2530000}"/>
    <cellStyle name="Normal 2 8 5 5 2" xfId="29907" xr:uid="{00000000-0005-0000-0000-0000C3530000}"/>
    <cellStyle name="Normal 2 8 5 6" xfId="20877" xr:uid="{00000000-0005-0000-0000-0000C4530000}"/>
    <cellStyle name="Normal 2 8 6" xfId="1574" xr:uid="{00000000-0005-0000-0000-0000C5530000}"/>
    <cellStyle name="Normal 2 8 6 2" xfId="6056" xr:uid="{00000000-0005-0000-0000-0000C6530000}"/>
    <cellStyle name="Normal 2 8 6 2 2" xfId="15086" xr:uid="{00000000-0005-0000-0000-0000C7530000}"/>
    <cellStyle name="Normal 2 8 6 2 2 2" xfId="35138" xr:uid="{00000000-0005-0000-0000-0000C8530000}"/>
    <cellStyle name="Normal 2 8 6 2 3" xfId="26108" xr:uid="{00000000-0005-0000-0000-0000C9530000}"/>
    <cellStyle name="Normal 2 8 6 3" xfId="10604" xr:uid="{00000000-0005-0000-0000-0000CA530000}"/>
    <cellStyle name="Normal 2 8 6 3 2" xfId="30656" xr:uid="{00000000-0005-0000-0000-0000CB530000}"/>
    <cellStyle name="Normal 2 8 6 4" xfId="21626" xr:uid="{00000000-0005-0000-0000-0000CC530000}"/>
    <cellStyle name="Normal 2 8 7" xfId="3068" xr:uid="{00000000-0005-0000-0000-0000CD530000}"/>
    <cellStyle name="Normal 2 8 7 2" xfId="7550" xr:uid="{00000000-0005-0000-0000-0000CE530000}"/>
    <cellStyle name="Normal 2 8 7 2 2" xfId="16580" xr:uid="{00000000-0005-0000-0000-0000CF530000}"/>
    <cellStyle name="Normal 2 8 7 2 2 2" xfId="36632" xr:uid="{00000000-0005-0000-0000-0000D0530000}"/>
    <cellStyle name="Normal 2 8 7 2 3" xfId="27602" xr:uid="{00000000-0005-0000-0000-0000D1530000}"/>
    <cellStyle name="Normal 2 8 7 3" xfId="12098" xr:uid="{00000000-0005-0000-0000-0000D2530000}"/>
    <cellStyle name="Normal 2 8 7 3 2" xfId="32150" xr:uid="{00000000-0005-0000-0000-0000D3530000}"/>
    <cellStyle name="Normal 2 8 7 4" xfId="23120" xr:uid="{00000000-0005-0000-0000-0000D4530000}"/>
    <cellStyle name="Normal 2 8 8" xfId="4562" xr:uid="{00000000-0005-0000-0000-0000D5530000}"/>
    <cellStyle name="Normal 2 8 8 2" xfId="13592" xr:uid="{00000000-0005-0000-0000-0000D6530000}"/>
    <cellStyle name="Normal 2 8 8 2 2" xfId="33644" xr:uid="{00000000-0005-0000-0000-0000D7530000}"/>
    <cellStyle name="Normal 2 8 8 3" xfId="24614" xr:uid="{00000000-0005-0000-0000-0000D8530000}"/>
    <cellStyle name="Normal 2 8 9" xfId="9110" xr:uid="{00000000-0005-0000-0000-0000D9530000}"/>
    <cellStyle name="Normal 2 8 9 2" xfId="29162" xr:uid="{00000000-0005-0000-0000-0000DA530000}"/>
    <cellStyle name="Normal 2 9" xfId="102" xr:uid="{00000000-0005-0000-0000-0000DB530000}"/>
    <cellStyle name="Normal 2 9 10" xfId="20154" xr:uid="{00000000-0005-0000-0000-0000DC530000}"/>
    <cellStyle name="Normal 2 9 2" xfId="288" xr:uid="{00000000-0005-0000-0000-0000DD530000}"/>
    <cellStyle name="Normal 2 9 2 2" xfId="1031" xr:uid="{00000000-0005-0000-0000-0000DE530000}"/>
    <cellStyle name="Normal 2 9 2 2 2" xfId="2525" xr:uid="{00000000-0005-0000-0000-0000DF530000}"/>
    <cellStyle name="Normal 2 9 2 2 2 2" xfId="7007" xr:uid="{00000000-0005-0000-0000-0000E0530000}"/>
    <cellStyle name="Normal 2 9 2 2 2 2 2" xfId="16037" xr:uid="{00000000-0005-0000-0000-0000E1530000}"/>
    <cellStyle name="Normal 2 9 2 2 2 2 2 2" xfId="36089" xr:uid="{00000000-0005-0000-0000-0000E2530000}"/>
    <cellStyle name="Normal 2 9 2 2 2 2 3" xfId="27059" xr:uid="{00000000-0005-0000-0000-0000E3530000}"/>
    <cellStyle name="Normal 2 9 2 2 2 3" xfId="11555" xr:uid="{00000000-0005-0000-0000-0000E4530000}"/>
    <cellStyle name="Normal 2 9 2 2 2 3 2" xfId="31607" xr:uid="{00000000-0005-0000-0000-0000E5530000}"/>
    <cellStyle name="Normal 2 9 2 2 2 4" xfId="22577" xr:uid="{00000000-0005-0000-0000-0000E6530000}"/>
    <cellStyle name="Normal 2 9 2 2 3" xfId="4019" xr:uid="{00000000-0005-0000-0000-0000E7530000}"/>
    <cellStyle name="Normal 2 9 2 2 3 2" xfId="8501" xr:uid="{00000000-0005-0000-0000-0000E8530000}"/>
    <cellStyle name="Normal 2 9 2 2 3 2 2" xfId="17531" xr:uid="{00000000-0005-0000-0000-0000E9530000}"/>
    <cellStyle name="Normal 2 9 2 2 3 2 2 2" xfId="37583" xr:uid="{00000000-0005-0000-0000-0000EA530000}"/>
    <cellStyle name="Normal 2 9 2 2 3 2 3" xfId="28553" xr:uid="{00000000-0005-0000-0000-0000EB530000}"/>
    <cellStyle name="Normal 2 9 2 2 3 3" xfId="13049" xr:uid="{00000000-0005-0000-0000-0000EC530000}"/>
    <cellStyle name="Normal 2 9 2 2 3 3 2" xfId="33101" xr:uid="{00000000-0005-0000-0000-0000ED530000}"/>
    <cellStyle name="Normal 2 9 2 2 3 4" xfId="24071" xr:uid="{00000000-0005-0000-0000-0000EE530000}"/>
    <cellStyle name="Normal 2 9 2 2 4" xfId="5513" xr:uid="{00000000-0005-0000-0000-0000EF530000}"/>
    <cellStyle name="Normal 2 9 2 2 4 2" xfId="14543" xr:uid="{00000000-0005-0000-0000-0000F0530000}"/>
    <cellStyle name="Normal 2 9 2 2 4 2 2" xfId="34595" xr:uid="{00000000-0005-0000-0000-0000F1530000}"/>
    <cellStyle name="Normal 2 9 2 2 4 3" xfId="25565" xr:uid="{00000000-0005-0000-0000-0000F2530000}"/>
    <cellStyle name="Normal 2 9 2 2 5" xfId="10061" xr:uid="{00000000-0005-0000-0000-0000F3530000}"/>
    <cellStyle name="Normal 2 9 2 2 5 2" xfId="30113" xr:uid="{00000000-0005-0000-0000-0000F4530000}"/>
    <cellStyle name="Normal 2 9 2 2 6" xfId="21083" xr:uid="{00000000-0005-0000-0000-0000F5530000}"/>
    <cellStyle name="Normal 2 9 2 3" xfId="1782" xr:uid="{00000000-0005-0000-0000-0000F6530000}"/>
    <cellStyle name="Normal 2 9 2 3 2" xfId="6264" xr:uid="{00000000-0005-0000-0000-0000F7530000}"/>
    <cellStyle name="Normal 2 9 2 3 2 2" xfId="15294" xr:uid="{00000000-0005-0000-0000-0000F8530000}"/>
    <cellStyle name="Normal 2 9 2 3 2 2 2" xfId="35346" xr:uid="{00000000-0005-0000-0000-0000F9530000}"/>
    <cellStyle name="Normal 2 9 2 3 2 3" xfId="26316" xr:uid="{00000000-0005-0000-0000-0000FA530000}"/>
    <cellStyle name="Normal 2 9 2 3 3" xfId="10812" xr:uid="{00000000-0005-0000-0000-0000FB530000}"/>
    <cellStyle name="Normal 2 9 2 3 3 2" xfId="30864" xr:uid="{00000000-0005-0000-0000-0000FC530000}"/>
    <cellStyle name="Normal 2 9 2 3 4" xfId="21834" xr:uid="{00000000-0005-0000-0000-0000FD530000}"/>
    <cellStyle name="Normal 2 9 2 4" xfId="3276" xr:uid="{00000000-0005-0000-0000-0000FE530000}"/>
    <cellStyle name="Normal 2 9 2 4 2" xfId="7758" xr:uid="{00000000-0005-0000-0000-0000FF530000}"/>
    <cellStyle name="Normal 2 9 2 4 2 2" xfId="16788" xr:uid="{00000000-0005-0000-0000-000000540000}"/>
    <cellStyle name="Normal 2 9 2 4 2 2 2" xfId="36840" xr:uid="{00000000-0005-0000-0000-000001540000}"/>
    <cellStyle name="Normal 2 9 2 4 2 3" xfId="27810" xr:uid="{00000000-0005-0000-0000-000002540000}"/>
    <cellStyle name="Normal 2 9 2 4 3" xfId="12306" xr:uid="{00000000-0005-0000-0000-000003540000}"/>
    <cellStyle name="Normal 2 9 2 4 3 2" xfId="32358" xr:uid="{00000000-0005-0000-0000-000004540000}"/>
    <cellStyle name="Normal 2 9 2 4 4" xfId="23328" xr:uid="{00000000-0005-0000-0000-000005540000}"/>
    <cellStyle name="Normal 2 9 2 5" xfId="4770" xr:uid="{00000000-0005-0000-0000-000006540000}"/>
    <cellStyle name="Normal 2 9 2 5 2" xfId="13800" xr:uid="{00000000-0005-0000-0000-000007540000}"/>
    <cellStyle name="Normal 2 9 2 5 2 2" xfId="33852" xr:uid="{00000000-0005-0000-0000-000008540000}"/>
    <cellStyle name="Normal 2 9 2 5 3" xfId="24822" xr:uid="{00000000-0005-0000-0000-000009540000}"/>
    <cellStyle name="Normal 2 9 2 6" xfId="9318" xr:uid="{00000000-0005-0000-0000-00000A540000}"/>
    <cellStyle name="Normal 2 9 2 6 2" xfId="29370" xr:uid="{00000000-0005-0000-0000-00000B540000}"/>
    <cellStyle name="Normal 2 9 2 7" xfId="20340" xr:uid="{00000000-0005-0000-0000-00000C540000}"/>
    <cellStyle name="Normal 2 9 3" xfId="474" xr:uid="{00000000-0005-0000-0000-00000D540000}"/>
    <cellStyle name="Normal 2 9 3 2" xfId="1221" xr:uid="{00000000-0005-0000-0000-00000E540000}"/>
    <cellStyle name="Normal 2 9 3 2 2" xfId="2715" xr:uid="{00000000-0005-0000-0000-00000F540000}"/>
    <cellStyle name="Normal 2 9 3 2 2 2" xfId="7197" xr:uid="{00000000-0005-0000-0000-000010540000}"/>
    <cellStyle name="Normal 2 9 3 2 2 2 2" xfId="16227" xr:uid="{00000000-0005-0000-0000-000011540000}"/>
    <cellStyle name="Normal 2 9 3 2 2 2 2 2" xfId="36279" xr:uid="{00000000-0005-0000-0000-000012540000}"/>
    <cellStyle name="Normal 2 9 3 2 2 2 3" xfId="27249" xr:uid="{00000000-0005-0000-0000-000013540000}"/>
    <cellStyle name="Normal 2 9 3 2 2 3" xfId="11745" xr:uid="{00000000-0005-0000-0000-000014540000}"/>
    <cellStyle name="Normal 2 9 3 2 2 3 2" xfId="31797" xr:uid="{00000000-0005-0000-0000-000015540000}"/>
    <cellStyle name="Normal 2 9 3 2 2 4" xfId="22767" xr:uid="{00000000-0005-0000-0000-000016540000}"/>
    <cellStyle name="Normal 2 9 3 2 3" xfId="4209" xr:uid="{00000000-0005-0000-0000-000017540000}"/>
    <cellStyle name="Normal 2 9 3 2 3 2" xfId="8691" xr:uid="{00000000-0005-0000-0000-000018540000}"/>
    <cellStyle name="Normal 2 9 3 2 3 2 2" xfId="17721" xr:uid="{00000000-0005-0000-0000-000019540000}"/>
    <cellStyle name="Normal 2 9 3 2 3 2 2 2" xfId="37773" xr:uid="{00000000-0005-0000-0000-00001A540000}"/>
    <cellStyle name="Normal 2 9 3 2 3 2 3" xfId="28743" xr:uid="{00000000-0005-0000-0000-00001B540000}"/>
    <cellStyle name="Normal 2 9 3 2 3 3" xfId="13239" xr:uid="{00000000-0005-0000-0000-00001C540000}"/>
    <cellStyle name="Normal 2 9 3 2 3 3 2" xfId="33291" xr:uid="{00000000-0005-0000-0000-00001D540000}"/>
    <cellStyle name="Normal 2 9 3 2 3 4" xfId="24261" xr:uid="{00000000-0005-0000-0000-00001E540000}"/>
    <cellStyle name="Normal 2 9 3 2 4" xfId="5703" xr:uid="{00000000-0005-0000-0000-00001F540000}"/>
    <cellStyle name="Normal 2 9 3 2 4 2" xfId="14733" xr:uid="{00000000-0005-0000-0000-000020540000}"/>
    <cellStyle name="Normal 2 9 3 2 4 2 2" xfId="34785" xr:uid="{00000000-0005-0000-0000-000021540000}"/>
    <cellStyle name="Normal 2 9 3 2 4 3" xfId="25755" xr:uid="{00000000-0005-0000-0000-000022540000}"/>
    <cellStyle name="Normal 2 9 3 2 5" xfId="10251" xr:uid="{00000000-0005-0000-0000-000023540000}"/>
    <cellStyle name="Normal 2 9 3 2 5 2" xfId="30303" xr:uid="{00000000-0005-0000-0000-000024540000}"/>
    <cellStyle name="Normal 2 9 3 2 6" xfId="21273" xr:uid="{00000000-0005-0000-0000-000025540000}"/>
    <cellStyle name="Normal 2 9 3 3" xfId="1968" xr:uid="{00000000-0005-0000-0000-000026540000}"/>
    <cellStyle name="Normal 2 9 3 3 2" xfId="6450" xr:uid="{00000000-0005-0000-0000-000027540000}"/>
    <cellStyle name="Normal 2 9 3 3 2 2" xfId="15480" xr:uid="{00000000-0005-0000-0000-000028540000}"/>
    <cellStyle name="Normal 2 9 3 3 2 2 2" xfId="35532" xr:uid="{00000000-0005-0000-0000-000029540000}"/>
    <cellStyle name="Normal 2 9 3 3 2 3" xfId="26502" xr:uid="{00000000-0005-0000-0000-00002A540000}"/>
    <cellStyle name="Normal 2 9 3 3 3" xfId="10998" xr:uid="{00000000-0005-0000-0000-00002B540000}"/>
    <cellStyle name="Normal 2 9 3 3 3 2" xfId="31050" xr:uid="{00000000-0005-0000-0000-00002C540000}"/>
    <cellStyle name="Normal 2 9 3 3 4" xfId="22020" xr:uid="{00000000-0005-0000-0000-00002D540000}"/>
    <cellStyle name="Normal 2 9 3 4" xfId="3462" xr:uid="{00000000-0005-0000-0000-00002E540000}"/>
    <cellStyle name="Normal 2 9 3 4 2" xfId="7944" xr:uid="{00000000-0005-0000-0000-00002F540000}"/>
    <cellStyle name="Normal 2 9 3 4 2 2" xfId="16974" xr:uid="{00000000-0005-0000-0000-000030540000}"/>
    <cellStyle name="Normal 2 9 3 4 2 2 2" xfId="37026" xr:uid="{00000000-0005-0000-0000-000031540000}"/>
    <cellStyle name="Normal 2 9 3 4 2 3" xfId="27996" xr:uid="{00000000-0005-0000-0000-000032540000}"/>
    <cellStyle name="Normal 2 9 3 4 3" xfId="12492" xr:uid="{00000000-0005-0000-0000-000033540000}"/>
    <cellStyle name="Normal 2 9 3 4 3 2" xfId="32544" xr:uid="{00000000-0005-0000-0000-000034540000}"/>
    <cellStyle name="Normal 2 9 3 4 4" xfId="23514" xr:uid="{00000000-0005-0000-0000-000035540000}"/>
    <cellStyle name="Normal 2 9 3 5" xfId="4956" xr:uid="{00000000-0005-0000-0000-000036540000}"/>
    <cellStyle name="Normal 2 9 3 5 2" xfId="13986" xr:uid="{00000000-0005-0000-0000-000037540000}"/>
    <cellStyle name="Normal 2 9 3 5 2 2" xfId="34038" xr:uid="{00000000-0005-0000-0000-000038540000}"/>
    <cellStyle name="Normal 2 9 3 5 3" xfId="25008" xr:uid="{00000000-0005-0000-0000-000039540000}"/>
    <cellStyle name="Normal 2 9 3 6" xfId="9504" xr:uid="{00000000-0005-0000-0000-00003A540000}"/>
    <cellStyle name="Normal 2 9 3 6 2" xfId="29556" xr:uid="{00000000-0005-0000-0000-00003B540000}"/>
    <cellStyle name="Normal 2 9 3 7" xfId="20526" xr:uid="{00000000-0005-0000-0000-00003C540000}"/>
    <cellStyle name="Normal 2 9 4" xfId="660" xr:uid="{00000000-0005-0000-0000-00003D540000}"/>
    <cellStyle name="Normal 2 9 4 2" xfId="1407" xr:uid="{00000000-0005-0000-0000-00003E540000}"/>
    <cellStyle name="Normal 2 9 4 2 2" xfId="2901" xr:uid="{00000000-0005-0000-0000-00003F540000}"/>
    <cellStyle name="Normal 2 9 4 2 2 2" xfId="7383" xr:uid="{00000000-0005-0000-0000-000040540000}"/>
    <cellStyle name="Normal 2 9 4 2 2 2 2" xfId="16413" xr:uid="{00000000-0005-0000-0000-000041540000}"/>
    <cellStyle name="Normal 2 9 4 2 2 2 2 2" xfId="36465" xr:uid="{00000000-0005-0000-0000-000042540000}"/>
    <cellStyle name="Normal 2 9 4 2 2 2 3" xfId="27435" xr:uid="{00000000-0005-0000-0000-000043540000}"/>
    <cellStyle name="Normal 2 9 4 2 2 3" xfId="11931" xr:uid="{00000000-0005-0000-0000-000044540000}"/>
    <cellStyle name="Normal 2 9 4 2 2 3 2" xfId="31983" xr:uid="{00000000-0005-0000-0000-000045540000}"/>
    <cellStyle name="Normal 2 9 4 2 2 4" xfId="22953" xr:uid="{00000000-0005-0000-0000-000046540000}"/>
    <cellStyle name="Normal 2 9 4 2 3" xfId="4395" xr:uid="{00000000-0005-0000-0000-000047540000}"/>
    <cellStyle name="Normal 2 9 4 2 3 2" xfId="8877" xr:uid="{00000000-0005-0000-0000-000048540000}"/>
    <cellStyle name="Normal 2 9 4 2 3 2 2" xfId="17907" xr:uid="{00000000-0005-0000-0000-000049540000}"/>
    <cellStyle name="Normal 2 9 4 2 3 2 2 2" xfId="37959" xr:uid="{00000000-0005-0000-0000-00004A540000}"/>
    <cellStyle name="Normal 2 9 4 2 3 2 3" xfId="28929" xr:uid="{00000000-0005-0000-0000-00004B540000}"/>
    <cellStyle name="Normal 2 9 4 2 3 3" xfId="13425" xr:uid="{00000000-0005-0000-0000-00004C540000}"/>
    <cellStyle name="Normal 2 9 4 2 3 3 2" xfId="33477" xr:uid="{00000000-0005-0000-0000-00004D540000}"/>
    <cellStyle name="Normal 2 9 4 2 3 4" xfId="24447" xr:uid="{00000000-0005-0000-0000-00004E540000}"/>
    <cellStyle name="Normal 2 9 4 2 4" xfId="5889" xr:uid="{00000000-0005-0000-0000-00004F540000}"/>
    <cellStyle name="Normal 2 9 4 2 4 2" xfId="14919" xr:uid="{00000000-0005-0000-0000-000050540000}"/>
    <cellStyle name="Normal 2 9 4 2 4 2 2" xfId="34971" xr:uid="{00000000-0005-0000-0000-000051540000}"/>
    <cellStyle name="Normal 2 9 4 2 4 3" xfId="25941" xr:uid="{00000000-0005-0000-0000-000052540000}"/>
    <cellStyle name="Normal 2 9 4 2 5" xfId="10437" xr:uid="{00000000-0005-0000-0000-000053540000}"/>
    <cellStyle name="Normal 2 9 4 2 5 2" xfId="30489" xr:uid="{00000000-0005-0000-0000-000054540000}"/>
    <cellStyle name="Normal 2 9 4 2 6" xfId="21459" xr:uid="{00000000-0005-0000-0000-000055540000}"/>
    <cellStyle name="Normal 2 9 4 3" xfId="2154" xr:uid="{00000000-0005-0000-0000-000056540000}"/>
    <cellStyle name="Normal 2 9 4 3 2" xfId="6636" xr:uid="{00000000-0005-0000-0000-000057540000}"/>
    <cellStyle name="Normal 2 9 4 3 2 2" xfId="15666" xr:uid="{00000000-0005-0000-0000-000058540000}"/>
    <cellStyle name="Normal 2 9 4 3 2 2 2" xfId="35718" xr:uid="{00000000-0005-0000-0000-000059540000}"/>
    <cellStyle name="Normal 2 9 4 3 2 3" xfId="26688" xr:uid="{00000000-0005-0000-0000-00005A540000}"/>
    <cellStyle name="Normal 2 9 4 3 3" xfId="11184" xr:uid="{00000000-0005-0000-0000-00005B540000}"/>
    <cellStyle name="Normal 2 9 4 3 3 2" xfId="31236" xr:uid="{00000000-0005-0000-0000-00005C540000}"/>
    <cellStyle name="Normal 2 9 4 3 4" xfId="22206" xr:uid="{00000000-0005-0000-0000-00005D540000}"/>
    <cellStyle name="Normal 2 9 4 4" xfId="3648" xr:uid="{00000000-0005-0000-0000-00005E540000}"/>
    <cellStyle name="Normal 2 9 4 4 2" xfId="8130" xr:uid="{00000000-0005-0000-0000-00005F540000}"/>
    <cellStyle name="Normal 2 9 4 4 2 2" xfId="17160" xr:uid="{00000000-0005-0000-0000-000060540000}"/>
    <cellStyle name="Normal 2 9 4 4 2 2 2" xfId="37212" xr:uid="{00000000-0005-0000-0000-000061540000}"/>
    <cellStyle name="Normal 2 9 4 4 2 3" xfId="28182" xr:uid="{00000000-0005-0000-0000-000062540000}"/>
    <cellStyle name="Normal 2 9 4 4 3" xfId="12678" xr:uid="{00000000-0005-0000-0000-000063540000}"/>
    <cellStyle name="Normal 2 9 4 4 3 2" xfId="32730" xr:uid="{00000000-0005-0000-0000-000064540000}"/>
    <cellStyle name="Normal 2 9 4 4 4" xfId="23700" xr:uid="{00000000-0005-0000-0000-000065540000}"/>
    <cellStyle name="Normal 2 9 4 5" xfId="5142" xr:uid="{00000000-0005-0000-0000-000066540000}"/>
    <cellStyle name="Normal 2 9 4 5 2" xfId="14172" xr:uid="{00000000-0005-0000-0000-000067540000}"/>
    <cellStyle name="Normal 2 9 4 5 2 2" xfId="34224" xr:uid="{00000000-0005-0000-0000-000068540000}"/>
    <cellStyle name="Normal 2 9 4 5 3" xfId="25194" xr:uid="{00000000-0005-0000-0000-000069540000}"/>
    <cellStyle name="Normal 2 9 4 6" xfId="9690" xr:uid="{00000000-0005-0000-0000-00006A540000}"/>
    <cellStyle name="Normal 2 9 4 6 2" xfId="29742" xr:uid="{00000000-0005-0000-0000-00006B540000}"/>
    <cellStyle name="Normal 2 9 4 7" xfId="20712" xr:uid="{00000000-0005-0000-0000-00006C540000}"/>
    <cellStyle name="Normal 2 9 5" xfId="847" xr:uid="{00000000-0005-0000-0000-00006D540000}"/>
    <cellStyle name="Normal 2 9 5 2" xfId="2341" xr:uid="{00000000-0005-0000-0000-00006E540000}"/>
    <cellStyle name="Normal 2 9 5 2 2" xfId="6823" xr:uid="{00000000-0005-0000-0000-00006F540000}"/>
    <cellStyle name="Normal 2 9 5 2 2 2" xfId="15853" xr:uid="{00000000-0005-0000-0000-000070540000}"/>
    <cellStyle name="Normal 2 9 5 2 2 2 2" xfId="35905" xr:uid="{00000000-0005-0000-0000-000071540000}"/>
    <cellStyle name="Normal 2 9 5 2 2 3" xfId="26875" xr:uid="{00000000-0005-0000-0000-000072540000}"/>
    <cellStyle name="Normal 2 9 5 2 3" xfId="11371" xr:uid="{00000000-0005-0000-0000-000073540000}"/>
    <cellStyle name="Normal 2 9 5 2 3 2" xfId="31423" xr:uid="{00000000-0005-0000-0000-000074540000}"/>
    <cellStyle name="Normal 2 9 5 2 4" xfId="22393" xr:uid="{00000000-0005-0000-0000-000075540000}"/>
    <cellStyle name="Normal 2 9 5 3" xfId="3835" xr:uid="{00000000-0005-0000-0000-000076540000}"/>
    <cellStyle name="Normal 2 9 5 3 2" xfId="8317" xr:uid="{00000000-0005-0000-0000-000077540000}"/>
    <cellStyle name="Normal 2 9 5 3 2 2" xfId="17347" xr:uid="{00000000-0005-0000-0000-000078540000}"/>
    <cellStyle name="Normal 2 9 5 3 2 2 2" xfId="37399" xr:uid="{00000000-0005-0000-0000-000079540000}"/>
    <cellStyle name="Normal 2 9 5 3 2 3" xfId="28369" xr:uid="{00000000-0005-0000-0000-00007A540000}"/>
    <cellStyle name="Normal 2 9 5 3 3" xfId="12865" xr:uid="{00000000-0005-0000-0000-00007B540000}"/>
    <cellStyle name="Normal 2 9 5 3 3 2" xfId="32917" xr:uid="{00000000-0005-0000-0000-00007C540000}"/>
    <cellStyle name="Normal 2 9 5 3 4" xfId="23887" xr:uid="{00000000-0005-0000-0000-00007D540000}"/>
    <cellStyle name="Normal 2 9 5 4" xfId="5329" xr:uid="{00000000-0005-0000-0000-00007E540000}"/>
    <cellStyle name="Normal 2 9 5 4 2" xfId="14359" xr:uid="{00000000-0005-0000-0000-00007F540000}"/>
    <cellStyle name="Normal 2 9 5 4 2 2" xfId="34411" xr:uid="{00000000-0005-0000-0000-000080540000}"/>
    <cellStyle name="Normal 2 9 5 4 3" xfId="25381" xr:uid="{00000000-0005-0000-0000-000081540000}"/>
    <cellStyle name="Normal 2 9 5 5" xfId="9877" xr:uid="{00000000-0005-0000-0000-000082540000}"/>
    <cellStyle name="Normal 2 9 5 5 2" xfId="29929" xr:uid="{00000000-0005-0000-0000-000083540000}"/>
    <cellStyle name="Normal 2 9 5 6" xfId="20899" xr:uid="{00000000-0005-0000-0000-000084540000}"/>
    <cellStyle name="Normal 2 9 6" xfId="1596" xr:uid="{00000000-0005-0000-0000-000085540000}"/>
    <cellStyle name="Normal 2 9 6 2" xfId="6078" xr:uid="{00000000-0005-0000-0000-000086540000}"/>
    <cellStyle name="Normal 2 9 6 2 2" xfId="15108" xr:uid="{00000000-0005-0000-0000-000087540000}"/>
    <cellStyle name="Normal 2 9 6 2 2 2" xfId="35160" xr:uid="{00000000-0005-0000-0000-000088540000}"/>
    <cellStyle name="Normal 2 9 6 2 3" xfId="26130" xr:uid="{00000000-0005-0000-0000-000089540000}"/>
    <cellStyle name="Normal 2 9 6 3" xfId="10626" xr:uid="{00000000-0005-0000-0000-00008A540000}"/>
    <cellStyle name="Normal 2 9 6 3 2" xfId="30678" xr:uid="{00000000-0005-0000-0000-00008B540000}"/>
    <cellStyle name="Normal 2 9 6 4" xfId="21648" xr:uid="{00000000-0005-0000-0000-00008C540000}"/>
    <cellStyle name="Normal 2 9 7" xfId="3090" xr:uid="{00000000-0005-0000-0000-00008D540000}"/>
    <cellStyle name="Normal 2 9 7 2" xfId="7572" xr:uid="{00000000-0005-0000-0000-00008E540000}"/>
    <cellStyle name="Normal 2 9 7 2 2" xfId="16602" xr:uid="{00000000-0005-0000-0000-00008F540000}"/>
    <cellStyle name="Normal 2 9 7 2 2 2" xfId="36654" xr:uid="{00000000-0005-0000-0000-000090540000}"/>
    <cellStyle name="Normal 2 9 7 2 3" xfId="27624" xr:uid="{00000000-0005-0000-0000-000091540000}"/>
    <cellStyle name="Normal 2 9 7 3" xfId="12120" xr:uid="{00000000-0005-0000-0000-000092540000}"/>
    <cellStyle name="Normal 2 9 7 3 2" xfId="32172" xr:uid="{00000000-0005-0000-0000-000093540000}"/>
    <cellStyle name="Normal 2 9 7 4" xfId="23142" xr:uid="{00000000-0005-0000-0000-000094540000}"/>
    <cellStyle name="Normal 2 9 8" xfId="4584" xr:uid="{00000000-0005-0000-0000-000095540000}"/>
    <cellStyle name="Normal 2 9 8 2" xfId="13614" xr:uid="{00000000-0005-0000-0000-000096540000}"/>
    <cellStyle name="Normal 2 9 8 2 2" xfId="33666" xr:uid="{00000000-0005-0000-0000-000097540000}"/>
    <cellStyle name="Normal 2 9 8 3" xfId="24636" xr:uid="{00000000-0005-0000-0000-000098540000}"/>
    <cellStyle name="Normal 2 9 9" xfId="9132" xr:uid="{00000000-0005-0000-0000-000099540000}"/>
    <cellStyle name="Normal 2 9 9 2" xfId="29184" xr:uid="{00000000-0005-0000-0000-00009A540000}"/>
    <cellStyle name="Normal 3" xfId="10" xr:uid="{00000000-0005-0000-0000-00009B540000}"/>
    <cellStyle name="Normal 3 2" xfId="12" xr:uid="{00000000-0005-0000-0000-00009C540000}"/>
    <cellStyle name="Normal 3 3" xfId="20058" xr:uid="{00000000-0005-0000-0000-00009D540000}"/>
    <cellStyle name="Normal 3 3 2" xfId="40105" xr:uid="{00000000-0005-0000-0000-00009E540000}"/>
    <cellStyle name="Normal 4" xfId="8" xr:uid="{00000000-0005-0000-0000-00009F540000}"/>
    <cellStyle name="Normal 4 10" xfId="171" xr:uid="{00000000-0005-0000-0000-0000A0540000}"/>
    <cellStyle name="Normal 4 10 10" xfId="20223" xr:uid="{00000000-0005-0000-0000-0000A1540000}"/>
    <cellStyle name="Normal 4 10 2" xfId="357" xr:uid="{00000000-0005-0000-0000-0000A2540000}"/>
    <cellStyle name="Normal 4 10 2 2" xfId="1100" xr:uid="{00000000-0005-0000-0000-0000A3540000}"/>
    <cellStyle name="Normal 4 10 2 2 2" xfId="2594" xr:uid="{00000000-0005-0000-0000-0000A4540000}"/>
    <cellStyle name="Normal 4 10 2 2 2 2" xfId="7076" xr:uid="{00000000-0005-0000-0000-0000A5540000}"/>
    <cellStyle name="Normal 4 10 2 2 2 2 2" xfId="16106" xr:uid="{00000000-0005-0000-0000-0000A6540000}"/>
    <cellStyle name="Normal 4 10 2 2 2 2 2 2" xfId="36158" xr:uid="{00000000-0005-0000-0000-0000A7540000}"/>
    <cellStyle name="Normal 4 10 2 2 2 2 3" xfId="27128" xr:uid="{00000000-0005-0000-0000-0000A8540000}"/>
    <cellStyle name="Normal 4 10 2 2 2 3" xfId="11624" xr:uid="{00000000-0005-0000-0000-0000A9540000}"/>
    <cellStyle name="Normal 4 10 2 2 2 3 2" xfId="31676" xr:uid="{00000000-0005-0000-0000-0000AA540000}"/>
    <cellStyle name="Normal 4 10 2 2 2 4" xfId="22646" xr:uid="{00000000-0005-0000-0000-0000AB540000}"/>
    <cellStyle name="Normal 4 10 2 2 3" xfId="4088" xr:uid="{00000000-0005-0000-0000-0000AC540000}"/>
    <cellStyle name="Normal 4 10 2 2 3 2" xfId="8570" xr:uid="{00000000-0005-0000-0000-0000AD540000}"/>
    <cellStyle name="Normal 4 10 2 2 3 2 2" xfId="17600" xr:uid="{00000000-0005-0000-0000-0000AE540000}"/>
    <cellStyle name="Normal 4 10 2 2 3 2 2 2" xfId="37652" xr:uid="{00000000-0005-0000-0000-0000AF540000}"/>
    <cellStyle name="Normal 4 10 2 2 3 2 3" xfId="28622" xr:uid="{00000000-0005-0000-0000-0000B0540000}"/>
    <cellStyle name="Normal 4 10 2 2 3 3" xfId="13118" xr:uid="{00000000-0005-0000-0000-0000B1540000}"/>
    <cellStyle name="Normal 4 10 2 2 3 3 2" xfId="33170" xr:uid="{00000000-0005-0000-0000-0000B2540000}"/>
    <cellStyle name="Normal 4 10 2 2 3 4" xfId="24140" xr:uid="{00000000-0005-0000-0000-0000B3540000}"/>
    <cellStyle name="Normal 4 10 2 2 4" xfId="5582" xr:uid="{00000000-0005-0000-0000-0000B4540000}"/>
    <cellStyle name="Normal 4 10 2 2 4 2" xfId="14612" xr:uid="{00000000-0005-0000-0000-0000B5540000}"/>
    <cellStyle name="Normal 4 10 2 2 4 2 2" xfId="34664" xr:uid="{00000000-0005-0000-0000-0000B6540000}"/>
    <cellStyle name="Normal 4 10 2 2 4 3" xfId="25634" xr:uid="{00000000-0005-0000-0000-0000B7540000}"/>
    <cellStyle name="Normal 4 10 2 2 5" xfId="10130" xr:uid="{00000000-0005-0000-0000-0000B8540000}"/>
    <cellStyle name="Normal 4 10 2 2 5 2" xfId="30182" xr:uid="{00000000-0005-0000-0000-0000B9540000}"/>
    <cellStyle name="Normal 4 10 2 2 6" xfId="21152" xr:uid="{00000000-0005-0000-0000-0000BA540000}"/>
    <cellStyle name="Normal 4 10 2 3" xfId="1851" xr:uid="{00000000-0005-0000-0000-0000BB540000}"/>
    <cellStyle name="Normal 4 10 2 3 2" xfId="6333" xr:uid="{00000000-0005-0000-0000-0000BC540000}"/>
    <cellStyle name="Normal 4 10 2 3 2 2" xfId="15363" xr:uid="{00000000-0005-0000-0000-0000BD540000}"/>
    <cellStyle name="Normal 4 10 2 3 2 2 2" xfId="35415" xr:uid="{00000000-0005-0000-0000-0000BE540000}"/>
    <cellStyle name="Normal 4 10 2 3 2 3" xfId="26385" xr:uid="{00000000-0005-0000-0000-0000BF540000}"/>
    <cellStyle name="Normal 4 10 2 3 3" xfId="10881" xr:uid="{00000000-0005-0000-0000-0000C0540000}"/>
    <cellStyle name="Normal 4 10 2 3 3 2" xfId="30933" xr:uid="{00000000-0005-0000-0000-0000C1540000}"/>
    <cellStyle name="Normal 4 10 2 3 4" xfId="21903" xr:uid="{00000000-0005-0000-0000-0000C2540000}"/>
    <cellStyle name="Normal 4 10 2 4" xfId="3345" xr:uid="{00000000-0005-0000-0000-0000C3540000}"/>
    <cellStyle name="Normal 4 10 2 4 2" xfId="7827" xr:uid="{00000000-0005-0000-0000-0000C4540000}"/>
    <cellStyle name="Normal 4 10 2 4 2 2" xfId="16857" xr:uid="{00000000-0005-0000-0000-0000C5540000}"/>
    <cellStyle name="Normal 4 10 2 4 2 2 2" xfId="36909" xr:uid="{00000000-0005-0000-0000-0000C6540000}"/>
    <cellStyle name="Normal 4 10 2 4 2 3" xfId="27879" xr:uid="{00000000-0005-0000-0000-0000C7540000}"/>
    <cellStyle name="Normal 4 10 2 4 3" xfId="12375" xr:uid="{00000000-0005-0000-0000-0000C8540000}"/>
    <cellStyle name="Normal 4 10 2 4 3 2" xfId="32427" xr:uid="{00000000-0005-0000-0000-0000C9540000}"/>
    <cellStyle name="Normal 4 10 2 4 4" xfId="23397" xr:uid="{00000000-0005-0000-0000-0000CA540000}"/>
    <cellStyle name="Normal 4 10 2 5" xfId="4839" xr:uid="{00000000-0005-0000-0000-0000CB540000}"/>
    <cellStyle name="Normal 4 10 2 5 2" xfId="13869" xr:uid="{00000000-0005-0000-0000-0000CC540000}"/>
    <cellStyle name="Normal 4 10 2 5 2 2" xfId="33921" xr:uid="{00000000-0005-0000-0000-0000CD540000}"/>
    <cellStyle name="Normal 4 10 2 5 3" xfId="24891" xr:uid="{00000000-0005-0000-0000-0000CE540000}"/>
    <cellStyle name="Normal 4 10 2 6" xfId="9387" xr:uid="{00000000-0005-0000-0000-0000CF540000}"/>
    <cellStyle name="Normal 4 10 2 6 2" xfId="29439" xr:uid="{00000000-0005-0000-0000-0000D0540000}"/>
    <cellStyle name="Normal 4 10 2 7" xfId="20409" xr:uid="{00000000-0005-0000-0000-0000D1540000}"/>
    <cellStyle name="Normal 4 10 3" xfId="543" xr:uid="{00000000-0005-0000-0000-0000D2540000}"/>
    <cellStyle name="Normal 4 10 3 2" xfId="1290" xr:uid="{00000000-0005-0000-0000-0000D3540000}"/>
    <cellStyle name="Normal 4 10 3 2 2" xfId="2784" xr:uid="{00000000-0005-0000-0000-0000D4540000}"/>
    <cellStyle name="Normal 4 10 3 2 2 2" xfId="7266" xr:uid="{00000000-0005-0000-0000-0000D5540000}"/>
    <cellStyle name="Normal 4 10 3 2 2 2 2" xfId="16296" xr:uid="{00000000-0005-0000-0000-0000D6540000}"/>
    <cellStyle name="Normal 4 10 3 2 2 2 2 2" xfId="36348" xr:uid="{00000000-0005-0000-0000-0000D7540000}"/>
    <cellStyle name="Normal 4 10 3 2 2 2 3" xfId="27318" xr:uid="{00000000-0005-0000-0000-0000D8540000}"/>
    <cellStyle name="Normal 4 10 3 2 2 3" xfId="11814" xr:uid="{00000000-0005-0000-0000-0000D9540000}"/>
    <cellStyle name="Normal 4 10 3 2 2 3 2" xfId="31866" xr:uid="{00000000-0005-0000-0000-0000DA540000}"/>
    <cellStyle name="Normal 4 10 3 2 2 4" xfId="22836" xr:uid="{00000000-0005-0000-0000-0000DB540000}"/>
    <cellStyle name="Normal 4 10 3 2 3" xfId="4278" xr:uid="{00000000-0005-0000-0000-0000DC540000}"/>
    <cellStyle name="Normal 4 10 3 2 3 2" xfId="8760" xr:uid="{00000000-0005-0000-0000-0000DD540000}"/>
    <cellStyle name="Normal 4 10 3 2 3 2 2" xfId="17790" xr:uid="{00000000-0005-0000-0000-0000DE540000}"/>
    <cellStyle name="Normal 4 10 3 2 3 2 2 2" xfId="37842" xr:uid="{00000000-0005-0000-0000-0000DF540000}"/>
    <cellStyle name="Normal 4 10 3 2 3 2 3" xfId="28812" xr:uid="{00000000-0005-0000-0000-0000E0540000}"/>
    <cellStyle name="Normal 4 10 3 2 3 3" xfId="13308" xr:uid="{00000000-0005-0000-0000-0000E1540000}"/>
    <cellStyle name="Normal 4 10 3 2 3 3 2" xfId="33360" xr:uid="{00000000-0005-0000-0000-0000E2540000}"/>
    <cellStyle name="Normal 4 10 3 2 3 4" xfId="24330" xr:uid="{00000000-0005-0000-0000-0000E3540000}"/>
    <cellStyle name="Normal 4 10 3 2 4" xfId="5772" xr:uid="{00000000-0005-0000-0000-0000E4540000}"/>
    <cellStyle name="Normal 4 10 3 2 4 2" xfId="14802" xr:uid="{00000000-0005-0000-0000-0000E5540000}"/>
    <cellStyle name="Normal 4 10 3 2 4 2 2" xfId="34854" xr:uid="{00000000-0005-0000-0000-0000E6540000}"/>
    <cellStyle name="Normal 4 10 3 2 4 3" xfId="25824" xr:uid="{00000000-0005-0000-0000-0000E7540000}"/>
    <cellStyle name="Normal 4 10 3 2 5" xfId="10320" xr:uid="{00000000-0005-0000-0000-0000E8540000}"/>
    <cellStyle name="Normal 4 10 3 2 5 2" xfId="30372" xr:uid="{00000000-0005-0000-0000-0000E9540000}"/>
    <cellStyle name="Normal 4 10 3 2 6" xfId="21342" xr:uid="{00000000-0005-0000-0000-0000EA540000}"/>
    <cellStyle name="Normal 4 10 3 3" xfId="2037" xr:uid="{00000000-0005-0000-0000-0000EB540000}"/>
    <cellStyle name="Normal 4 10 3 3 2" xfId="6519" xr:uid="{00000000-0005-0000-0000-0000EC540000}"/>
    <cellStyle name="Normal 4 10 3 3 2 2" xfId="15549" xr:uid="{00000000-0005-0000-0000-0000ED540000}"/>
    <cellStyle name="Normal 4 10 3 3 2 2 2" xfId="35601" xr:uid="{00000000-0005-0000-0000-0000EE540000}"/>
    <cellStyle name="Normal 4 10 3 3 2 3" xfId="26571" xr:uid="{00000000-0005-0000-0000-0000EF540000}"/>
    <cellStyle name="Normal 4 10 3 3 3" xfId="11067" xr:uid="{00000000-0005-0000-0000-0000F0540000}"/>
    <cellStyle name="Normal 4 10 3 3 3 2" xfId="31119" xr:uid="{00000000-0005-0000-0000-0000F1540000}"/>
    <cellStyle name="Normal 4 10 3 3 4" xfId="22089" xr:uid="{00000000-0005-0000-0000-0000F2540000}"/>
    <cellStyle name="Normal 4 10 3 4" xfId="3531" xr:uid="{00000000-0005-0000-0000-0000F3540000}"/>
    <cellStyle name="Normal 4 10 3 4 2" xfId="8013" xr:uid="{00000000-0005-0000-0000-0000F4540000}"/>
    <cellStyle name="Normal 4 10 3 4 2 2" xfId="17043" xr:uid="{00000000-0005-0000-0000-0000F5540000}"/>
    <cellStyle name="Normal 4 10 3 4 2 2 2" xfId="37095" xr:uid="{00000000-0005-0000-0000-0000F6540000}"/>
    <cellStyle name="Normal 4 10 3 4 2 3" xfId="28065" xr:uid="{00000000-0005-0000-0000-0000F7540000}"/>
    <cellStyle name="Normal 4 10 3 4 3" xfId="12561" xr:uid="{00000000-0005-0000-0000-0000F8540000}"/>
    <cellStyle name="Normal 4 10 3 4 3 2" xfId="32613" xr:uid="{00000000-0005-0000-0000-0000F9540000}"/>
    <cellStyle name="Normal 4 10 3 4 4" xfId="23583" xr:uid="{00000000-0005-0000-0000-0000FA540000}"/>
    <cellStyle name="Normal 4 10 3 5" xfId="5025" xr:uid="{00000000-0005-0000-0000-0000FB540000}"/>
    <cellStyle name="Normal 4 10 3 5 2" xfId="14055" xr:uid="{00000000-0005-0000-0000-0000FC540000}"/>
    <cellStyle name="Normal 4 10 3 5 2 2" xfId="34107" xr:uid="{00000000-0005-0000-0000-0000FD540000}"/>
    <cellStyle name="Normal 4 10 3 5 3" xfId="25077" xr:uid="{00000000-0005-0000-0000-0000FE540000}"/>
    <cellStyle name="Normal 4 10 3 6" xfId="9573" xr:uid="{00000000-0005-0000-0000-0000FF540000}"/>
    <cellStyle name="Normal 4 10 3 6 2" xfId="29625" xr:uid="{00000000-0005-0000-0000-000000550000}"/>
    <cellStyle name="Normal 4 10 3 7" xfId="20595" xr:uid="{00000000-0005-0000-0000-000001550000}"/>
    <cellStyle name="Normal 4 10 4" xfId="729" xr:uid="{00000000-0005-0000-0000-000002550000}"/>
    <cellStyle name="Normal 4 10 4 2" xfId="1476" xr:uid="{00000000-0005-0000-0000-000003550000}"/>
    <cellStyle name="Normal 4 10 4 2 2" xfId="2970" xr:uid="{00000000-0005-0000-0000-000004550000}"/>
    <cellStyle name="Normal 4 10 4 2 2 2" xfId="7452" xr:uid="{00000000-0005-0000-0000-000005550000}"/>
    <cellStyle name="Normal 4 10 4 2 2 2 2" xfId="16482" xr:uid="{00000000-0005-0000-0000-000006550000}"/>
    <cellStyle name="Normal 4 10 4 2 2 2 2 2" xfId="36534" xr:uid="{00000000-0005-0000-0000-000007550000}"/>
    <cellStyle name="Normal 4 10 4 2 2 2 3" xfId="27504" xr:uid="{00000000-0005-0000-0000-000008550000}"/>
    <cellStyle name="Normal 4 10 4 2 2 3" xfId="12000" xr:uid="{00000000-0005-0000-0000-000009550000}"/>
    <cellStyle name="Normal 4 10 4 2 2 3 2" xfId="32052" xr:uid="{00000000-0005-0000-0000-00000A550000}"/>
    <cellStyle name="Normal 4 10 4 2 2 4" xfId="23022" xr:uid="{00000000-0005-0000-0000-00000B550000}"/>
    <cellStyle name="Normal 4 10 4 2 3" xfId="4464" xr:uid="{00000000-0005-0000-0000-00000C550000}"/>
    <cellStyle name="Normal 4 10 4 2 3 2" xfId="8946" xr:uid="{00000000-0005-0000-0000-00000D550000}"/>
    <cellStyle name="Normal 4 10 4 2 3 2 2" xfId="17976" xr:uid="{00000000-0005-0000-0000-00000E550000}"/>
    <cellStyle name="Normal 4 10 4 2 3 2 2 2" xfId="38028" xr:uid="{00000000-0005-0000-0000-00000F550000}"/>
    <cellStyle name="Normal 4 10 4 2 3 2 3" xfId="28998" xr:uid="{00000000-0005-0000-0000-000010550000}"/>
    <cellStyle name="Normal 4 10 4 2 3 3" xfId="13494" xr:uid="{00000000-0005-0000-0000-000011550000}"/>
    <cellStyle name="Normal 4 10 4 2 3 3 2" xfId="33546" xr:uid="{00000000-0005-0000-0000-000012550000}"/>
    <cellStyle name="Normal 4 10 4 2 3 4" xfId="24516" xr:uid="{00000000-0005-0000-0000-000013550000}"/>
    <cellStyle name="Normal 4 10 4 2 4" xfId="5958" xr:uid="{00000000-0005-0000-0000-000014550000}"/>
    <cellStyle name="Normal 4 10 4 2 4 2" xfId="14988" xr:uid="{00000000-0005-0000-0000-000015550000}"/>
    <cellStyle name="Normal 4 10 4 2 4 2 2" xfId="35040" xr:uid="{00000000-0005-0000-0000-000016550000}"/>
    <cellStyle name="Normal 4 10 4 2 4 3" xfId="26010" xr:uid="{00000000-0005-0000-0000-000017550000}"/>
    <cellStyle name="Normal 4 10 4 2 5" xfId="10506" xr:uid="{00000000-0005-0000-0000-000018550000}"/>
    <cellStyle name="Normal 4 10 4 2 5 2" xfId="30558" xr:uid="{00000000-0005-0000-0000-000019550000}"/>
    <cellStyle name="Normal 4 10 4 2 6" xfId="21528" xr:uid="{00000000-0005-0000-0000-00001A550000}"/>
    <cellStyle name="Normal 4 10 4 3" xfId="2223" xr:uid="{00000000-0005-0000-0000-00001B550000}"/>
    <cellStyle name="Normal 4 10 4 3 2" xfId="6705" xr:uid="{00000000-0005-0000-0000-00001C550000}"/>
    <cellStyle name="Normal 4 10 4 3 2 2" xfId="15735" xr:uid="{00000000-0005-0000-0000-00001D550000}"/>
    <cellStyle name="Normal 4 10 4 3 2 2 2" xfId="35787" xr:uid="{00000000-0005-0000-0000-00001E550000}"/>
    <cellStyle name="Normal 4 10 4 3 2 3" xfId="26757" xr:uid="{00000000-0005-0000-0000-00001F550000}"/>
    <cellStyle name="Normal 4 10 4 3 3" xfId="11253" xr:uid="{00000000-0005-0000-0000-000020550000}"/>
    <cellStyle name="Normal 4 10 4 3 3 2" xfId="31305" xr:uid="{00000000-0005-0000-0000-000021550000}"/>
    <cellStyle name="Normal 4 10 4 3 4" xfId="22275" xr:uid="{00000000-0005-0000-0000-000022550000}"/>
    <cellStyle name="Normal 4 10 4 4" xfId="3717" xr:uid="{00000000-0005-0000-0000-000023550000}"/>
    <cellStyle name="Normal 4 10 4 4 2" xfId="8199" xr:uid="{00000000-0005-0000-0000-000024550000}"/>
    <cellStyle name="Normal 4 10 4 4 2 2" xfId="17229" xr:uid="{00000000-0005-0000-0000-000025550000}"/>
    <cellStyle name="Normal 4 10 4 4 2 2 2" xfId="37281" xr:uid="{00000000-0005-0000-0000-000026550000}"/>
    <cellStyle name="Normal 4 10 4 4 2 3" xfId="28251" xr:uid="{00000000-0005-0000-0000-000027550000}"/>
    <cellStyle name="Normal 4 10 4 4 3" xfId="12747" xr:uid="{00000000-0005-0000-0000-000028550000}"/>
    <cellStyle name="Normal 4 10 4 4 3 2" xfId="32799" xr:uid="{00000000-0005-0000-0000-000029550000}"/>
    <cellStyle name="Normal 4 10 4 4 4" xfId="23769" xr:uid="{00000000-0005-0000-0000-00002A550000}"/>
    <cellStyle name="Normal 4 10 4 5" xfId="5211" xr:uid="{00000000-0005-0000-0000-00002B550000}"/>
    <cellStyle name="Normal 4 10 4 5 2" xfId="14241" xr:uid="{00000000-0005-0000-0000-00002C550000}"/>
    <cellStyle name="Normal 4 10 4 5 2 2" xfId="34293" xr:uid="{00000000-0005-0000-0000-00002D550000}"/>
    <cellStyle name="Normal 4 10 4 5 3" xfId="25263" xr:uid="{00000000-0005-0000-0000-00002E550000}"/>
    <cellStyle name="Normal 4 10 4 6" xfId="9759" xr:uid="{00000000-0005-0000-0000-00002F550000}"/>
    <cellStyle name="Normal 4 10 4 6 2" xfId="29811" xr:uid="{00000000-0005-0000-0000-000030550000}"/>
    <cellStyle name="Normal 4 10 4 7" xfId="20781" xr:uid="{00000000-0005-0000-0000-000031550000}"/>
    <cellStyle name="Normal 4 10 5" xfId="916" xr:uid="{00000000-0005-0000-0000-000032550000}"/>
    <cellStyle name="Normal 4 10 5 2" xfId="2410" xr:uid="{00000000-0005-0000-0000-000033550000}"/>
    <cellStyle name="Normal 4 10 5 2 2" xfId="6892" xr:uid="{00000000-0005-0000-0000-000034550000}"/>
    <cellStyle name="Normal 4 10 5 2 2 2" xfId="15922" xr:uid="{00000000-0005-0000-0000-000035550000}"/>
    <cellStyle name="Normal 4 10 5 2 2 2 2" xfId="35974" xr:uid="{00000000-0005-0000-0000-000036550000}"/>
    <cellStyle name="Normal 4 10 5 2 2 3" xfId="26944" xr:uid="{00000000-0005-0000-0000-000037550000}"/>
    <cellStyle name="Normal 4 10 5 2 3" xfId="11440" xr:uid="{00000000-0005-0000-0000-000038550000}"/>
    <cellStyle name="Normal 4 10 5 2 3 2" xfId="31492" xr:uid="{00000000-0005-0000-0000-000039550000}"/>
    <cellStyle name="Normal 4 10 5 2 4" xfId="22462" xr:uid="{00000000-0005-0000-0000-00003A550000}"/>
    <cellStyle name="Normal 4 10 5 3" xfId="3904" xr:uid="{00000000-0005-0000-0000-00003B550000}"/>
    <cellStyle name="Normal 4 10 5 3 2" xfId="8386" xr:uid="{00000000-0005-0000-0000-00003C550000}"/>
    <cellStyle name="Normal 4 10 5 3 2 2" xfId="17416" xr:uid="{00000000-0005-0000-0000-00003D550000}"/>
    <cellStyle name="Normal 4 10 5 3 2 2 2" xfId="37468" xr:uid="{00000000-0005-0000-0000-00003E550000}"/>
    <cellStyle name="Normal 4 10 5 3 2 3" xfId="28438" xr:uid="{00000000-0005-0000-0000-00003F550000}"/>
    <cellStyle name="Normal 4 10 5 3 3" xfId="12934" xr:uid="{00000000-0005-0000-0000-000040550000}"/>
    <cellStyle name="Normal 4 10 5 3 3 2" xfId="32986" xr:uid="{00000000-0005-0000-0000-000041550000}"/>
    <cellStyle name="Normal 4 10 5 3 4" xfId="23956" xr:uid="{00000000-0005-0000-0000-000042550000}"/>
    <cellStyle name="Normal 4 10 5 4" xfId="5398" xr:uid="{00000000-0005-0000-0000-000043550000}"/>
    <cellStyle name="Normal 4 10 5 4 2" xfId="14428" xr:uid="{00000000-0005-0000-0000-000044550000}"/>
    <cellStyle name="Normal 4 10 5 4 2 2" xfId="34480" xr:uid="{00000000-0005-0000-0000-000045550000}"/>
    <cellStyle name="Normal 4 10 5 4 3" xfId="25450" xr:uid="{00000000-0005-0000-0000-000046550000}"/>
    <cellStyle name="Normal 4 10 5 5" xfId="9946" xr:uid="{00000000-0005-0000-0000-000047550000}"/>
    <cellStyle name="Normal 4 10 5 5 2" xfId="29998" xr:uid="{00000000-0005-0000-0000-000048550000}"/>
    <cellStyle name="Normal 4 10 5 6" xfId="20968" xr:uid="{00000000-0005-0000-0000-000049550000}"/>
    <cellStyle name="Normal 4 10 6" xfId="1665" xr:uid="{00000000-0005-0000-0000-00004A550000}"/>
    <cellStyle name="Normal 4 10 6 2" xfId="6147" xr:uid="{00000000-0005-0000-0000-00004B550000}"/>
    <cellStyle name="Normal 4 10 6 2 2" xfId="15177" xr:uid="{00000000-0005-0000-0000-00004C550000}"/>
    <cellStyle name="Normal 4 10 6 2 2 2" xfId="35229" xr:uid="{00000000-0005-0000-0000-00004D550000}"/>
    <cellStyle name="Normal 4 10 6 2 3" xfId="26199" xr:uid="{00000000-0005-0000-0000-00004E550000}"/>
    <cellStyle name="Normal 4 10 6 3" xfId="10695" xr:uid="{00000000-0005-0000-0000-00004F550000}"/>
    <cellStyle name="Normal 4 10 6 3 2" xfId="30747" xr:uid="{00000000-0005-0000-0000-000050550000}"/>
    <cellStyle name="Normal 4 10 6 4" xfId="21717" xr:uid="{00000000-0005-0000-0000-000051550000}"/>
    <cellStyle name="Normal 4 10 7" xfId="3159" xr:uid="{00000000-0005-0000-0000-000052550000}"/>
    <cellStyle name="Normal 4 10 7 2" xfId="7641" xr:uid="{00000000-0005-0000-0000-000053550000}"/>
    <cellStyle name="Normal 4 10 7 2 2" xfId="16671" xr:uid="{00000000-0005-0000-0000-000054550000}"/>
    <cellStyle name="Normal 4 10 7 2 2 2" xfId="36723" xr:uid="{00000000-0005-0000-0000-000055550000}"/>
    <cellStyle name="Normal 4 10 7 2 3" xfId="27693" xr:uid="{00000000-0005-0000-0000-000056550000}"/>
    <cellStyle name="Normal 4 10 7 3" xfId="12189" xr:uid="{00000000-0005-0000-0000-000057550000}"/>
    <cellStyle name="Normal 4 10 7 3 2" xfId="32241" xr:uid="{00000000-0005-0000-0000-000058550000}"/>
    <cellStyle name="Normal 4 10 7 4" xfId="23211" xr:uid="{00000000-0005-0000-0000-000059550000}"/>
    <cellStyle name="Normal 4 10 8" xfId="4653" xr:uid="{00000000-0005-0000-0000-00005A550000}"/>
    <cellStyle name="Normal 4 10 8 2" xfId="13683" xr:uid="{00000000-0005-0000-0000-00005B550000}"/>
    <cellStyle name="Normal 4 10 8 2 2" xfId="33735" xr:uid="{00000000-0005-0000-0000-00005C550000}"/>
    <cellStyle name="Normal 4 10 8 3" xfId="24705" xr:uid="{00000000-0005-0000-0000-00005D550000}"/>
    <cellStyle name="Normal 4 10 9" xfId="9201" xr:uid="{00000000-0005-0000-0000-00005E550000}"/>
    <cellStyle name="Normal 4 10 9 2" xfId="29253" xr:uid="{00000000-0005-0000-0000-00005F550000}"/>
    <cellStyle name="Normal 4 11" xfId="194" xr:uid="{00000000-0005-0000-0000-000060550000}"/>
    <cellStyle name="Normal 4 11 2" xfId="939" xr:uid="{00000000-0005-0000-0000-000061550000}"/>
    <cellStyle name="Normal 4 11 2 2" xfId="2433" xr:uid="{00000000-0005-0000-0000-000062550000}"/>
    <cellStyle name="Normal 4 11 2 2 2" xfId="6915" xr:uid="{00000000-0005-0000-0000-000063550000}"/>
    <cellStyle name="Normal 4 11 2 2 2 2" xfId="15945" xr:uid="{00000000-0005-0000-0000-000064550000}"/>
    <cellStyle name="Normal 4 11 2 2 2 2 2" xfId="35997" xr:uid="{00000000-0005-0000-0000-000065550000}"/>
    <cellStyle name="Normal 4 11 2 2 2 3" xfId="26967" xr:uid="{00000000-0005-0000-0000-000066550000}"/>
    <cellStyle name="Normal 4 11 2 2 3" xfId="11463" xr:uid="{00000000-0005-0000-0000-000067550000}"/>
    <cellStyle name="Normal 4 11 2 2 3 2" xfId="31515" xr:uid="{00000000-0005-0000-0000-000068550000}"/>
    <cellStyle name="Normal 4 11 2 2 4" xfId="22485" xr:uid="{00000000-0005-0000-0000-000069550000}"/>
    <cellStyle name="Normal 4 11 2 3" xfId="3927" xr:uid="{00000000-0005-0000-0000-00006A550000}"/>
    <cellStyle name="Normal 4 11 2 3 2" xfId="8409" xr:uid="{00000000-0005-0000-0000-00006B550000}"/>
    <cellStyle name="Normal 4 11 2 3 2 2" xfId="17439" xr:uid="{00000000-0005-0000-0000-00006C550000}"/>
    <cellStyle name="Normal 4 11 2 3 2 2 2" xfId="37491" xr:uid="{00000000-0005-0000-0000-00006D550000}"/>
    <cellStyle name="Normal 4 11 2 3 2 3" xfId="28461" xr:uid="{00000000-0005-0000-0000-00006E550000}"/>
    <cellStyle name="Normal 4 11 2 3 3" xfId="12957" xr:uid="{00000000-0005-0000-0000-00006F550000}"/>
    <cellStyle name="Normal 4 11 2 3 3 2" xfId="33009" xr:uid="{00000000-0005-0000-0000-000070550000}"/>
    <cellStyle name="Normal 4 11 2 3 4" xfId="23979" xr:uid="{00000000-0005-0000-0000-000071550000}"/>
    <cellStyle name="Normal 4 11 2 4" xfId="5421" xr:uid="{00000000-0005-0000-0000-000072550000}"/>
    <cellStyle name="Normal 4 11 2 4 2" xfId="14451" xr:uid="{00000000-0005-0000-0000-000073550000}"/>
    <cellStyle name="Normal 4 11 2 4 2 2" xfId="34503" xr:uid="{00000000-0005-0000-0000-000074550000}"/>
    <cellStyle name="Normal 4 11 2 4 3" xfId="25473" xr:uid="{00000000-0005-0000-0000-000075550000}"/>
    <cellStyle name="Normal 4 11 2 5" xfId="9969" xr:uid="{00000000-0005-0000-0000-000076550000}"/>
    <cellStyle name="Normal 4 11 2 5 2" xfId="30021" xr:uid="{00000000-0005-0000-0000-000077550000}"/>
    <cellStyle name="Normal 4 11 2 6" xfId="20991" xr:uid="{00000000-0005-0000-0000-000078550000}"/>
    <cellStyle name="Normal 4 11 3" xfId="1688" xr:uid="{00000000-0005-0000-0000-000079550000}"/>
    <cellStyle name="Normal 4 11 3 2" xfId="6170" xr:uid="{00000000-0005-0000-0000-00007A550000}"/>
    <cellStyle name="Normal 4 11 3 2 2" xfId="15200" xr:uid="{00000000-0005-0000-0000-00007B550000}"/>
    <cellStyle name="Normal 4 11 3 2 2 2" xfId="35252" xr:uid="{00000000-0005-0000-0000-00007C550000}"/>
    <cellStyle name="Normal 4 11 3 2 3" xfId="26222" xr:uid="{00000000-0005-0000-0000-00007D550000}"/>
    <cellStyle name="Normal 4 11 3 3" xfId="10718" xr:uid="{00000000-0005-0000-0000-00007E550000}"/>
    <cellStyle name="Normal 4 11 3 3 2" xfId="30770" xr:uid="{00000000-0005-0000-0000-00007F550000}"/>
    <cellStyle name="Normal 4 11 3 4" xfId="21740" xr:uid="{00000000-0005-0000-0000-000080550000}"/>
    <cellStyle name="Normal 4 11 4" xfId="3182" xr:uid="{00000000-0005-0000-0000-000081550000}"/>
    <cellStyle name="Normal 4 11 4 2" xfId="7664" xr:uid="{00000000-0005-0000-0000-000082550000}"/>
    <cellStyle name="Normal 4 11 4 2 2" xfId="16694" xr:uid="{00000000-0005-0000-0000-000083550000}"/>
    <cellStyle name="Normal 4 11 4 2 2 2" xfId="36746" xr:uid="{00000000-0005-0000-0000-000084550000}"/>
    <cellStyle name="Normal 4 11 4 2 3" xfId="27716" xr:uid="{00000000-0005-0000-0000-000085550000}"/>
    <cellStyle name="Normal 4 11 4 3" xfId="12212" xr:uid="{00000000-0005-0000-0000-000086550000}"/>
    <cellStyle name="Normal 4 11 4 3 2" xfId="32264" xr:uid="{00000000-0005-0000-0000-000087550000}"/>
    <cellStyle name="Normal 4 11 4 4" xfId="23234" xr:uid="{00000000-0005-0000-0000-000088550000}"/>
    <cellStyle name="Normal 4 11 5" xfId="4676" xr:uid="{00000000-0005-0000-0000-000089550000}"/>
    <cellStyle name="Normal 4 11 5 2" xfId="13706" xr:uid="{00000000-0005-0000-0000-00008A550000}"/>
    <cellStyle name="Normal 4 11 5 2 2" xfId="33758" xr:uid="{00000000-0005-0000-0000-00008B550000}"/>
    <cellStyle name="Normal 4 11 5 3" xfId="24728" xr:uid="{00000000-0005-0000-0000-00008C550000}"/>
    <cellStyle name="Normal 4 11 6" xfId="9224" xr:uid="{00000000-0005-0000-0000-00008D550000}"/>
    <cellStyle name="Normal 4 11 6 2" xfId="29276" xr:uid="{00000000-0005-0000-0000-00008E550000}"/>
    <cellStyle name="Normal 4 11 7" xfId="20246" xr:uid="{00000000-0005-0000-0000-00008F550000}"/>
    <cellStyle name="Normal 4 12" xfId="380" xr:uid="{00000000-0005-0000-0000-000090550000}"/>
    <cellStyle name="Normal 4 12 2" xfId="1127" xr:uid="{00000000-0005-0000-0000-000091550000}"/>
    <cellStyle name="Normal 4 12 2 2" xfId="2621" xr:uid="{00000000-0005-0000-0000-000092550000}"/>
    <cellStyle name="Normal 4 12 2 2 2" xfId="7103" xr:uid="{00000000-0005-0000-0000-000093550000}"/>
    <cellStyle name="Normal 4 12 2 2 2 2" xfId="16133" xr:uid="{00000000-0005-0000-0000-000094550000}"/>
    <cellStyle name="Normal 4 12 2 2 2 2 2" xfId="36185" xr:uid="{00000000-0005-0000-0000-000095550000}"/>
    <cellStyle name="Normal 4 12 2 2 2 3" xfId="27155" xr:uid="{00000000-0005-0000-0000-000096550000}"/>
    <cellStyle name="Normal 4 12 2 2 3" xfId="11651" xr:uid="{00000000-0005-0000-0000-000097550000}"/>
    <cellStyle name="Normal 4 12 2 2 3 2" xfId="31703" xr:uid="{00000000-0005-0000-0000-000098550000}"/>
    <cellStyle name="Normal 4 12 2 2 4" xfId="22673" xr:uid="{00000000-0005-0000-0000-000099550000}"/>
    <cellStyle name="Normal 4 12 2 3" xfId="4115" xr:uid="{00000000-0005-0000-0000-00009A550000}"/>
    <cellStyle name="Normal 4 12 2 3 2" xfId="8597" xr:uid="{00000000-0005-0000-0000-00009B550000}"/>
    <cellStyle name="Normal 4 12 2 3 2 2" xfId="17627" xr:uid="{00000000-0005-0000-0000-00009C550000}"/>
    <cellStyle name="Normal 4 12 2 3 2 2 2" xfId="37679" xr:uid="{00000000-0005-0000-0000-00009D550000}"/>
    <cellStyle name="Normal 4 12 2 3 2 3" xfId="28649" xr:uid="{00000000-0005-0000-0000-00009E550000}"/>
    <cellStyle name="Normal 4 12 2 3 3" xfId="13145" xr:uid="{00000000-0005-0000-0000-00009F550000}"/>
    <cellStyle name="Normal 4 12 2 3 3 2" xfId="33197" xr:uid="{00000000-0005-0000-0000-0000A0550000}"/>
    <cellStyle name="Normal 4 12 2 3 4" xfId="24167" xr:uid="{00000000-0005-0000-0000-0000A1550000}"/>
    <cellStyle name="Normal 4 12 2 4" xfId="5609" xr:uid="{00000000-0005-0000-0000-0000A2550000}"/>
    <cellStyle name="Normal 4 12 2 4 2" xfId="14639" xr:uid="{00000000-0005-0000-0000-0000A3550000}"/>
    <cellStyle name="Normal 4 12 2 4 2 2" xfId="34691" xr:uid="{00000000-0005-0000-0000-0000A4550000}"/>
    <cellStyle name="Normal 4 12 2 4 3" xfId="25661" xr:uid="{00000000-0005-0000-0000-0000A5550000}"/>
    <cellStyle name="Normal 4 12 2 5" xfId="10157" xr:uid="{00000000-0005-0000-0000-0000A6550000}"/>
    <cellStyle name="Normal 4 12 2 5 2" xfId="30209" xr:uid="{00000000-0005-0000-0000-0000A7550000}"/>
    <cellStyle name="Normal 4 12 2 6" xfId="21179" xr:uid="{00000000-0005-0000-0000-0000A8550000}"/>
    <cellStyle name="Normal 4 12 3" xfId="1874" xr:uid="{00000000-0005-0000-0000-0000A9550000}"/>
    <cellStyle name="Normal 4 12 3 2" xfId="6356" xr:uid="{00000000-0005-0000-0000-0000AA550000}"/>
    <cellStyle name="Normal 4 12 3 2 2" xfId="15386" xr:uid="{00000000-0005-0000-0000-0000AB550000}"/>
    <cellStyle name="Normal 4 12 3 2 2 2" xfId="35438" xr:uid="{00000000-0005-0000-0000-0000AC550000}"/>
    <cellStyle name="Normal 4 12 3 2 3" xfId="26408" xr:uid="{00000000-0005-0000-0000-0000AD550000}"/>
    <cellStyle name="Normal 4 12 3 3" xfId="10904" xr:uid="{00000000-0005-0000-0000-0000AE550000}"/>
    <cellStyle name="Normal 4 12 3 3 2" xfId="30956" xr:uid="{00000000-0005-0000-0000-0000AF550000}"/>
    <cellStyle name="Normal 4 12 3 4" xfId="21926" xr:uid="{00000000-0005-0000-0000-0000B0550000}"/>
    <cellStyle name="Normal 4 12 4" xfId="3368" xr:uid="{00000000-0005-0000-0000-0000B1550000}"/>
    <cellStyle name="Normal 4 12 4 2" xfId="7850" xr:uid="{00000000-0005-0000-0000-0000B2550000}"/>
    <cellStyle name="Normal 4 12 4 2 2" xfId="16880" xr:uid="{00000000-0005-0000-0000-0000B3550000}"/>
    <cellStyle name="Normal 4 12 4 2 2 2" xfId="36932" xr:uid="{00000000-0005-0000-0000-0000B4550000}"/>
    <cellStyle name="Normal 4 12 4 2 3" xfId="27902" xr:uid="{00000000-0005-0000-0000-0000B5550000}"/>
    <cellStyle name="Normal 4 12 4 3" xfId="12398" xr:uid="{00000000-0005-0000-0000-0000B6550000}"/>
    <cellStyle name="Normal 4 12 4 3 2" xfId="32450" xr:uid="{00000000-0005-0000-0000-0000B7550000}"/>
    <cellStyle name="Normal 4 12 4 4" xfId="23420" xr:uid="{00000000-0005-0000-0000-0000B8550000}"/>
    <cellStyle name="Normal 4 12 5" xfId="4862" xr:uid="{00000000-0005-0000-0000-0000B9550000}"/>
    <cellStyle name="Normal 4 12 5 2" xfId="13892" xr:uid="{00000000-0005-0000-0000-0000BA550000}"/>
    <cellStyle name="Normal 4 12 5 2 2" xfId="33944" xr:uid="{00000000-0005-0000-0000-0000BB550000}"/>
    <cellStyle name="Normal 4 12 5 3" xfId="24914" xr:uid="{00000000-0005-0000-0000-0000BC550000}"/>
    <cellStyle name="Normal 4 12 6" xfId="9410" xr:uid="{00000000-0005-0000-0000-0000BD550000}"/>
    <cellStyle name="Normal 4 12 6 2" xfId="29462" xr:uid="{00000000-0005-0000-0000-0000BE550000}"/>
    <cellStyle name="Normal 4 12 7" xfId="20432" xr:uid="{00000000-0005-0000-0000-0000BF550000}"/>
    <cellStyle name="Normal 4 13" xfId="566" xr:uid="{00000000-0005-0000-0000-0000C0550000}"/>
    <cellStyle name="Normal 4 13 2" xfId="1313" xr:uid="{00000000-0005-0000-0000-0000C1550000}"/>
    <cellStyle name="Normal 4 13 2 2" xfId="2807" xr:uid="{00000000-0005-0000-0000-0000C2550000}"/>
    <cellStyle name="Normal 4 13 2 2 2" xfId="7289" xr:uid="{00000000-0005-0000-0000-0000C3550000}"/>
    <cellStyle name="Normal 4 13 2 2 2 2" xfId="16319" xr:uid="{00000000-0005-0000-0000-0000C4550000}"/>
    <cellStyle name="Normal 4 13 2 2 2 2 2" xfId="36371" xr:uid="{00000000-0005-0000-0000-0000C5550000}"/>
    <cellStyle name="Normal 4 13 2 2 2 3" xfId="27341" xr:uid="{00000000-0005-0000-0000-0000C6550000}"/>
    <cellStyle name="Normal 4 13 2 2 3" xfId="11837" xr:uid="{00000000-0005-0000-0000-0000C7550000}"/>
    <cellStyle name="Normal 4 13 2 2 3 2" xfId="31889" xr:uid="{00000000-0005-0000-0000-0000C8550000}"/>
    <cellStyle name="Normal 4 13 2 2 4" xfId="22859" xr:uid="{00000000-0005-0000-0000-0000C9550000}"/>
    <cellStyle name="Normal 4 13 2 3" xfId="4301" xr:uid="{00000000-0005-0000-0000-0000CA550000}"/>
    <cellStyle name="Normal 4 13 2 3 2" xfId="8783" xr:uid="{00000000-0005-0000-0000-0000CB550000}"/>
    <cellStyle name="Normal 4 13 2 3 2 2" xfId="17813" xr:uid="{00000000-0005-0000-0000-0000CC550000}"/>
    <cellStyle name="Normal 4 13 2 3 2 2 2" xfId="37865" xr:uid="{00000000-0005-0000-0000-0000CD550000}"/>
    <cellStyle name="Normal 4 13 2 3 2 3" xfId="28835" xr:uid="{00000000-0005-0000-0000-0000CE550000}"/>
    <cellStyle name="Normal 4 13 2 3 3" xfId="13331" xr:uid="{00000000-0005-0000-0000-0000CF550000}"/>
    <cellStyle name="Normal 4 13 2 3 3 2" xfId="33383" xr:uid="{00000000-0005-0000-0000-0000D0550000}"/>
    <cellStyle name="Normal 4 13 2 3 4" xfId="24353" xr:uid="{00000000-0005-0000-0000-0000D1550000}"/>
    <cellStyle name="Normal 4 13 2 4" xfId="5795" xr:uid="{00000000-0005-0000-0000-0000D2550000}"/>
    <cellStyle name="Normal 4 13 2 4 2" xfId="14825" xr:uid="{00000000-0005-0000-0000-0000D3550000}"/>
    <cellStyle name="Normal 4 13 2 4 2 2" xfId="34877" xr:uid="{00000000-0005-0000-0000-0000D4550000}"/>
    <cellStyle name="Normal 4 13 2 4 3" xfId="25847" xr:uid="{00000000-0005-0000-0000-0000D5550000}"/>
    <cellStyle name="Normal 4 13 2 5" xfId="10343" xr:uid="{00000000-0005-0000-0000-0000D6550000}"/>
    <cellStyle name="Normal 4 13 2 5 2" xfId="30395" xr:uid="{00000000-0005-0000-0000-0000D7550000}"/>
    <cellStyle name="Normal 4 13 2 6" xfId="21365" xr:uid="{00000000-0005-0000-0000-0000D8550000}"/>
    <cellStyle name="Normal 4 13 3" xfId="2060" xr:uid="{00000000-0005-0000-0000-0000D9550000}"/>
    <cellStyle name="Normal 4 13 3 2" xfId="6542" xr:uid="{00000000-0005-0000-0000-0000DA550000}"/>
    <cellStyle name="Normal 4 13 3 2 2" xfId="15572" xr:uid="{00000000-0005-0000-0000-0000DB550000}"/>
    <cellStyle name="Normal 4 13 3 2 2 2" xfId="35624" xr:uid="{00000000-0005-0000-0000-0000DC550000}"/>
    <cellStyle name="Normal 4 13 3 2 3" xfId="26594" xr:uid="{00000000-0005-0000-0000-0000DD550000}"/>
    <cellStyle name="Normal 4 13 3 3" xfId="11090" xr:uid="{00000000-0005-0000-0000-0000DE550000}"/>
    <cellStyle name="Normal 4 13 3 3 2" xfId="31142" xr:uid="{00000000-0005-0000-0000-0000DF550000}"/>
    <cellStyle name="Normal 4 13 3 4" xfId="22112" xr:uid="{00000000-0005-0000-0000-0000E0550000}"/>
    <cellStyle name="Normal 4 13 4" xfId="3554" xr:uid="{00000000-0005-0000-0000-0000E1550000}"/>
    <cellStyle name="Normal 4 13 4 2" xfId="8036" xr:uid="{00000000-0005-0000-0000-0000E2550000}"/>
    <cellStyle name="Normal 4 13 4 2 2" xfId="17066" xr:uid="{00000000-0005-0000-0000-0000E3550000}"/>
    <cellStyle name="Normal 4 13 4 2 2 2" xfId="37118" xr:uid="{00000000-0005-0000-0000-0000E4550000}"/>
    <cellStyle name="Normal 4 13 4 2 3" xfId="28088" xr:uid="{00000000-0005-0000-0000-0000E5550000}"/>
    <cellStyle name="Normal 4 13 4 3" xfId="12584" xr:uid="{00000000-0005-0000-0000-0000E6550000}"/>
    <cellStyle name="Normal 4 13 4 3 2" xfId="32636" xr:uid="{00000000-0005-0000-0000-0000E7550000}"/>
    <cellStyle name="Normal 4 13 4 4" xfId="23606" xr:uid="{00000000-0005-0000-0000-0000E8550000}"/>
    <cellStyle name="Normal 4 13 5" xfId="5048" xr:uid="{00000000-0005-0000-0000-0000E9550000}"/>
    <cellStyle name="Normal 4 13 5 2" xfId="14078" xr:uid="{00000000-0005-0000-0000-0000EA550000}"/>
    <cellStyle name="Normal 4 13 5 2 2" xfId="34130" xr:uid="{00000000-0005-0000-0000-0000EB550000}"/>
    <cellStyle name="Normal 4 13 5 3" xfId="25100" xr:uid="{00000000-0005-0000-0000-0000EC550000}"/>
    <cellStyle name="Normal 4 13 6" xfId="9596" xr:uid="{00000000-0005-0000-0000-0000ED550000}"/>
    <cellStyle name="Normal 4 13 6 2" xfId="29648" xr:uid="{00000000-0005-0000-0000-0000EE550000}"/>
    <cellStyle name="Normal 4 13 7" xfId="20618" xr:uid="{00000000-0005-0000-0000-0000EF550000}"/>
    <cellStyle name="Normal 4 14" xfId="753" xr:uid="{00000000-0005-0000-0000-0000F0550000}"/>
    <cellStyle name="Normal 4 14 2" xfId="2247" xr:uid="{00000000-0005-0000-0000-0000F1550000}"/>
    <cellStyle name="Normal 4 14 2 2" xfId="6729" xr:uid="{00000000-0005-0000-0000-0000F2550000}"/>
    <cellStyle name="Normal 4 14 2 2 2" xfId="15759" xr:uid="{00000000-0005-0000-0000-0000F3550000}"/>
    <cellStyle name="Normal 4 14 2 2 2 2" xfId="35811" xr:uid="{00000000-0005-0000-0000-0000F4550000}"/>
    <cellStyle name="Normal 4 14 2 2 3" xfId="26781" xr:uid="{00000000-0005-0000-0000-0000F5550000}"/>
    <cellStyle name="Normal 4 14 2 3" xfId="11277" xr:uid="{00000000-0005-0000-0000-0000F6550000}"/>
    <cellStyle name="Normal 4 14 2 3 2" xfId="31329" xr:uid="{00000000-0005-0000-0000-0000F7550000}"/>
    <cellStyle name="Normal 4 14 2 4" xfId="22299" xr:uid="{00000000-0005-0000-0000-0000F8550000}"/>
    <cellStyle name="Normal 4 14 3" xfId="3741" xr:uid="{00000000-0005-0000-0000-0000F9550000}"/>
    <cellStyle name="Normal 4 14 3 2" xfId="8223" xr:uid="{00000000-0005-0000-0000-0000FA550000}"/>
    <cellStyle name="Normal 4 14 3 2 2" xfId="17253" xr:uid="{00000000-0005-0000-0000-0000FB550000}"/>
    <cellStyle name="Normal 4 14 3 2 2 2" xfId="37305" xr:uid="{00000000-0005-0000-0000-0000FC550000}"/>
    <cellStyle name="Normal 4 14 3 2 3" xfId="28275" xr:uid="{00000000-0005-0000-0000-0000FD550000}"/>
    <cellStyle name="Normal 4 14 3 3" xfId="12771" xr:uid="{00000000-0005-0000-0000-0000FE550000}"/>
    <cellStyle name="Normal 4 14 3 3 2" xfId="32823" xr:uid="{00000000-0005-0000-0000-0000FF550000}"/>
    <cellStyle name="Normal 4 14 3 4" xfId="23793" xr:uid="{00000000-0005-0000-0000-000000560000}"/>
    <cellStyle name="Normal 4 14 4" xfId="5235" xr:uid="{00000000-0005-0000-0000-000001560000}"/>
    <cellStyle name="Normal 4 14 4 2" xfId="14265" xr:uid="{00000000-0005-0000-0000-000002560000}"/>
    <cellStyle name="Normal 4 14 4 2 2" xfId="34317" xr:uid="{00000000-0005-0000-0000-000003560000}"/>
    <cellStyle name="Normal 4 14 4 3" xfId="25287" xr:uid="{00000000-0005-0000-0000-000004560000}"/>
    <cellStyle name="Normal 4 14 5" xfId="9783" xr:uid="{00000000-0005-0000-0000-000005560000}"/>
    <cellStyle name="Normal 4 14 5 2" xfId="29835" xr:uid="{00000000-0005-0000-0000-000006560000}"/>
    <cellStyle name="Normal 4 14 6" xfId="20805" xr:uid="{00000000-0005-0000-0000-000007560000}"/>
    <cellStyle name="Normal 4 15" xfId="1502" xr:uid="{00000000-0005-0000-0000-000008560000}"/>
    <cellStyle name="Normal 4 15 2" xfId="5984" xr:uid="{00000000-0005-0000-0000-000009560000}"/>
    <cellStyle name="Normal 4 15 2 2" xfId="15014" xr:uid="{00000000-0005-0000-0000-00000A560000}"/>
    <cellStyle name="Normal 4 15 2 2 2" xfId="35066" xr:uid="{00000000-0005-0000-0000-00000B560000}"/>
    <cellStyle name="Normal 4 15 2 3" xfId="26036" xr:uid="{00000000-0005-0000-0000-00000C560000}"/>
    <cellStyle name="Normal 4 15 3" xfId="10532" xr:uid="{00000000-0005-0000-0000-00000D560000}"/>
    <cellStyle name="Normal 4 15 3 2" xfId="30584" xr:uid="{00000000-0005-0000-0000-00000E560000}"/>
    <cellStyle name="Normal 4 15 4" xfId="21554" xr:uid="{00000000-0005-0000-0000-00000F560000}"/>
    <cellStyle name="Normal 4 16" xfId="2996" xr:uid="{00000000-0005-0000-0000-000010560000}"/>
    <cellStyle name="Normal 4 16 2" xfId="7478" xr:uid="{00000000-0005-0000-0000-000011560000}"/>
    <cellStyle name="Normal 4 16 2 2" xfId="16508" xr:uid="{00000000-0005-0000-0000-000012560000}"/>
    <cellStyle name="Normal 4 16 2 2 2" xfId="36560" xr:uid="{00000000-0005-0000-0000-000013560000}"/>
    <cellStyle name="Normal 4 16 2 3" xfId="27530" xr:uid="{00000000-0005-0000-0000-000014560000}"/>
    <cellStyle name="Normal 4 16 3" xfId="12026" xr:uid="{00000000-0005-0000-0000-000015560000}"/>
    <cellStyle name="Normal 4 16 3 2" xfId="32078" xr:uid="{00000000-0005-0000-0000-000016560000}"/>
    <cellStyle name="Normal 4 16 4" xfId="23048" xr:uid="{00000000-0005-0000-0000-000017560000}"/>
    <cellStyle name="Normal 4 17" xfId="4490" xr:uid="{00000000-0005-0000-0000-000018560000}"/>
    <cellStyle name="Normal 4 17 2" xfId="13520" xr:uid="{00000000-0005-0000-0000-000019560000}"/>
    <cellStyle name="Normal 4 17 2 2" xfId="33572" xr:uid="{00000000-0005-0000-0000-00001A560000}"/>
    <cellStyle name="Normal 4 17 3" xfId="24542" xr:uid="{00000000-0005-0000-0000-00001B560000}"/>
    <cellStyle name="Normal 4 18" xfId="9038" xr:uid="{00000000-0005-0000-0000-00001C560000}"/>
    <cellStyle name="Normal 4 18 2" xfId="29090" xr:uid="{00000000-0005-0000-0000-00001D560000}"/>
    <cellStyle name="Normal 4 19" xfId="20063" xr:uid="{00000000-0005-0000-0000-00001E560000}"/>
    <cellStyle name="Normal 4 2" xfId="14" xr:uid="{00000000-0005-0000-0000-00001F560000}"/>
    <cellStyle name="Normal 4 2 10" xfId="199" xr:uid="{00000000-0005-0000-0000-000020560000}"/>
    <cellStyle name="Normal 4 2 10 2" xfId="944" xr:uid="{00000000-0005-0000-0000-000021560000}"/>
    <cellStyle name="Normal 4 2 10 2 2" xfId="2438" xr:uid="{00000000-0005-0000-0000-000022560000}"/>
    <cellStyle name="Normal 4 2 10 2 2 2" xfId="6920" xr:uid="{00000000-0005-0000-0000-000023560000}"/>
    <cellStyle name="Normal 4 2 10 2 2 2 2" xfId="15950" xr:uid="{00000000-0005-0000-0000-000024560000}"/>
    <cellStyle name="Normal 4 2 10 2 2 2 2 2" xfId="36002" xr:uid="{00000000-0005-0000-0000-000025560000}"/>
    <cellStyle name="Normal 4 2 10 2 2 2 3" xfId="26972" xr:uid="{00000000-0005-0000-0000-000026560000}"/>
    <cellStyle name="Normal 4 2 10 2 2 3" xfId="11468" xr:uid="{00000000-0005-0000-0000-000027560000}"/>
    <cellStyle name="Normal 4 2 10 2 2 3 2" xfId="31520" xr:uid="{00000000-0005-0000-0000-000028560000}"/>
    <cellStyle name="Normal 4 2 10 2 2 4" xfId="22490" xr:uid="{00000000-0005-0000-0000-000029560000}"/>
    <cellStyle name="Normal 4 2 10 2 3" xfId="3932" xr:uid="{00000000-0005-0000-0000-00002A560000}"/>
    <cellStyle name="Normal 4 2 10 2 3 2" xfId="8414" xr:uid="{00000000-0005-0000-0000-00002B560000}"/>
    <cellStyle name="Normal 4 2 10 2 3 2 2" xfId="17444" xr:uid="{00000000-0005-0000-0000-00002C560000}"/>
    <cellStyle name="Normal 4 2 10 2 3 2 2 2" xfId="37496" xr:uid="{00000000-0005-0000-0000-00002D560000}"/>
    <cellStyle name="Normal 4 2 10 2 3 2 3" xfId="28466" xr:uid="{00000000-0005-0000-0000-00002E560000}"/>
    <cellStyle name="Normal 4 2 10 2 3 3" xfId="12962" xr:uid="{00000000-0005-0000-0000-00002F560000}"/>
    <cellStyle name="Normal 4 2 10 2 3 3 2" xfId="33014" xr:uid="{00000000-0005-0000-0000-000030560000}"/>
    <cellStyle name="Normal 4 2 10 2 3 4" xfId="23984" xr:uid="{00000000-0005-0000-0000-000031560000}"/>
    <cellStyle name="Normal 4 2 10 2 4" xfId="5426" xr:uid="{00000000-0005-0000-0000-000032560000}"/>
    <cellStyle name="Normal 4 2 10 2 4 2" xfId="14456" xr:uid="{00000000-0005-0000-0000-000033560000}"/>
    <cellStyle name="Normal 4 2 10 2 4 2 2" xfId="34508" xr:uid="{00000000-0005-0000-0000-000034560000}"/>
    <cellStyle name="Normal 4 2 10 2 4 3" xfId="25478" xr:uid="{00000000-0005-0000-0000-000035560000}"/>
    <cellStyle name="Normal 4 2 10 2 5" xfId="9974" xr:uid="{00000000-0005-0000-0000-000036560000}"/>
    <cellStyle name="Normal 4 2 10 2 5 2" xfId="30026" xr:uid="{00000000-0005-0000-0000-000037560000}"/>
    <cellStyle name="Normal 4 2 10 2 6" xfId="20996" xr:uid="{00000000-0005-0000-0000-000038560000}"/>
    <cellStyle name="Normal 4 2 10 3" xfId="1693" xr:uid="{00000000-0005-0000-0000-000039560000}"/>
    <cellStyle name="Normal 4 2 10 3 2" xfId="6175" xr:uid="{00000000-0005-0000-0000-00003A560000}"/>
    <cellStyle name="Normal 4 2 10 3 2 2" xfId="15205" xr:uid="{00000000-0005-0000-0000-00003B560000}"/>
    <cellStyle name="Normal 4 2 10 3 2 2 2" xfId="35257" xr:uid="{00000000-0005-0000-0000-00003C560000}"/>
    <cellStyle name="Normal 4 2 10 3 2 3" xfId="26227" xr:uid="{00000000-0005-0000-0000-00003D560000}"/>
    <cellStyle name="Normal 4 2 10 3 3" xfId="10723" xr:uid="{00000000-0005-0000-0000-00003E560000}"/>
    <cellStyle name="Normal 4 2 10 3 3 2" xfId="30775" xr:uid="{00000000-0005-0000-0000-00003F560000}"/>
    <cellStyle name="Normal 4 2 10 3 4" xfId="21745" xr:uid="{00000000-0005-0000-0000-000040560000}"/>
    <cellStyle name="Normal 4 2 10 4" xfId="3187" xr:uid="{00000000-0005-0000-0000-000041560000}"/>
    <cellStyle name="Normal 4 2 10 4 2" xfId="7669" xr:uid="{00000000-0005-0000-0000-000042560000}"/>
    <cellStyle name="Normal 4 2 10 4 2 2" xfId="16699" xr:uid="{00000000-0005-0000-0000-000043560000}"/>
    <cellStyle name="Normal 4 2 10 4 2 2 2" xfId="36751" xr:uid="{00000000-0005-0000-0000-000044560000}"/>
    <cellStyle name="Normal 4 2 10 4 2 3" xfId="27721" xr:uid="{00000000-0005-0000-0000-000045560000}"/>
    <cellStyle name="Normal 4 2 10 4 3" xfId="12217" xr:uid="{00000000-0005-0000-0000-000046560000}"/>
    <cellStyle name="Normal 4 2 10 4 3 2" xfId="32269" xr:uid="{00000000-0005-0000-0000-000047560000}"/>
    <cellStyle name="Normal 4 2 10 4 4" xfId="23239" xr:uid="{00000000-0005-0000-0000-000048560000}"/>
    <cellStyle name="Normal 4 2 10 5" xfId="4681" xr:uid="{00000000-0005-0000-0000-000049560000}"/>
    <cellStyle name="Normal 4 2 10 5 2" xfId="13711" xr:uid="{00000000-0005-0000-0000-00004A560000}"/>
    <cellStyle name="Normal 4 2 10 5 2 2" xfId="33763" xr:uid="{00000000-0005-0000-0000-00004B560000}"/>
    <cellStyle name="Normal 4 2 10 5 3" xfId="24733" xr:uid="{00000000-0005-0000-0000-00004C560000}"/>
    <cellStyle name="Normal 4 2 10 6" xfId="9229" xr:uid="{00000000-0005-0000-0000-00004D560000}"/>
    <cellStyle name="Normal 4 2 10 6 2" xfId="29281" xr:uid="{00000000-0005-0000-0000-00004E560000}"/>
    <cellStyle name="Normal 4 2 10 7" xfId="20251" xr:uid="{00000000-0005-0000-0000-00004F560000}"/>
    <cellStyle name="Normal 4 2 11" xfId="385" xr:uid="{00000000-0005-0000-0000-000050560000}"/>
    <cellStyle name="Normal 4 2 11 2" xfId="1132" xr:uid="{00000000-0005-0000-0000-000051560000}"/>
    <cellStyle name="Normal 4 2 11 2 2" xfId="2626" xr:uid="{00000000-0005-0000-0000-000052560000}"/>
    <cellStyle name="Normal 4 2 11 2 2 2" xfId="7108" xr:uid="{00000000-0005-0000-0000-000053560000}"/>
    <cellStyle name="Normal 4 2 11 2 2 2 2" xfId="16138" xr:uid="{00000000-0005-0000-0000-000054560000}"/>
    <cellStyle name="Normal 4 2 11 2 2 2 2 2" xfId="36190" xr:uid="{00000000-0005-0000-0000-000055560000}"/>
    <cellStyle name="Normal 4 2 11 2 2 2 3" xfId="27160" xr:uid="{00000000-0005-0000-0000-000056560000}"/>
    <cellStyle name="Normal 4 2 11 2 2 3" xfId="11656" xr:uid="{00000000-0005-0000-0000-000057560000}"/>
    <cellStyle name="Normal 4 2 11 2 2 3 2" xfId="31708" xr:uid="{00000000-0005-0000-0000-000058560000}"/>
    <cellStyle name="Normal 4 2 11 2 2 4" xfId="22678" xr:uid="{00000000-0005-0000-0000-000059560000}"/>
    <cellStyle name="Normal 4 2 11 2 3" xfId="4120" xr:uid="{00000000-0005-0000-0000-00005A560000}"/>
    <cellStyle name="Normal 4 2 11 2 3 2" xfId="8602" xr:uid="{00000000-0005-0000-0000-00005B560000}"/>
    <cellStyle name="Normal 4 2 11 2 3 2 2" xfId="17632" xr:uid="{00000000-0005-0000-0000-00005C560000}"/>
    <cellStyle name="Normal 4 2 11 2 3 2 2 2" xfId="37684" xr:uid="{00000000-0005-0000-0000-00005D560000}"/>
    <cellStyle name="Normal 4 2 11 2 3 2 3" xfId="28654" xr:uid="{00000000-0005-0000-0000-00005E560000}"/>
    <cellStyle name="Normal 4 2 11 2 3 3" xfId="13150" xr:uid="{00000000-0005-0000-0000-00005F560000}"/>
    <cellStyle name="Normal 4 2 11 2 3 3 2" xfId="33202" xr:uid="{00000000-0005-0000-0000-000060560000}"/>
    <cellStyle name="Normal 4 2 11 2 3 4" xfId="24172" xr:uid="{00000000-0005-0000-0000-000061560000}"/>
    <cellStyle name="Normal 4 2 11 2 4" xfId="5614" xr:uid="{00000000-0005-0000-0000-000062560000}"/>
    <cellStyle name="Normal 4 2 11 2 4 2" xfId="14644" xr:uid="{00000000-0005-0000-0000-000063560000}"/>
    <cellStyle name="Normal 4 2 11 2 4 2 2" xfId="34696" xr:uid="{00000000-0005-0000-0000-000064560000}"/>
    <cellStyle name="Normal 4 2 11 2 4 3" xfId="25666" xr:uid="{00000000-0005-0000-0000-000065560000}"/>
    <cellStyle name="Normal 4 2 11 2 5" xfId="10162" xr:uid="{00000000-0005-0000-0000-000066560000}"/>
    <cellStyle name="Normal 4 2 11 2 5 2" xfId="30214" xr:uid="{00000000-0005-0000-0000-000067560000}"/>
    <cellStyle name="Normal 4 2 11 2 6" xfId="21184" xr:uid="{00000000-0005-0000-0000-000068560000}"/>
    <cellStyle name="Normal 4 2 11 3" xfId="1879" xr:uid="{00000000-0005-0000-0000-000069560000}"/>
    <cellStyle name="Normal 4 2 11 3 2" xfId="6361" xr:uid="{00000000-0005-0000-0000-00006A560000}"/>
    <cellStyle name="Normal 4 2 11 3 2 2" xfId="15391" xr:uid="{00000000-0005-0000-0000-00006B560000}"/>
    <cellStyle name="Normal 4 2 11 3 2 2 2" xfId="35443" xr:uid="{00000000-0005-0000-0000-00006C560000}"/>
    <cellStyle name="Normal 4 2 11 3 2 3" xfId="26413" xr:uid="{00000000-0005-0000-0000-00006D560000}"/>
    <cellStyle name="Normal 4 2 11 3 3" xfId="10909" xr:uid="{00000000-0005-0000-0000-00006E560000}"/>
    <cellStyle name="Normal 4 2 11 3 3 2" xfId="30961" xr:uid="{00000000-0005-0000-0000-00006F560000}"/>
    <cellStyle name="Normal 4 2 11 3 4" xfId="21931" xr:uid="{00000000-0005-0000-0000-000070560000}"/>
    <cellStyle name="Normal 4 2 11 4" xfId="3373" xr:uid="{00000000-0005-0000-0000-000071560000}"/>
    <cellStyle name="Normal 4 2 11 4 2" xfId="7855" xr:uid="{00000000-0005-0000-0000-000072560000}"/>
    <cellStyle name="Normal 4 2 11 4 2 2" xfId="16885" xr:uid="{00000000-0005-0000-0000-000073560000}"/>
    <cellStyle name="Normal 4 2 11 4 2 2 2" xfId="36937" xr:uid="{00000000-0005-0000-0000-000074560000}"/>
    <cellStyle name="Normal 4 2 11 4 2 3" xfId="27907" xr:uid="{00000000-0005-0000-0000-000075560000}"/>
    <cellStyle name="Normal 4 2 11 4 3" xfId="12403" xr:uid="{00000000-0005-0000-0000-000076560000}"/>
    <cellStyle name="Normal 4 2 11 4 3 2" xfId="32455" xr:uid="{00000000-0005-0000-0000-000077560000}"/>
    <cellStyle name="Normal 4 2 11 4 4" xfId="23425" xr:uid="{00000000-0005-0000-0000-000078560000}"/>
    <cellStyle name="Normal 4 2 11 5" xfId="4867" xr:uid="{00000000-0005-0000-0000-000079560000}"/>
    <cellStyle name="Normal 4 2 11 5 2" xfId="13897" xr:uid="{00000000-0005-0000-0000-00007A560000}"/>
    <cellStyle name="Normal 4 2 11 5 2 2" xfId="33949" xr:uid="{00000000-0005-0000-0000-00007B560000}"/>
    <cellStyle name="Normal 4 2 11 5 3" xfId="24919" xr:uid="{00000000-0005-0000-0000-00007C560000}"/>
    <cellStyle name="Normal 4 2 11 6" xfId="9415" xr:uid="{00000000-0005-0000-0000-00007D560000}"/>
    <cellStyle name="Normal 4 2 11 6 2" xfId="29467" xr:uid="{00000000-0005-0000-0000-00007E560000}"/>
    <cellStyle name="Normal 4 2 11 7" xfId="20437" xr:uid="{00000000-0005-0000-0000-00007F560000}"/>
    <cellStyle name="Normal 4 2 12" xfId="571" xr:uid="{00000000-0005-0000-0000-000080560000}"/>
    <cellStyle name="Normal 4 2 12 2" xfId="1318" xr:uid="{00000000-0005-0000-0000-000081560000}"/>
    <cellStyle name="Normal 4 2 12 2 2" xfId="2812" xr:uid="{00000000-0005-0000-0000-000082560000}"/>
    <cellStyle name="Normal 4 2 12 2 2 2" xfId="7294" xr:uid="{00000000-0005-0000-0000-000083560000}"/>
    <cellStyle name="Normal 4 2 12 2 2 2 2" xfId="16324" xr:uid="{00000000-0005-0000-0000-000084560000}"/>
    <cellStyle name="Normal 4 2 12 2 2 2 2 2" xfId="36376" xr:uid="{00000000-0005-0000-0000-000085560000}"/>
    <cellStyle name="Normal 4 2 12 2 2 2 3" xfId="27346" xr:uid="{00000000-0005-0000-0000-000086560000}"/>
    <cellStyle name="Normal 4 2 12 2 2 3" xfId="11842" xr:uid="{00000000-0005-0000-0000-000087560000}"/>
    <cellStyle name="Normal 4 2 12 2 2 3 2" xfId="31894" xr:uid="{00000000-0005-0000-0000-000088560000}"/>
    <cellStyle name="Normal 4 2 12 2 2 4" xfId="22864" xr:uid="{00000000-0005-0000-0000-000089560000}"/>
    <cellStyle name="Normal 4 2 12 2 3" xfId="4306" xr:uid="{00000000-0005-0000-0000-00008A560000}"/>
    <cellStyle name="Normal 4 2 12 2 3 2" xfId="8788" xr:uid="{00000000-0005-0000-0000-00008B560000}"/>
    <cellStyle name="Normal 4 2 12 2 3 2 2" xfId="17818" xr:uid="{00000000-0005-0000-0000-00008C560000}"/>
    <cellStyle name="Normal 4 2 12 2 3 2 2 2" xfId="37870" xr:uid="{00000000-0005-0000-0000-00008D560000}"/>
    <cellStyle name="Normal 4 2 12 2 3 2 3" xfId="28840" xr:uid="{00000000-0005-0000-0000-00008E560000}"/>
    <cellStyle name="Normal 4 2 12 2 3 3" xfId="13336" xr:uid="{00000000-0005-0000-0000-00008F560000}"/>
    <cellStyle name="Normal 4 2 12 2 3 3 2" xfId="33388" xr:uid="{00000000-0005-0000-0000-000090560000}"/>
    <cellStyle name="Normal 4 2 12 2 3 4" xfId="24358" xr:uid="{00000000-0005-0000-0000-000091560000}"/>
    <cellStyle name="Normal 4 2 12 2 4" xfId="5800" xr:uid="{00000000-0005-0000-0000-000092560000}"/>
    <cellStyle name="Normal 4 2 12 2 4 2" xfId="14830" xr:uid="{00000000-0005-0000-0000-000093560000}"/>
    <cellStyle name="Normal 4 2 12 2 4 2 2" xfId="34882" xr:uid="{00000000-0005-0000-0000-000094560000}"/>
    <cellStyle name="Normal 4 2 12 2 4 3" xfId="25852" xr:uid="{00000000-0005-0000-0000-000095560000}"/>
    <cellStyle name="Normal 4 2 12 2 5" xfId="10348" xr:uid="{00000000-0005-0000-0000-000096560000}"/>
    <cellStyle name="Normal 4 2 12 2 5 2" xfId="30400" xr:uid="{00000000-0005-0000-0000-000097560000}"/>
    <cellStyle name="Normal 4 2 12 2 6" xfId="21370" xr:uid="{00000000-0005-0000-0000-000098560000}"/>
    <cellStyle name="Normal 4 2 12 3" xfId="2065" xr:uid="{00000000-0005-0000-0000-000099560000}"/>
    <cellStyle name="Normal 4 2 12 3 2" xfId="6547" xr:uid="{00000000-0005-0000-0000-00009A560000}"/>
    <cellStyle name="Normal 4 2 12 3 2 2" xfId="15577" xr:uid="{00000000-0005-0000-0000-00009B560000}"/>
    <cellStyle name="Normal 4 2 12 3 2 2 2" xfId="35629" xr:uid="{00000000-0005-0000-0000-00009C560000}"/>
    <cellStyle name="Normal 4 2 12 3 2 3" xfId="26599" xr:uid="{00000000-0005-0000-0000-00009D560000}"/>
    <cellStyle name="Normal 4 2 12 3 3" xfId="11095" xr:uid="{00000000-0005-0000-0000-00009E560000}"/>
    <cellStyle name="Normal 4 2 12 3 3 2" xfId="31147" xr:uid="{00000000-0005-0000-0000-00009F560000}"/>
    <cellStyle name="Normal 4 2 12 3 4" xfId="22117" xr:uid="{00000000-0005-0000-0000-0000A0560000}"/>
    <cellStyle name="Normal 4 2 12 4" xfId="3559" xr:uid="{00000000-0005-0000-0000-0000A1560000}"/>
    <cellStyle name="Normal 4 2 12 4 2" xfId="8041" xr:uid="{00000000-0005-0000-0000-0000A2560000}"/>
    <cellStyle name="Normal 4 2 12 4 2 2" xfId="17071" xr:uid="{00000000-0005-0000-0000-0000A3560000}"/>
    <cellStyle name="Normal 4 2 12 4 2 2 2" xfId="37123" xr:uid="{00000000-0005-0000-0000-0000A4560000}"/>
    <cellStyle name="Normal 4 2 12 4 2 3" xfId="28093" xr:uid="{00000000-0005-0000-0000-0000A5560000}"/>
    <cellStyle name="Normal 4 2 12 4 3" xfId="12589" xr:uid="{00000000-0005-0000-0000-0000A6560000}"/>
    <cellStyle name="Normal 4 2 12 4 3 2" xfId="32641" xr:uid="{00000000-0005-0000-0000-0000A7560000}"/>
    <cellStyle name="Normal 4 2 12 4 4" xfId="23611" xr:uid="{00000000-0005-0000-0000-0000A8560000}"/>
    <cellStyle name="Normal 4 2 12 5" xfId="5053" xr:uid="{00000000-0005-0000-0000-0000A9560000}"/>
    <cellStyle name="Normal 4 2 12 5 2" xfId="14083" xr:uid="{00000000-0005-0000-0000-0000AA560000}"/>
    <cellStyle name="Normal 4 2 12 5 2 2" xfId="34135" xr:uid="{00000000-0005-0000-0000-0000AB560000}"/>
    <cellStyle name="Normal 4 2 12 5 3" xfId="25105" xr:uid="{00000000-0005-0000-0000-0000AC560000}"/>
    <cellStyle name="Normal 4 2 12 6" xfId="9601" xr:uid="{00000000-0005-0000-0000-0000AD560000}"/>
    <cellStyle name="Normal 4 2 12 6 2" xfId="29653" xr:uid="{00000000-0005-0000-0000-0000AE560000}"/>
    <cellStyle name="Normal 4 2 12 7" xfId="20623" xr:uid="{00000000-0005-0000-0000-0000AF560000}"/>
    <cellStyle name="Normal 4 2 13" xfId="758" xr:uid="{00000000-0005-0000-0000-0000B0560000}"/>
    <cellStyle name="Normal 4 2 13 2" xfId="2252" xr:uid="{00000000-0005-0000-0000-0000B1560000}"/>
    <cellStyle name="Normal 4 2 13 2 2" xfId="6734" xr:uid="{00000000-0005-0000-0000-0000B2560000}"/>
    <cellStyle name="Normal 4 2 13 2 2 2" xfId="15764" xr:uid="{00000000-0005-0000-0000-0000B3560000}"/>
    <cellStyle name="Normal 4 2 13 2 2 2 2" xfId="35816" xr:uid="{00000000-0005-0000-0000-0000B4560000}"/>
    <cellStyle name="Normal 4 2 13 2 2 3" xfId="26786" xr:uid="{00000000-0005-0000-0000-0000B5560000}"/>
    <cellStyle name="Normal 4 2 13 2 3" xfId="11282" xr:uid="{00000000-0005-0000-0000-0000B6560000}"/>
    <cellStyle name="Normal 4 2 13 2 3 2" xfId="31334" xr:uid="{00000000-0005-0000-0000-0000B7560000}"/>
    <cellStyle name="Normal 4 2 13 2 4" xfId="22304" xr:uid="{00000000-0005-0000-0000-0000B8560000}"/>
    <cellStyle name="Normal 4 2 13 3" xfId="3746" xr:uid="{00000000-0005-0000-0000-0000B9560000}"/>
    <cellStyle name="Normal 4 2 13 3 2" xfId="8228" xr:uid="{00000000-0005-0000-0000-0000BA560000}"/>
    <cellStyle name="Normal 4 2 13 3 2 2" xfId="17258" xr:uid="{00000000-0005-0000-0000-0000BB560000}"/>
    <cellStyle name="Normal 4 2 13 3 2 2 2" xfId="37310" xr:uid="{00000000-0005-0000-0000-0000BC560000}"/>
    <cellStyle name="Normal 4 2 13 3 2 3" xfId="28280" xr:uid="{00000000-0005-0000-0000-0000BD560000}"/>
    <cellStyle name="Normal 4 2 13 3 3" xfId="12776" xr:uid="{00000000-0005-0000-0000-0000BE560000}"/>
    <cellStyle name="Normal 4 2 13 3 3 2" xfId="32828" xr:uid="{00000000-0005-0000-0000-0000BF560000}"/>
    <cellStyle name="Normal 4 2 13 3 4" xfId="23798" xr:uid="{00000000-0005-0000-0000-0000C0560000}"/>
    <cellStyle name="Normal 4 2 13 4" xfId="5240" xr:uid="{00000000-0005-0000-0000-0000C1560000}"/>
    <cellStyle name="Normal 4 2 13 4 2" xfId="14270" xr:uid="{00000000-0005-0000-0000-0000C2560000}"/>
    <cellStyle name="Normal 4 2 13 4 2 2" xfId="34322" xr:uid="{00000000-0005-0000-0000-0000C3560000}"/>
    <cellStyle name="Normal 4 2 13 4 3" xfId="25292" xr:uid="{00000000-0005-0000-0000-0000C4560000}"/>
    <cellStyle name="Normal 4 2 13 5" xfId="9788" xr:uid="{00000000-0005-0000-0000-0000C5560000}"/>
    <cellStyle name="Normal 4 2 13 5 2" xfId="29840" xr:uid="{00000000-0005-0000-0000-0000C6560000}"/>
    <cellStyle name="Normal 4 2 13 6" xfId="20810" xr:uid="{00000000-0005-0000-0000-0000C7560000}"/>
    <cellStyle name="Normal 4 2 14" xfId="1507" xr:uid="{00000000-0005-0000-0000-0000C8560000}"/>
    <cellStyle name="Normal 4 2 14 2" xfId="5989" xr:uid="{00000000-0005-0000-0000-0000C9560000}"/>
    <cellStyle name="Normal 4 2 14 2 2" xfId="15019" xr:uid="{00000000-0005-0000-0000-0000CA560000}"/>
    <cellStyle name="Normal 4 2 14 2 2 2" xfId="35071" xr:uid="{00000000-0005-0000-0000-0000CB560000}"/>
    <cellStyle name="Normal 4 2 14 2 3" xfId="26041" xr:uid="{00000000-0005-0000-0000-0000CC560000}"/>
    <cellStyle name="Normal 4 2 14 3" xfId="10537" xr:uid="{00000000-0005-0000-0000-0000CD560000}"/>
    <cellStyle name="Normal 4 2 14 3 2" xfId="30589" xr:uid="{00000000-0005-0000-0000-0000CE560000}"/>
    <cellStyle name="Normal 4 2 14 4" xfId="21559" xr:uid="{00000000-0005-0000-0000-0000CF560000}"/>
    <cellStyle name="Normal 4 2 15" xfId="3001" xr:uid="{00000000-0005-0000-0000-0000D0560000}"/>
    <cellStyle name="Normal 4 2 15 2" xfId="7483" xr:uid="{00000000-0005-0000-0000-0000D1560000}"/>
    <cellStyle name="Normal 4 2 15 2 2" xfId="16513" xr:uid="{00000000-0005-0000-0000-0000D2560000}"/>
    <cellStyle name="Normal 4 2 15 2 2 2" xfId="36565" xr:uid="{00000000-0005-0000-0000-0000D3560000}"/>
    <cellStyle name="Normal 4 2 15 2 3" xfId="27535" xr:uid="{00000000-0005-0000-0000-0000D4560000}"/>
    <cellStyle name="Normal 4 2 15 3" xfId="12031" xr:uid="{00000000-0005-0000-0000-0000D5560000}"/>
    <cellStyle name="Normal 4 2 15 3 2" xfId="32083" xr:uid="{00000000-0005-0000-0000-0000D6560000}"/>
    <cellStyle name="Normal 4 2 15 4" xfId="23053" xr:uid="{00000000-0005-0000-0000-0000D7560000}"/>
    <cellStyle name="Normal 4 2 16" xfId="4495" xr:uid="{00000000-0005-0000-0000-0000D8560000}"/>
    <cellStyle name="Normal 4 2 16 2" xfId="13525" xr:uid="{00000000-0005-0000-0000-0000D9560000}"/>
    <cellStyle name="Normal 4 2 16 2 2" xfId="33577" xr:uid="{00000000-0005-0000-0000-0000DA560000}"/>
    <cellStyle name="Normal 4 2 16 3" xfId="24547" xr:uid="{00000000-0005-0000-0000-0000DB560000}"/>
    <cellStyle name="Normal 4 2 17" xfId="9043" xr:uid="{00000000-0005-0000-0000-0000DC560000}"/>
    <cellStyle name="Normal 4 2 17 2" xfId="29095" xr:uid="{00000000-0005-0000-0000-0000DD560000}"/>
    <cellStyle name="Normal 4 2 18" xfId="20066" xr:uid="{00000000-0005-0000-0000-0000DE560000}"/>
    <cellStyle name="Normal 4 2 2" xfId="23" xr:uid="{00000000-0005-0000-0000-0000DF560000}"/>
    <cellStyle name="Normal 4 2 2 10" xfId="395" xr:uid="{00000000-0005-0000-0000-0000E0560000}"/>
    <cellStyle name="Normal 4 2 2 10 2" xfId="1142" xr:uid="{00000000-0005-0000-0000-0000E1560000}"/>
    <cellStyle name="Normal 4 2 2 10 2 2" xfId="2636" xr:uid="{00000000-0005-0000-0000-0000E2560000}"/>
    <cellStyle name="Normal 4 2 2 10 2 2 2" xfId="7118" xr:uid="{00000000-0005-0000-0000-0000E3560000}"/>
    <cellStyle name="Normal 4 2 2 10 2 2 2 2" xfId="16148" xr:uid="{00000000-0005-0000-0000-0000E4560000}"/>
    <cellStyle name="Normal 4 2 2 10 2 2 2 2 2" xfId="36200" xr:uid="{00000000-0005-0000-0000-0000E5560000}"/>
    <cellStyle name="Normal 4 2 2 10 2 2 2 3" xfId="27170" xr:uid="{00000000-0005-0000-0000-0000E6560000}"/>
    <cellStyle name="Normal 4 2 2 10 2 2 3" xfId="11666" xr:uid="{00000000-0005-0000-0000-0000E7560000}"/>
    <cellStyle name="Normal 4 2 2 10 2 2 3 2" xfId="31718" xr:uid="{00000000-0005-0000-0000-0000E8560000}"/>
    <cellStyle name="Normal 4 2 2 10 2 2 4" xfId="22688" xr:uid="{00000000-0005-0000-0000-0000E9560000}"/>
    <cellStyle name="Normal 4 2 2 10 2 3" xfId="4130" xr:uid="{00000000-0005-0000-0000-0000EA560000}"/>
    <cellStyle name="Normal 4 2 2 10 2 3 2" xfId="8612" xr:uid="{00000000-0005-0000-0000-0000EB560000}"/>
    <cellStyle name="Normal 4 2 2 10 2 3 2 2" xfId="17642" xr:uid="{00000000-0005-0000-0000-0000EC560000}"/>
    <cellStyle name="Normal 4 2 2 10 2 3 2 2 2" xfId="37694" xr:uid="{00000000-0005-0000-0000-0000ED560000}"/>
    <cellStyle name="Normal 4 2 2 10 2 3 2 3" xfId="28664" xr:uid="{00000000-0005-0000-0000-0000EE560000}"/>
    <cellStyle name="Normal 4 2 2 10 2 3 3" xfId="13160" xr:uid="{00000000-0005-0000-0000-0000EF560000}"/>
    <cellStyle name="Normal 4 2 2 10 2 3 3 2" xfId="33212" xr:uid="{00000000-0005-0000-0000-0000F0560000}"/>
    <cellStyle name="Normal 4 2 2 10 2 3 4" xfId="24182" xr:uid="{00000000-0005-0000-0000-0000F1560000}"/>
    <cellStyle name="Normal 4 2 2 10 2 4" xfId="5624" xr:uid="{00000000-0005-0000-0000-0000F2560000}"/>
    <cellStyle name="Normal 4 2 2 10 2 4 2" xfId="14654" xr:uid="{00000000-0005-0000-0000-0000F3560000}"/>
    <cellStyle name="Normal 4 2 2 10 2 4 2 2" xfId="34706" xr:uid="{00000000-0005-0000-0000-0000F4560000}"/>
    <cellStyle name="Normal 4 2 2 10 2 4 3" xfId="25676" xr:uid="{00000000-0005-0000-0000-0000F5560000}"/>
    <cellStyle name="Normal 4 2 2 10 2 5" xfId="10172" xr:uid="{00000000-0005-0000-0000-0000F6560000}"/>
    <cellStyle name="Normal 4 2 2 10 2 5 2" xfId="30224" xr:uid="{00000000-0005-0000-0000-0000F7560000}"/>
    <cellStyle name="Normal 4 2 2 10 2 6" xfId="21194" xr:uid="{00000000-0005-0000-0000-0000F8560000}"/>
    <cellStyle name="Normal 4 2 2 10 3" xfId="1889" xr:uid="{00000000-0005-0000-0000-0000F9560000}"/>
    <cellStyle name="Normal 4 2 2 10 3 2" xfId="6371" xr:uid="{00000000-0005-0000-0000-0000FA560000}"/>
    <cellStyle name="Normal 4 2 2 10 3 2 2" xfId="15401" xr:uid="{00000000-0005-0000-0000-0000FB560000}"/>
    <cellStyle name="Normal 4 2 2 10 3 2 2 2" xfId="35453" xr:uid="{00000000-0005-0000-0000-0000FC560000}"/>
    <cellStyle name="Normal 4 2 2 10 3 2 3" xfId="26423" xr:uid="{00000000-0005-0000-0000-0000FD560000}"/>
    <cellStyle name="Normal 4 2 2 10 3 3" xfId="10919" xr:uid="{00000000-0005-0000-0000-0000FE560000}"/>
    <cellStyle name="Normal 4 2 2 10 3 3 2" xfId="30971" xr:uid="{00000000-0005-0000-0000-0000FF560000}"/>
    <cellStyle name="Normal 4 2 2 10 3 4" xfId="21941" xr:uid="{00000000-0005-0000-0000-000000570000}"/>
    <cellStyle name="Normal 4 2 2 10 4" xfId="3383" xr:uid="{00000000-0005-0000-0000-000001570000}"/>
    <cellStyle name="Normal 4 2 2 10 4 2" xfId="7865" xr:uid="{00000000-0005-0000-0000-000002570000}"/>
    <cellStyle name="Normal 4 2 2 10 4 2 2" xfId="16895" xr:uid="{00000000-0005-0000-0000-000003570000}"/>
    <cellStyle name="Normal 4 2 2 10 4 2 2 2" xfId="36947" xr:uid="{00000000-0005-0000-0000-000004570000}"/>
    <cellStyle name="Normal 4 2 2 10 4 2 3" xfId="27917" xr:uid="{00000000-0005-0000-0000-000005570000}"/>
    <cellStyle name="Normal 4 2 2 10 4 3" xfId="12413" xr:uid="{00000000-0005-0000-0000-000006570000}"/>
    <cellStyle name="Normal 4 2 2 10 4 3 2" xfId="32465" xr:uid="{00000000-0005-0000-0000-000007570000}"/>
    <cellStyle name="Normal 4 2 2 10 4 4" xfId="23435" xr:uid="{00000000-0005-0000-0000-000008570000}"/>
    <cellStyle name="Normal 4 2 2 10 5" xfId="4877" xr:uid="{00000000-0005-0000-0000-000009570000}"/>
    <cellStyle name="Normal 4 2 2 10 5 2" xfId="13907" xr:uid="{00000000-0005-0000-0000-00000A570000}"/>
    <cellStyle name="Normal 4 2 2 10 5 2 2" xfId="33959" xr:uid="{00000000-0005-0000-0000-00000B570000}"/>
    <cellStyle name="Normal 4 2 2 10 5 3" xfId="24929" xr:uid="{00000000-0005-0000-0000-00000C570000}"/>
    <cellStyle name="Normal 4 2 2 10 6" xfId="9425" xr:uid="{00000000-0005-0000-0000-00000D570000}"/>
    <cellStyle name="Normal 4 2 2 10 6 2" xfId="29477" xr:uid="{00000000-0005-0000-0000-00000E570000}"/>
    <cellStyle name="Normal 4 2 2 10 7" xfId="20447" xr:uid="{00000000-0005-0000-0000-00000F570000}"/>
    <cellStyle name="Normal 4 2 2 11" xfId="581" xr:uid="{00000000-0005-0000-0000-000010570000}"/>
    <cellStyle name="Normal 4 2 2 11 2" xfId="1328" xr:uid="{00000000-0005-0000-0000-000011570000}"/>
    <cellStyle name="Normal 4 2 2 11 2 2" xfId="2822" xr:uid="{00000000-0005-0000-0000-000012570000}"/>
    <cellStyle name="Normal 4 2 2 11 2 2 2" xfId="7304" xr:uid="{00000000-0005-0000-0000-000013570000}"/>
    <cellStyle name="Normal 4 2 2 11 2 2 2 2" xfId="16334" xr:uid="{00000000-0005-0000-0000-000014570000}"/>
    <cellStyle name="Normal 4 2 2 11 2 2 2 2 2" xfId="36386" xr:uid="{00000000-0005-0000-0000-000015570000}"/>
    <cellStyle name="Normal 4 2 2 11 2 2 2 3" xfId="27356" xr:uid="{00000000-0005-0000-0000-000016570000}"/>
    <cellStyle name="Normal 4 2 2 11 2 2 3" xfId="11852" xr:uid="{00000000-0005-0000-0000-000017570000}"/>
    <cellStyle name="Normal 4 2 2 11 2 2 3 2" xfId="31904" xr:uid="{00000000-0005-0000-0000-000018570000}"/>
    <cellStyle name="Normal 4 2 2 11 2 2 4" xfId="22874" xr:uid="{00000000-0005-0000-0000-000019570000}"/>
    <cellStyle name="Normal 4 2 2 11 2 3" xfId="4316" xr:uid="{00000000-0005-0000-0000-00001A570000}"/>
    <cellStyle name="Normal 4 2 2 11 2 3 2" xfId="8798" xr:uid="{00000000-0005-0000-0000-00001B570000}"/>
    <cellStyle name="Normal 4 2 2 11 2 3 2 2" xfId="17828" xr:uid="{00000000-0005-0000-0000-00001C570000}"/>
    <cellStyle name="Normal 4 2 2 11 2 3 2 2 2" xfId="37880" xr:uid="{00000000-0005-0000-0000-00001D570000}"/>
    <cellStyle name="Normal 4 2 2 11 2 3 2 3" xfId="28850" xr:uid="{00000000-0005-0000-0000-00001E570000}"/>
    <cellStyle name="Normal 4 2 2 11 2 3 3" xfId="13346" xr:uid="{00000000-0005-0000-0000-00001F570000}"/>
    <cellStyle name="Normal 4 2 2 11 2 3 3 2" xfId="33398" xr:uid="{00000000-0005-0000-0000-000020570000}"/>
    <cellStyle name="Normal 4 2 2 11 2 3 4" xfId="24368" xr:uid="{00000000-0005-0000-0000-000021570000}"/>
    <cellStyle name="Normal 4 2 2 11 2 4" xfId="5810" xr:uid="{00000000-0005-0000-0000-000022570000}"/>
    <cellStyle name="Normal 4 2 2 11 2 4 2" xfId="14840" xr:uid="{00000000-0005-0000-0000-000023570000}"/>
    <cellStyle name="Normal 4 2 2 11 2 4 2 2" xfId="34892" xr:uid="{00000000-0005-0000-0000-000024570000}"/>
    <cellStyle name="Normal 4 2 2 11 2 4 3" xfId="25862" xr:uid="{00000000-0005-0000-0000-000025570000}"/>
    <cellStyle name="Normal 4 2 2 11 2 5" xfId="10358" xr:uid="{00000000-0005-0000-0000-000026570000}"/>
    <cellStyle name="Normal 4 2 2 11 2 5 2" xfId="30410" xr:uid="{00000000-0005-0000-0000-000027570000}"/>
    <cellStyle name="Normal 4 2 2 11 2 6" xfId="21380" xr:uid="{00000000-0005-0000-0000-000028570000}"/>
    <cellStyle name="Normal 4 2 2 11 3" xfId="2075" xr:uid="{00000000-0005-0000-0000-000029570000}"/>
    <cellStyle name="Normal 4 2 2 11 3 2" xfId="6557" xr:uid="{00000000-0005-0000-0000-00002A570000}"/>
    <cellStyle name="Normal 4 2 2 11 3 2 2" xfId="15587" xr:uid="{00000000-0005-0000-0000-00002B570000}"/>
    <cellStyle name="Normal 4 2 2 11 3 2 2 2" xfId="35639" xr:uid="{00000000-0005-0000-0000-00002C570000}"/>
    <cellStyle name="Normal 4 2 2 11 3 2 3" xfId="26609" xr:uid="{00000000-0005-0000-0000-00002D570000}"/>
    <cellStyle name="Normal 4 2 2 11 3 3" xfId="11105" xr:uid="{00000000-0005-0000-0000-00002E570000}"/>
    <cellStyle name="Normal 4 2 2 11 3 3 2" xfId="31157" xr:uid="{00000000-0005-0000-0000-00002F570000}"/>
    <cellStyle name="Normal 4 2 2 11 3 4" xfId="22127" xr:uid="{00000000-0005-0000-0000-000030570000}"/>
    <cellStyle name="Normal 4 2 2 11 4" xfId="3569" xr:uid="{00000000-0005-0000-0000-000031570000}"/>
    <cellStyle name="Normal 4 2 2 11 4 2" xfId="8051" xr:uid="{00000000-0005-0000-0000-000032570000}"/>
    <cellStyle name="Normal 4 2 2 11 4 2 2" xfId="17081" xr:uid="{00000000-0005-0000-0000-000033570000}"/>
    <cellStyle name="Normal 4 2 2 11 4 2 2 2" xfId="37133" xr:uid="{00000000-0005-0000-0000-000034570000}"/>
    <cellStyle name="Normal 4 2 2 11 4 2 3" xfId="28103" xr:uid="{00000000-0005-0000-0000-000035570000}"/>
    <cellStyle name="Normal 4 2 2 11 4 3" xfId="12599" xr:uid="{00000000-0005-0000-0000-000036570000}"/>
    <cellStyle name="Normal 4 2 2 11 4 3 2" xfId="32651" xr:uid="{00000000-0005-0000-0000-000037570000}"/>
    <cellStyle name="Normal 4 2 2 11 4 4" xfId="23621" xr:uid="{00000000-0005-0000-0000-000038570000}"/>
    <cellStyle name="Normal 4 2 2 11 5" xfId="5063" xr:uid="{00000000-0005-0000-0000-000039570000}"/>
    <cellStyle name="Normal 4 2 2 11 5 2" xfId="14093" xr:uid="{00000000-0005-0000-0000-00003A570000}"/>
    <cellStyle name="Normal 4 2 2 11 5 2 2" xfId="34145" xr:uid="{00000000-0005-0000-0000-00003B570000}"/>
    <cellStyle name="Normal 4 2 2 11 5 3" xfId="25115" xr:uid="{00000000-0005-0000-0000-00003C570000}"/>
    <cellStyle name="Normal 4 2 2 11 6" xfId="9611" xr:uid="{00000000-0005-0000-0000-00003D570000}"/>
    <cellStyle name="Normal 4 2 2 11 6 2" xfId="29663" xr:uid="{00000000-0005-0000-0000-00003E570000}"/>
    <cellStyle name="Normal 4 2 2 11 7" xfId="20633" xr:uid="{00000000-0005-0000-0000-00003F570000}"/>
    <cellStyle name="Normal 4 2 2 12" xfId="768" xr:uid="{00000000-0005-0000-0000-000040570000}"/>
    <cellStyle name="Normal 4 2 2 12 2" xfId="2262" xr:uid="{00000000-0005-0000-0000-000041570000}"/>
    <cellStyle name="Normal 4 2 2 12 2 2" xfId="6744" xr:uid="{00000000-0005-0000-0000-000042570000}"/>
    <cellStyle name="Normal 4 2 2 12 2 2 2" xfId="15774" xr:uid="{00000000-0005-0000-0000-000043570000}"/>
    <cellStyle name="Normal 4 2 2 12 2 2 2 2" xfId="35826" xr:uid="{00000000-0005-0000-0000-000044570000}"/>
    <cellStyle name="Normal 4 2 2 12 2 2 3" xfId="26796" xr:uid="{00000000-0005-0000-0000-000045570000}"/>
    <cellStyle name="Normal 4 2 2 12 2 3" xfId="11292" xr:uid="{00000000-0005-0000-0000-000046570000}"/>
    <cellStyle name="Normal 4 2 2 12 2 3 2" xfId="31344" xr:uid="{00000000-0005-0000-0000-000047570000}"/>
    <cellStyle name="Normal 4 2 2 12 2 4" xfId="22314" xr:uid="{00000000-0005-0000-0000-000048570000}"/>
    <cellStyle name="Normal 4 2 2 12 3" xfId="3756" xr:uid="{00000000-0005-0000-0000-000049570000}"/>
    <cellStyle name="Normal 4 2 2 12 3 2" xfId="8238" xr:uid="{00000000-0005-0000-0000-00004A570000}"/>
    <cellStyle name="Normal 4 2 2 12 3 2 2" xfId="17268" xr:uid="{00000000-0005-0000-0000-00004B570000}"/>
    <cellStyle name="Normal 4 2 2 12 3 2 2 2" xfId="37320" xr:uid="{00000000-0005-0000-0000-00004C570000}"/>
    <cellStyle name="Normal 4 2 2 12 3 2 3" xfId="28290" xr:uid="{00000000-0005-0000-0000-00004D570000}"/>
    <cellStyle name="Normal 4 2 2 12 3 3" xfId="12786" xr:uid="{00000000-0005-0000-0000-00004E570000}"/>
    <cellStyle name="Normal 4 2 2 12 3 3 2" xfId="32838" xr:uid="{00000000-0005-0000-0000-00004F570000}"/>
    <cellStyle name="Normal 4 2 2 12 3 4" xfId="23808" xr:uid="{00000000-0005-0000-0000-000050570000}"/>
    <cellStyle name="Normal 4 2 2 12 4" xfId="5250" xr:uid="{00000000-0005-0000-0000-000051570000}"/>
    <cellStyle name="Normal 4 2 2 12 4 2" xfId="14280" xr:uid="{00000000-0005-0000-0000-000052570000}"/>
    <cellStyle name="Normal 4 2 2 12 4 2 2" xfId="34332" xr:uid="{00000000-0005-0000-0000-000053570000}"/>
    <cellStyle name="Normal 4 2 2 12 4 3" xfId="25302" xr:uid="{00000000-0005-0000-0000-000054570000}"/>
    <cellStyle name="Normal 4 2 2 12 5" xfId="9798" xr:uid="{00000000-0005-0000-0000-000055570000}"/>
    <cellStyle name="Normal 4 2 2 12 5 2" xfId="29850" xr:uid="{00000000-0005-0000-0000-000056570000}"/>
    <cellStyle name="Normal 4 2 2 12 6" xfId="20820" xr:uid="{00000000-0005-0000-0000-000057570000}"/>
    <cellStyle name="Normal 4 2 2 13" xfId="1517" xr:uid="{00000000-0005-0000-0000-000058570000}"/>
    <cellStyle name="Normal 4 2 2 13 2" xfId="5999" xr:uid="{00000000-0005-0000-0000-000059570000}"/>
    <cellStyle name="Normal 4 2 2 13 2 2" xfId="15029" xr:uid="{00000000-0005-0000-0000-00005A570000}"/>
    <cellStyle name="Normal 4 2 2 13 2 2 2" xfId="35081" xr:uid="{00000000-0005-0000-0000-00005B570000}"/>
    <cellStyle name="Normal 4 2 2 13 2 3" xfId="26051" xr:uid="{00000000-0005-0000-0000-00005C570000}"/>
    <cellStyle name="Normal 4 2 2 13 3" xfId="10547" xr:uid="{00000000-0005-0000-0000-00005D570000}"/>
    <cellStyle name="Normal 4 2 2 13 3 2" xfId="30599" xr:uid="{00000000-0005-0000-0000-00005E570000}"/>
    <cellStyle name="Normal 4 2 2 13 4" xfId="21569" xr:uid="{00000000-0005-0000-0000-00005F570000}"/>
    <cellStyle name="Normal 4 2 2 14" xfId="3011" xr:uid="{00000000-0005-0000-0000-000060570000}"/>
    <cellStyle name="Normal 4 2 2 14 2" xfId="7493" xr:uid="{00000000-0005-0000-0000-000061570000}"/>
    <cellStyle name="Normal 4 2 2 14 2 2" xfId="16523" xr:uid="{00000000-0005-0000-0000-000062570000}"/>
    <cellStyle name="Normal 4 2 2 14 2 2 2" xfId="36575" xr:uid="{00000000-0005-0000-0000-000063570000}"/>
    <cellStyle name="Normal 4 2 2 14 2 3" xfId="27545" xr:uid="{00000000-0005-0000-0000-000064570000}"/>
    <cellStyle name="Normal 4 2 2 14 3" xfId="12041" xr:uid="{00000000-0005-0000-0000-000065570000}"/>
    <cellStyle name="Normal 4 2 2 14 3 2" xfId="32093" xr:uid="{00000000-0005-0000-0000-000066570000}"/>
    <cellStyle name="Normal 4 2 2 14 4" xfId="23063" xr:uid="{00000000-0005-0000-0000-000067570000}"/>
    <cellStyle name="Normal 4 2 2 15" xfId="4505" xr:uid="{00000000-0005-0000-0000-000068570000}"/>
    <cellStyle name="Normal 4 2 2 15 2" xfId="13535" xr:uid="{00000000-0005-0000-0000-000069570000}"/>
    <cellStyle name="Normal 4 2 2 15 2 2" xfId="33587" xr:uid="{00000000-0005-0000-0000-00006A570000}"/>
    <cellStyle name="Normal 4 2 2 15 3" xfId="24557" xr:uid="{00000000-0005-0000-0000-00006B570000}"/>
    <cellStyle name="Normal 4 2 2 16" xfId="9053" xr:uid="{00000000-0005-0000-0000-00006C570000}"/>
    <cellStyle name="Normal 4 2 2 16 2" xfId="29105" xr:uid="{00000000-0005-0000-0000-00006D570000}"/>
    <cellStyle name="Normal 4 2 2 17" xfId="20075" xr:uid="{00000000-0005-0000-0000-00006E570000}"/>
    <cellStyle name="Normal 4 2 2 2" xfId="46" xr:uid="{00000000-0005-0000-0000-00006F570000}"/>
    <cellStyle name="Normal 4 2 2 2 10" xfId="20098" xr:uid="{00000000-0005-0000-0000-000070570000}"/>
    <cellStyle name="Normal 4 2 2 2 2" xfId="232" xr:uid="{00000000-0005-0000-0000-000071570000}"/>
    <cellStyle name="Normal 4 2 2 2 2 2" xfId="977" xr:uid="{00000000-0005-0000-0000-000072570000}"/>
    <cellStyle name="Normal 4 2 2 2 2 2 2" xfId="2471" xr:uid="{00000000-0005-0000-0000-000073570000}"/>
    <cellStyle name="Normal 4 2 2 2 2 2 2 2" xfId="6953" xr:uid="{00000000-0005-0000-0000-000074570000}"/>
    <cellStyle name="Normal 4 2 2 2 2 2 2 2 2" xfId="15983" xr:uid="{00000000-0005-0000-0000-000075570000}"/>
    <cellStyle name="Normal 4 2 2 2 2 2 2 2 2 2" xfId="36035" xr:uid="{00000000-0005-0000-0000-000076570000}"/>
    <cellStyle name="Normal 4 2 2 2 2 2 2 2 3" xfId="27005" xr:uid="{00000000-0005-0000-0000-000077570000}"/>
    <cellStyle name="Normal 4 2 2 2 2 2 2 3" xfId="11501" xr:uid="{00000000-0005-0000-0000-000078570000}"/>
    <cellStyle name="Normal 4 2 2 2 2 2 2 3 2" xfId="31553" xr:uid="{00000000-0005-0000-0000-000079570000}"/>
    <cellStyle name="Normal 4 2 2 2 2 2 2 4" xfId="22523" xr:uid="{00000000-0005-0000-0000-00007A570000}"/>
    <cellStyle name="Normal 4 2 2 2 2 2 3" xfId="3965" xr:uid="{00000000-0005-0000-0000-00007B570000}"/>
    <cellStyle name="Normal 4 2 2 2 2 2 3 2" xfId="8447" xr:uid="{00000000-0005-0000-0000-00007C570000}"/>
    <cellStyle name="Normal 4 2 2 2 2 2 3 2 2" xfId="17477" xr:uid="{00000000-0005-0000-0000-00007D570000}"/>
    <cellStyle name="Normal 4 2 2 2 2 2 3 2 2 2" xfId="37529" xr:uid="{00000000-0005-0000-0000-00007E570000}"/>
    <cellStyle name="Normal 4 2 2 2 2 2 3 2 3" xfId="28499" xr:uid="{00000000-0005-0000-0000-00007F570000}"/>
    <cellStyle name="Normal 4 2 2 2 2 2 3 3" xfId="12995" xr:uid="{00000000-0005-0000-0000-000080570000}"/>
    <cellStyle name="Normal 4 2 2 2 2 2 3 3 2" xfId="33047" xr:uid="{00000000-0005-0000-0000-000081570000}"/>
    <cellStyle name="Normal 4 2 2 2 2 2 3 4" xfId="24017" xr:uid="{00000000-0005-0000-0000-000082570000}"/>
    <cellStyle name="Normal 4 2 2 2 2 2 4" xfId="5459" xr:uid="{00000000-0005-0000-0000-000083570000}"/>
    <cellStyle name="Normal 4 2 2 2 2 2 4 2" xfId="14489" xr:uid="{00000000-0005-0000-0000-000084570000}"/>
    <cellStyle name="Normal 4 2 2 2 2 2 4 2 2" xfId="34541" xr:uid="{00000000-0005-0000-0000-000085570000}"/>
    <cellStyle name="Normal 4 2 2 2 2 2 4 3" xfId="25511" xr:uid="{00000000-0005-0000-0000-000086570000}"/>
    <cellStyle name="Normal 4 2 2 2 2 2 5" xfId="10007" xr:uid="{00000000-0005-0000-0000-000087570000}"/>
    <cellStyle name="Normal 4 2 2 2 2 2 5 2" xfId="30059" xr:uid="{00000000-0005-0000-0000-000088570000}"/>
    <cellStyle name="Normal 4 2 2 2 2 2 6" xfId="21029" xr:uid="{00000000-0005-0000-0000-000089570000}"/>
    <cellStyle name="Normal 4 2 2 2 2 3" xfId="1726" xr:uid="{00000000-0005-0000-0000-00008A570000}"/>
    <cellStyle name="Normal 4 2 2 2 2 3 2" xfId="6208" xr:uid="{00000000-0005-0000-0000-00008B570000}"/>
    <cellStyle name="Normal 4 2 2 2 2 3 2 2" xfId="15238" xr:uid="{00000000-0005-0000-0000-00008C570000}"/>
    <cellStyle name="Normal 4 2 2 2 2 3 2 2 2" xfId="35290" xr:uid="{00000000-0005-0000-0000-00008D570000}"/>
    <cellStyle name="Normal 4 2 2 2 2 3 2 3" xfId="26260" xr:uid="{00000000-0005-0000-0000-00008E570000}"/>
    <cellStyle name="Normal 4 2 2 2 2 3 3" xfId="10756" xr:uid="{00000000-0005-0000-0000-00008F570000}"/>
    <cellStyle name="Normal 4 2 2 2 2 3 3 2" xfId="30808" xr:uid="{00000000-0005-0000-0000-000090570000}"/>
    <cellStyle name="Normal 4 2 2 2 2 3 4" xfId="21778" xr:uid="{00000000-0005-0000-0000-000091570000}"/>
    <cellStyle name="Normal 4 2 2 2 2 4" xfId="3220" xr:uid="{00000000-0005-0000-0000-000092570000}"/>
    <cellStyle name="Normal 4 2 2 2 2 4 2" xfId="7702" xr:uid="{00000000-0005-0000-0000-000093570000}"/>
    <cellStyle name="Normal 4 2 2 2 2 4 2 2" xfId="16732" xr:uid="{00000000-0005-0000-0000-000094570000}"/>
    <cellStyle name="Normal 4 2 2 2 2 4 2 2 2" xfId="36784" xr:uid="{00000000-0005-0000-0000-000095570000}"/>
    <cellStyle name="Normal 4 2 2 2 2 4 2 3" xfId="27754" xr:uid="{00000000-0005-0000-0000-000096570000}"/>
    <cellStyle name="Normal 4 2 2 2 2 4 3" xfId="12250" xr:uid="{00000000-0005-0000-0000-000097570000}"/>
    <cellStyle name="Normal 4 2 2 2 2 4 3 2" xfId="32302" xr:uid="{00000000-0005-0000-0000-000098570000}"/>
    <cellStyle name="Normal 4 2 2 2 2 4 4" xfId="23272" xr:uid="{00000000-0005-0000-0000-000099570000}"/>
    <cellStyle name="Normal 4 2 2 2 2 5" xfId="4714" xr:uid="{00000000-0005-0000-0000-00009A570000}"/>
    <cellStyle name="Normal 4 2 2 2 2 5 2" xfId="13744" xr:uid="{00000000-0005-0000-0000-00009B570000}"/>
    <cellStyle name="Normal 4 2 2 2 2 5 2 2" xfId="33796" xr:uid="{00000000-0005-0000-0000-00009C570000}"/>
    <cellStyle name="Normal 4 2 2 2 2 5 3" xfId="24766" xr:uid="{00000000-0005-0000-0000-00009D570000}"/>
    <cellStyle name="Normal 4 2 2 2 2 6" xfId="9262" xr:uid="{00000000-0005-0000-0000-00009E570000}"/>
    <cellStyle name="Normal 4 2 2 2 2 6 2" xfId="29314" xr:uid="{00000000-0005-0000-0000-00009F570000}"/>
    <cellStyle name="Normal 4 2 2 2 2 7" xfId="20284" xr:uid="{00000000-0005-0000-0000-0000A0570000}"/>
    <cellStyle name="Normal 4 2 2 2 3" xfId="418" xr:uid="{00000000-0005-0000-0000-0000A1570000}"/>
    <cellStyle name="Normal 4 2 2 2 3 2" xfId="1165" xr:uid="{00000000-0005-0000-0000-0000A2570000}"/>
    <cellStyle name="Normal 4 2 2 2 3 2 2" xfId="2659" xr:uid="{00000000-0005-0000-0000-0000A3570000}"/>
    <cellStyle name="Normal 4 2 2 2 3 2 2 2" xfId="7141" xr:uid="{00000000-0005-0000-0000-0000A4570000}"/>
    <cellStyle name="Normal 4 2 2 2 3 2 2 2 2" xfId="16171" xr:uid="{00000000-0005-0000-0000-0000A5570000}"/>
    <cellStyle name="Normal 4 2 2 2 3 2 2 2 2 2" xfId="36223" xr:uid="{00000000-0005-0000-0000-0000A6570000}"/>
    <cellStyle name="Normal 4 2 2 2 3 2 2 2 3" xfId="27193" xr:uid="{00000000-0005-0000-0000-0000A7570000}"/>
    <cellStyle name="Normal 4 2 2 2 3 2 2 3" xfId="11689" xr:uid="{00000000-0005-0000-0000-0000A8570000}"/>
    <cellStyle name="Normal 4 2 2 2 3 2 2 3 2" xfId="31741" xr:uid="{00000000-0005-0000-0000-0000A9570000}"/>
    <cellStyle name="Normal 4 2 2 2 3 2 2 4" xfId="22711" xr:uid="{00000000-0005-0000-0000-0000AA570000}"/>
    <cellStyle name="Normal 4 2 2 2 3 2 3" xfId="4153" xr:uid="{00000000-0005-0000-0000-0000AB570000}"/>
    <cellStyle name="Normal 4 2 2 2 3 2 3 2" xfId="8635" xr:uid="{00000000-0005-0000-0000-0000AC570000}"/>
    <cellStyle name="Normal 4 2 2 2 3 2 3 2 2" xfId="17665" xr:uid="{00000000-0005-0000-0000-0000AD570000}"/>
    <cellStyle name="Normal 4 2 2 2 3 2 3 2 2 2" xfId="37717" xr:uid="{00000000-0005-0000-0000-0000AE570000}"/>
    <cellStyle name="Normal 4 2 2 2 3 2 3 2 3" xfId="28687" xr:uid="{00000000-0005-0000-0000-0000AF570000}"/>
    <cellStyle name="Normal 4 2 2 2 3 2 3 3" xfId="13183" xr:uid="{00000000-0005-0000-0000-0000B0570000}"/>
    <cellStyle name="Normal 4 2 2 2 3 2 3 3 2" xfId="33235" xr:uid="{00000000-0005-0000-0000-0000B1570000}"/>
    <cellStyle name="Normal 4 2 2 2 3 2 3 4" xfId="24205" xr:uid="{00000000-0005-0000-0000-0000B2570000}"/>
    <cellStyle name="Normal 4 2 2 2 3 2 4" xfId="5647" xr:uid="{00000000-0005-0000-0000-0000B3570000}"/>
    <cellStyle name="Normal 4 2 2 2 3 2 4 2" xfId="14677" xr:uid="{00000000-0005-0000-0000-0000B4570000}"/>
    <cellStyle name="Normal 4 2 2 2 3 2 4 2 2" xfId="34729" xr:uid="{00000000-0005-0000-0000-0000B5570000}"/>
    <cellStyle name="Normal 4 2 2 2 3 2 4 3" xfId="25699" xr:uid="{00000000-0005-0000-0000-0000B6570000}"/>
    <cellStyle name="Normal 4 2 2 2 3 2 5" xfId="10195" xr:uid="{00000000-0005-0000-0000-0000B7570000}"/>
    <cellStyle name="Normal 4 2 2 2 3 2 5 2" xfId="30247" xr:uid="{00000000-0005-0000-0000-0000B8570000}"/>
    <cellStyle name="Normal 4 2 2 2 3 2 6" xfId="21217" xr:uid="{00000000-0005-0000-0000-0000B9570000}"/>
    <cellStyle name="Normal 4 2 2 2 3 3" xfId="1912" xr:uid="{00000000-0005-0000-0000-0000BA570000}"/>
    <cellStyle name="Normal 4 2 2 2 3 3 2" xfId="6394" xr:uid="{00000000-0005-0000-0000-0000BB570000}"/>
    <cellStyle name="Normal 4 2 2 2 3 3 2 2" xfId="15424" xr:uid="{00000000-0005-0000-0000-0000BC570000}"/>
    <cellStyle name="Normal 4 2 2 2 3 3 2 2 2" xfId="35476" xr:uid="{00000000-0005-0000-0000-0000BD570000}"/>
    <cellStyle name="Normal 4 2 2 2 3 3 2 3" xfId="26446" xr:uid="{00000000-0005-0000-0000-0000BE570000}"/>
    <cellStyle name="Normal 4 2 2 2 3 3 3" xfId="10942" xr:uid="{00000000-0005-0000-0000-0000BF570000}"/>
    <cellStyle name="Normal 4 2 2 2 3 3 3 2" xfId="30994" xr:uid="{00000000-0005-0000-0000-0000C0570000}"/>
    <cellStyle name="Normal 4 2 2 2 3 3 4" xfId="21964" xr:uid="{00000000-0005-0000-0000-0000C1570000}"/>
    <cellStyle name="Normal 4 2 2 2 3 4" xfId="3406" xr:uid="{00000000-0005-0000-0000-0000C2570000}"/>
    <cellStyle name="Normal 4 2 2 2 3 4 2" xfId="7888" xr:uid="{00000000-0005-0000-0000-0000C3570000}"/>
    <cellStyle name="Normal 4 2 2 2 3 4 2 2" xfId="16918" xr:uid="{00000000-0005-0000-0000-0000C4570000}"/>
    <cellStyle name="Normal 4 2 2 2 3 4 2 2 2" xfId="36970" xr:uid="{00000000-0005-0000-0000-0000C5570000}"/>
    <cellStyle name="Normal 4 2 2 2 3 4 2 3" xfId="27940" xr:uid="{00000000-0005-0000-0000-0000C6570000}"/>
    <cellStyle name="Normal 4 2 2 2 3 4 3" xfId="12436" xr:uid="{00000000-0005-0000-0000-0000C7570000}"/>
    <cellStyle name="Normal 4 2 2 2 3 4 3 2" xfId="32488" xr:uid="{00000000-0005-0000-0000-0000C8570000}"/>
    <cellStyle name="Normal 4 2 2 2 3 4 4" xfId="23458" xr:uid="{00000000-0005-0000-0000-0000C9570000}"/>
    <cellStyle name="Normal 4 2 2 2 3 5" xfId="4900" xr:uid="{00000000-0005-0000-0000-0000CA570000}"/>
    <cellStyle name="Normal 4 2 2 2 3 5 2" xfId="13930" xr:uid="{00000000-0005-0000-0000-0000CB570000}"/>
    <cellStyle name="Normal 4 2 2 2 3 5 2 2" xfId="33982" xr:uid="{00000000-0005-0000-0000-0000CC570000}"/>
    <cellStyle name="Normal 4 2 2 2 3 5 3" xfId="24952" xr:uid="{00000000-0005-0000-0000-0000CD570000}"/>
    <cellStyle name="Normal 4 2 2 2 3 6" xfId="9448" xr:uid="{00000000-0005-0000-0000-0000CE570000}"/>
    <cellStyle name="Normal 4 2 2 2 3 6 2" xfId="29500" xr:uid="{00000000-0005-0000-0000-0000CF570000}"/>
    <cellStyle name="Normal 4 2 2 2 3 7" xfId="20470" xr:uid="{00000000-0005-0000-0000-0000D0570000}"/>
    <cellStyle name="Normal 4 2 2 2 4" xfId="604" xr:uid="{00000000-0005-0000-0000-0000D1570000}"/>
    <cellStyle name="Normal 4 2 2 2 4 2" xfId="1351" xr:uid="{00000000-0005-0000-0000-0000D2570000}"/>
    <cellStyle name="Normal 4 2 2 2 4 2 2" xfId="2845" xr:uid="{00000000-0005-0000-0000-0000D3570000}"/>
    <cellStyle name="Normal 4 2 2 2 4 2 2 2" xfId="7327" xr:uid="{00000000-0005-0000-0000-0000D4570000}"/>
    <cellStyle name="Normal 4 2 2 2 4 2 2 2 2" xfId="16357" xr:uid="{00000000-0005-0000-0000-0000D5570000}"/>
    <cellStyle name="Normal 4 2 2 2 4 2 2 2 2 2" xfId="36409" xr:uid="{00000000-0005-0000-0000-0000D6570000}"/>
    <cellStyle name="Normal 4 2 2 2 4 2 2 2 3" xfId="27379" xr:uid="{00000000-0005-0000-0000-0000D7570000}"/>
    <cellStyle name="Normal 4 2 2 2 4 2 2 3" xfId="11875" xr:uid="{00000000-0005-0000-0000-0000D8570000}"/>
    <cellStyle name="Normal 4 2 2 2 4 2 2 3 2" xfId="31927" xr:uid="{00000000-0005-0000-0000-0000D9570000}"/>
    <cellStyle name="Normal 4 2 2 2 4 2 2 4" xfId="22897" xr:uid="{00000000-0005-0000-0000-0000DA570000}"/>
    <cellStyle name="Normal 4 2 2 2 4 2 3" xfId="4339" xr:uid="{00000000-0005-0000-0000-0000DB570000}"/>
    <cellStyle name="Normal 4 2 2 2 4 2 3 2" xfId="8821" xr:uid="{00000000-0005-0000-0000-0000DC570000}"/>
    <cellStyle name="Normal 4 2 2 2 4 2 3 2 2" xfId="17851" xr:uid="{00000000-0005-0000-0000-0000DD570000}"/>
    <cellStyle name="Normal 4 2 2 2 4 2 3 2 2 2" xfId="37903" xr:uid="{00000000-0005-0000-0000-0000DE570000}"/>
    <cellStyle name="Normal 4 2 2 2 4 2 3 2 3" xfId="28873" xr:uid="{00000000-0005-0000-0000-0000DF570000}"/>
    <cellStyle name="Normal 4 2 2 2 4 2 3 3" xfId="13369" xr:uid="{00000000-0005-0000-0000-0000E0570000}"/>
    <cellStyle name="Normal 4 2 2 2 4 2 3 3 2" xfId="33421" xr:uid="{00000000-0005-0000-0000-0000E1570000}"/>
    <cellStyle name="Normal 4 2 2 2 4 2 3 4" xfId="24391" xr:uid="{00000000-0005-0000-0000-0000E2570000}"/>
    <cellStyle name="Normal 4 2 2 2 4 2 4" xfId="5833" xr:uid="{00000000-0005-0000-0000-0000E3570000}"/>
    <cellStyle name="Normal 4 2 2 2 4 2 4 2" xfId="14863" xr:uid="{00000000-0005-0000-0000-0000E4570000}"/>
    <cellStyle name="Normal 4 2 2 2 4 2 4 2 2" xfId="34915" xr:uid="{00000000-0005-0000-0000-0000E5570000}"/>
    <cellStyle name="Normal 4 2 2 2 4 2 4 3" xfId="25885" xr:uid="{00000000-0005-0000-0000-0000E6570000}"/>
    <cellStyle name="Normal 4 2 2 2 4 2 5" xfId="10381" xr:uid="{00000000-0005-0000-0000-0000E7570000}"/>
    <cellStyle name="Normal 4 2 2 2 4 2 5 2" xfId="30433" xr:uid="{00000000-0005-0000-0000-0000E8570000}"/>
    <cellStyle name="Normal 4 2 2 2 4 2 6" xfId="21403" xr:uid="{00000000-0005-0000-0000-0000E9570000}"/>
    <cellStyle name="Normal 4 2 2 2 4 3" xfId="2098" xr:uid="{00000000-0005-0000-0000-0000EA570000}"/>
    <cellStyle name="Normal 4 2 2 2 4 3 2" xfId="6580" xr:uid="{00000000-0005-0000-0000-0000EB570000}"/>
    <cellStyle name="Normal 4 2 2 2 4 3 2 2" xfId="15610" xr:uid="{00000000-0005-0000-0000-0000EC570000}"/>
    <cellStyle name="Normal 4 2 2 2 4 3 2 2 2" xfId="35662" xr:uid="{00000000-0005-0000-0000-0000ED570000}"/>
    <cellStyle name="Normal 4 2 2 2 4 3 2 3" xfId="26632" xr:uid="{00000000-0005-0000-0000-0000EE570000}"/>
    <cellStyle name="Normal 4 2 2 2 4 3 3" xfId="11128" xr:uid="{00000000-0005-0000-0000-0000EF570000}"/>
    <cellStyle name="Normal 4 2 2 2 4 3 3 2" xfId="31180" xr:uid="{00000000-0005-0000-0000-0000F0570000}"/>
    <cellStyle name="Normal 4 2 2 2 4 3 4" xfId="22150" xr:uid="{00000000-0005-0000-0000-0000F1570000}"/>
    <cellStyle name="Normal 4 2 2 2 4 4" xfId="3592" xr:uid="{00000000-0005-0000-0000-0000F2570000}"/>
    <cellStyle name="Normal 4 2 2 2 4 4 2" xfId="8074" xr:uid="{00000000-0005-0000-0000-0000F3570000}"/>
    <cellStyle name="Normal 4 2 2 2 4 4 2 2" xfId="17104" xr:uid="{00000000-0005-0000-0000-0000F4570000}"/>
    <cellStyle name="Normal 4 2 2 2 4 4 2 2 2" xfId="37156" xr:uid="{00000000-0005-0000-0000-0000F5570000}"/>
    <cellStyle name="Normal 4 2 2 2 4 4 2 3" xfId="28126" xr:uid="{00000000-0005-0000-0000-0000F6570000}"/>
    <cellStyle name="Normal 4 2 2 2 4 4 3" xfId="12622" xr:uid="{00000000-0005-0000-0000-0000F7570000}"/>
    <cellStyle name="Normal 4 2 2 2 4 4 3 2" xfId="32674" xr:uid="{00000000-0005-0000-0000-0000F8570000}"/>
    <cellStyle name="Normal 4 2 2 2 4 4 4" xfId="23644" xr:uid="{00000000-0005-0000-0000-0000F9570000}"/>
    <cellStyle name="Normal 4 2 2 2 4 5" xfId="5086" xr:uid="{00000000-0005-0000-0000-0000FA570000}"/>
    <cellStyle name="Normal 4 2 2 2 4 5 2" xfId="14116" xr:uid="{00000000-0005-0000-0000-0000FB570000}"/>
    <cellStyle name="Normal 4 2 2 2 4 5 2 2" xfId="34168" xr:uid="{00000000-0005-0000-0000-0000FC570000}"/>
    <cellStyle name="Normal 4 2 2 2 4 5 3" xfId="25138" xr:uid="{00000000-0005-0000-0000-0000FD570000}"/>
    <cellStyle name="Normal 4 2 2 2 4 6" xfId="9634" xr:uid="{00000000-0005-0000-0000-0000FE570000}"/>
    <cellStyle name="Normal 4 2 2 2 4 6 2" xfId="29686" xr:uid="{00000000-0005-0000-0000-0000FF570000}"/>
    <cellStyle name="Normal 4 2 2 2 4 7" xfId="20656" xr:uid="{00000000-0005-0000-0000-000000580000}"/>
    <cellStyle name="Normal 4 2 2 2 5" xfId="791" xr:uid="{00000000-0005-0000-0000-000001580000}"/>
    <cellStyle name="Normal 4 2 2 2 5 2" xfId="2285" xr:uid="{00000000-0005-0000-0000-000002580000}"/>
    <cellStyle name="Normal 4 2 2 2 5 2 2" xfId="6767" xr:uid="{00000000-0005-0000-0000-000003580000}"/>
    <cellStyle name="Normal 4 2 2 2 5 2 2 2" xfId="15797" xr:uid="{00000000-0005-0000-0000-000004580000}"/>
    <cellStyle name="Normal 4 2 2 2 5 2 2 2 2" xfId="35849" xr:uid="{00000000-0005-0000-0000-000005580000}"/>
    <cellStyle name="Normal 4 2 2 2 5 2 2 3" xfId="26819" xr:uid="{00000000-0005-0000-0000-000006580000}"/>
    <cellStyle name="Normal 4 2 2 2 5 2 3" xfId="11315" xr:uid="{00000000-0005-0000-0000-000007580000}"/>
    <cellStyle name="Normal 4 2 2 2 5 2 3 2" xfId="31367" xr:uid="{00000000-0005-0000-0000-000008580000}"/>
    <cellStyle name="Normal 4 2 2 2 5 2 4" xfId="22337" xr:uid="{00000000-0005-0000-0000-000009580000}"/>
    <cellStyle name="Normal 4 2 2 2 5 3" xfId="3779" xr:uid="{00000000-0005-0000-0000-00000A580000}"/>
    <cellStyle name="Normal 4 2 2 2 5 3 2" xfId="8261" xr:uid="{00000000-0005-0000-0000-00000B580000}"/>
    <cellStyle name="Normal 4 2 2 2 5 3 2 2" xfId="17291" xr:uid="{00000000-0005-0000-0000-00000C580000}"/>
    <cellStyle name="Normal 4 2 2 2 5 3 2 2 2" xfId="37343" xr:uid="{00000000-0005-0000-0000-00000D580000}"/>
    <cellStyle name="Normal 4 2 2 2 5 3 2 3" xfId="28313" xr:uid="{00000000-0005-0000-0000-00000E580000}"/>
    <cellStyle name="Normal 4 2 2 2 5 3 3" xfId="12809" xr:uid="{00000000-0005-0000-0000-00000F580000}"/>
    <cellStyle name="Normal 4 2 2 2 5 3 3 2" xfId="32861" xr:uid="{00000000-0005-0000-0000-000010580000}"/>
    <cellStyle name="Normal 4 2 2 2 5 3 4" xfId="23831" xr:uid="{00000000-0005-0000-0000-000011580000}"/>
    <cellStyle name="Normal 4 2 2 2 5 4" xfId="5273" xr:uid="{00000000-0005-0000-0000-000012580000}"/>
    <cellStyle name="Normal 4 2 2 2 5 4 2" xfId="14303" xr:uid="{00000000-0005-0000-0000-000013580000}"/>
    <cellStyle name="Normal 4 2 2 2 5 4 2 2" xfId="34355" xr:uid="{00000000-0005-0000-0000-000014580000}"/>
    <cellStyle name="Normal 4 2 2 2 5 4 3" xfId="25325" xr:uid="{00000000-0005-0000-0000-000015580000}"/>
    <cellStyle name="Normal 4 2 2 2 5 5" xfId="9821" xr:uid="{00000000-0005-0000-0000-000016580000}"/>
    <cellStyle name="Normal 4 2 2 2 5 5 2" xfId="29873" xr:uid="{00000000-0005-0000-0000-000017580000}"/>
    <cellStyle name="Normal 4 2 2 2 5 6" xfId="20843" xr:uid="{00000000-0005-0000-0000-000018580000}"/>
    <cellStyle name="Normal 4 2 2 2 6" xfId="1540" xr:uid="{00000000-0005-0000-0000-000019580000}"/>
    <cellStyle name="Normal 4 2 2 2 6 2" xfId="6022" xr:uid="{00000000-0005-0000-0000-00001A580000}"/>
    <cellStyle name="Normal 4 2 2 2 6 2 2" xfId="15052" xr:uid="{00000000-0005-0000-0000-00001B580000}"/>
    <cellStyle name="Normal 4 2 2 2 6 2 2 2" xfId="35104" xr:uid="{00000000-0005-0000-0000-00001C580000}"/>
    <cellStyle name="Normal 4 2 2 2 6 2 3" xfId="26074" xr:uid="{00000000-0005-0000-0000-00001D580000}"/>
    <cellStyle name="Normal 4 2 2 2 6 3" xfId="10570" xr:uid="{00000000-0005-0000-0000-00001E580000}"/>
    <cellStyle name="Normal 4 2 2 2 6 3 2" xfId="30622" xr:uid="{00000000-0005-0000-0000-00001F580000}"/>
    <cellStyle name="Normal 4 2 2 2 6 4" xfId="21592" xr:uid="{00000000-0005-0000-0000-000020580000}"/>
    <cellStyle name="Normal 4 2 2 2 7" xfId="3034" xr:uid="{00000000-0005-0000-0000-000021580000}"/>
    <cellStyle name="Normal 4 2 2 2 7 2" xfId="7516" xr:uid="{00000000-0005-0000-0000-000022580000}"/>
    <cellStyle name="Normal 4 2 2 2 7 2 2" xfId="16546" xr:uid="{00000000-0005-0000-0000-000023580000}"/>
    <cellStyle name="Normal 4 2 2 2 7 2 2 2" xfId="36598" xr:uid="{00000000-0005-0000-0000-000024580000}"/>
    <cellStyle name="Normal 4 2 2 2 7 2 3" xfId="27568" xr:uid="{00000000-0005-0000-0000-000025580000}"/>
    <cellStyle name="Normal 4 2 2 2 7 3" xfId="12064" xr:uid="{00000000-0005-0000-0000-000026580000}"/>
    <cellStyle name="Normal 4 2 2 2 7 3 2" xfId="32116" xr:uid="{00000000-0005-0000-0000-000027580000}"/>
    <cellStyle name="Normal 4 2 2 2 7 4" xfId="23086" xr:uid="{00000000-0005-0000-0000-000028580000}"/>
    <cellStyle name="Normal 4 2 2 2 8" xfId="4528" xr:uid="{00000000-0005-0000-0000-000029580000}"/>
    <cellStyle name="Normal 4 2 2 2 8 2" xfId="13558" xr:uid="{00000000-0005-0000-0000-00002A580000}"/>
    <cellStyle name="Normal 4 2 2 2 8 2 2" xfId="33610" xr:uid="{00000000-0005-0000-0000-00002B580000}"/>
    <cellStyle name="Normal 4 2 2 2 8 3" xfId="24580" xr:uid="{00000000-0005-0000-0000-00002C580000}"/>
    <cellStyle name="Normal 4 2 2 2 9" xfId="9076" xr:uid="{00000000-0005-0000-0000-00002D580000}"/>
    <cellStyle name="Normal 4 2 2 2 9 2" xfId="29128" xr:uid="{00000000-0005-0000-0000-00002E580000}"/>
    <cellStyle name="Normal 4 2 2 3" xfId="69" xr:uid="{00000000-0005-0000-0000-00002F580000}"/>
    <cellStyle name="Normal 4 2 2 3 10" xfId="20121" xr:uid="{00000000-0005-0000-0000-000030580000}"/>
    <cellStyle name="Normal 4 2 2 3 2" xfId="255" xr:uid="{00000000-0005-0000-0000-000031580000}"/>
    <cellStyle name="Normal 4 2 2 3 2 2" xfId="1000" xr:uid="{00000000-0005-0000-0000-000032580000}"/>
    <cellStyle name="Normal 4 2 2 3 2 2 2" xfId="2494" xr:uid="{00000000-0005-0000-0000-000033580000}"/>
    <cellStyle name="Normal 4 2 2 3 2 2 2 2" xfId="6976" xr:uid="{00000000-0005-0000-0000-000034580000}"/>
    <cellStyle name="Normal 4 2 2 3 2 2 2 2 2" xfId="16006" xr:uid="{00000000-0005-0000-0000-000035580000}"/>
    <cellStyle name="Normal 4 2 2 3 2 2 2 2 2 2" xfId="36058" xr:uid="{00000000-0005-0000-0000-000036580000}"/>
    <cellStyle name="Normal 4 2 2 3 2 2 2 2 3" xfId="27028" xr:uid="{00000000-0005-0000-0000-000037580000}"/>
    <cellStyle name="Normal 4 2 2 3 2 2 2 3" xfId="11524" xr:uid="{00000000-0005-0000-0000-000038580000}"/>
    <cellStyle name="Normal 4 2 2 3 2 2 2 3 2" xfId="31576" xr:uid="{00000000-0005-0000-0000-000039580000}"/>
    <cellStyle name="Normal 4 2 2 3 2 2 2 4" xfId="22546" xr:uid="{00000000-0005-0000-0000-00003A580000}"/>
    <cellStyle name="Normal 4 2 2 3 2 2 3" xfId="3988" xr:uid="{00000000-0005-0000-0000-00003B580000}"/>
    <cellStyle name="Normal 4 2 2 3 2 2 3 2" xfId="8470" xr:uid="{00000000-0005-0000-0000-00003C580000}"/>
    <cellStyle name="Normal 4 2 2 3 2 2 3 2 2" xfId="17500" xr:uid="{00000000-0005-0000-0000-00003D580000}"/>
    <cellStyle name="Normal 4 2 2 3 2 2 3 2 2 2" xfId="37552" xr:uid="{00000000-0005-0000-0000-00003E580000}"/>
    <cellStyle name="Normal 4 2 2 3 2 2 3 2 3" xfId="28522" xr:uid="{00000000-0005-0000-0000-00003F580000}"/>
    <cellStyle name="Normal 4 2 2 3 2 2 3 3" xfId="13018" xr:uid="{00000000-0005-0000-0000-000040580000}"/>
    <cellStyle name="Normal 4 2 2 3 2 2 3 3 2" xfId="33070" xr:uid="{00000000-0005-0000-0000-000041580000}"/>
    <cellStyle name="Normal 4 2 2 3 2 2 3 4" xfId="24040" xr:uid="{00000000-0005-0000-0000-000042580000}"/>
    <cellStyle name="Normal 4 2 2 3 2 2 4" xfId="5482" xr:uid="{00000000-0005-0000-0000-000043580000}"/>
    <cellStyle name="Normal 4 2 2 3 2 2 4 2" xfId="14512" xr:uid="{00000000-0005-0000-0000-000044580000}"/>
    <cellStyle name="Normal 4 2 2 3 2 2 4 2 2" xfId="34564" xr:uid="{00000000-0005-0000-0000-000045580000}"/>
    <cellStyle name="Normal 4 2 2 3 2 2 4 3" xfId="25534" xr:uid="{00000000-0005-0000-0000-000046580000}"/>
    <cellStyle name="Normal 4 2 2 3 2 2 5" xfId="10030" xr:uid="{00000000-0005-0000-0000-000047580000}"/>
    <cellStyle name="Normal 4 2 2 3 2 2 5 2" xfId="30082" xr:uid="{00000000-0005-0000-0000-000048580000}"/>
    <cellStyle name="Normal 4 2 2 3 2 2 6" xfId="21052" xr:uid="{00000000-0005-0000-0000-000049580000}"/>
    <cellStyle name="Normal 4 2 2 3 2 3" xfId="1749" xr:uid="{00000000-0005-0000-0000-00004A580000}"/>
    <cellStyle name="Normal 4 2 2 3 2 3 2" xfId="6231" xr:uid="{00000000-0005-0000-0000-00004B580000}"/>
    <cellStyle name="Normal 4 2 2 3 2 3 2 2" xfId="15261" xr:uid="{00000000-0005-0000-0000-00004C580000}"/>
    <cellStyle name="Normal 4 2 2 3 2 3 2 2 2" xfId="35313" xr:uid="{00000000-0005-0000-0000-00004D580000}"/>
    <cellStyle name="Normal 4 2 2 3 2 3 2 3" xfId="26283" xr:uid="{00000000-0005-0000-0000-00004E580000}"/>
    <cellStyle name="Normal 4 2 2 3 2 3 3" xfId="10779" xr:uid="{00000000-0005-0000-0000-00004F580000}"/>
    <cellStyle name="Normal 4 2 2 3 2 3 3 2" xfId="30831" xr:uid="{00000000-0005-0000-0000-000050580000}"/>
    <cellStyle name="Normal 4 2 2 3 2 3 4" xfId="21801" xr:uid="{00000000-0005-0000-0000-000051580000}"/>
    <cellStyle name="Normal 4 2 2 3 2 4" xfId="3243" xr:uid="{00000000-0005-0000-0000-000052580000}"/>
    <cellStyle name="Normal 4 2 2 3 2 4 2" xfId="7725" xr:uid="{00000000-0005-0000-0000-000053580000}"/>
    <cellStyle name="Normal 4 2 2 3 2 4 2 2" xfId="16755" xr:uid="{00000000-0005-0000-0000-000054580000}"/>
    <cellStyle name="Normal 4 2 2 3 2 4 2 2 2" xfId="36807" xr:uid="{00000000-0005-0000-0000-000055580000}"/>
    <cellStyle name="Normal 4 2 2 3 2 4 2 3" xfId="27777" xr:uid="{00000000-0005-0000-0000-000056580000}"/>
    <cellStyle name="Normal 4 2 2 3 2 4 3" xfId="12273" xr:uid="{00000000-0005-0000-0000-000057580000}"/>
    <cellStyle name="Normal 4 2 2 3 2 4 3 2" xfId="32325" xr:uid="{00000000-0005-0000-0000-000058580000}"/>
    <cellStyle name="Normal 4 2 2 3 2 4 4" xfId="23295" xr:uid="{00000000-0005-0000-0000-000059580000}"/>
    <cellStyle name="Normal 4 2 2 3 2 5" xfId="4737" xr:uid="{00000000-0005-0000-0000-00005A580000}"/>
    <cellStyle name="Normal 4 2 2 3 2 5 2" xfId="13767" xr:uid="{00000000-0005-0000-0000-00005B580000}"/>
    <cellStyle name="Normal 4 2 2 3 2 5 2 2" xfId="33819" xr:uid="{00000000-0005-0000-0000-00005C580000}"/>
    <cellStyle name="Normal 4 2 2 3 2 5 3" xfId="24789" xr:uid="{00000000-0005-0000-0000-00005D580000}"/>
    <cellStyle name="Normal 4 2 2 3 2 6" xfId="9285" xr:uid="{00000000-0005-0000-0000-00005E580000}"/>
    <cellStyle name="Normal 4 2 2 3 2 6 2" xfId="29337" xr:uid="{00000000-0005-0000-0000-00005F580000}"/>
    <cellStyle name="Normal 4 2 2 3 2 7" xfId="20307" xr:uid="{00000000-0005-0000-0000-000060580000}"/>
    <cellStyle name="Normal 4 2 2 3 3" xfId="441" xr:uid="{00000000-0005-0000-0000-000061580000}"/>
    <cellStyle name="Normal 4 2 2 3 3 2" xfId="1188" xr:uid="{00000000-0005-0000-0000-000062580000}"/>
    <cellStyle name="Normal 4 2 2 3 3 2 2" xfId="2682" xr:uid="{00000000-0005-0000-0000-000063580000}"/>
    <cellStyle name="Normal 4 2 2 3 3 2 2 2" xfId="7164" xr:uid="{00000000-0005-0000-0000-000064580000}"/>
    <cellStyle name="Normal 4 2 2 3 3 2 2 2 2" xfId="16194" xr:uid="{00000000-0005-0000-0000-000065580000}"/>
    <cellStyle name="Normal 4 2 2 3 3 2 2 2 2 2" xfId="36246" xr:uid="{00000000-0005-0000-0000-000066580000}"/>
    <cellStyle name="Normal 4 2 2 3 3 2 2 2 3" xfId="27216" xr:uid="{00000000-0005-0000-0000-000067580000}"/>
    <cellStyle name="Normal 4 2 2 3 3 2 2 3" xfId="11712" xr:uid="{00000000-0005-0000-0000-000068580000}"/>
    <cellStyle name="Normal 4 2 2 3 3 2 2 3 2" xfId="31764" xr:uid="{00000000-0005-0000-0000-000069580000}"/>
    <cellStyle name="Normal 4 2 2 3 3 2 2 4" xfId="22734" xr:uid="{00000000-0005-0000-0000-00006A580000}"/>
    <cellStyle name="Normal 4 2 2 3 3 2 3" xfId="4176" xr:uid="{00000000-0005-0000-0000-00006B580000}"/>
    <cellStyle name="Normal 4 2 2 3 3 2 3 2" xfId="8658" xr:uid="{00000000-0005-0000-0000-00006C580000}"/>
    <cellStyle name="Normal 4 2 2 3 3 2 3 2 2" xfId="17688" xr:uid="{00000000-0005-0000-0000-00006D580000}"/>
    <cellStyle name="Normal 4 2 2 3 3 2 3 2 2 2" xfId="37740" xr:uid="{00000000-0005-0000-0000-00006E580000}"/>
    <cellStyle name="Normal 4 2 2 3 3 2 3 2 3" xfId="28710" xr:uid="{00000000-0005-0000-0000-00006F580000}"/>
    <cellStyle name="Normal 4 2 2 3 3 2 3 3" xfId="13206" xr:uid="{00000000-0005-0000-0000-000070580000}"/>
    <cellStyle name="Normal 4 2 2 3 3 2 3 3 2" xfId="33258" xr:uid="{00000000-0005-0000-0000-000071580000}"/>
    <cellStyle name="Normal 4 2 2 3 3 2 3 4" xfId="24228" xr:uid="{00000000-0005-0000-0000-000072580000}"/>
    <cellStyle name="Normal 4 2 2 3 3 2 4" xfId="5670" xr:uid="{00000000-0005-0000-0000-000073580000}"/>
    <cellStyle name="Normal 4 2 2 3 3 2 4 2" xfId="14700" xr:uid="{00000000-0005-0000-0000-000074580000}"/>
    <cellStyle name="Normal 4 2 2 3 3 2 4 2 2" xfId="34752" xr:uid="{00000000-0005-0000-0000-000075580000}"/>
    <cellStyle name="Normal 4 2 2 3 3 2 4 3" xfId="25722" xr:uid="{00000000-0005-0000-0000-000076580000}"/>
    <cellStyle name="Normal 4 2 2 3 3 2 5" xfId="10218" xr:uid="{00000000-0005-0000-0000-000077580000}"/>
    <cellStyle name="Normal 4 2 2 3 3 2 5 2" xfId="30270" xr:uid="{00000000-0005-0000-0000-000078580000}"/>
    <cellStyle name="Normal 4 2 2 3 3 2 6" xfId="21240" xr:uid="{00000000-0005-0000-0000-000079580000}"/>
    <cellStyle name="Normal 4 2 2 3 3 3" xfId="1935" xr:uid="{00000000-0005-0000-0000-00007A580000}"/>
    <cellStyle name="Normal 4 2 2 3 3 3 2" xfId="6417" xr:uid="{00000000-0005-0000-0000-00007B580000}"/>
    <cellStyle name="Normal 4 2 2 3 3 3 2 2" xfId="15447" xr:uid="{00000000-0005-0000-0000-00007C580000}"/>
    <cellStyle name="Normal 4 2 2 3 3 3 2 2 2" xfId="35499" xr:uid="{00000000-0005-0000-0000-00007D580000}"/>
    <cellStyle name="Normal 4 2 2 3 3 3 2 3" xfId="26469" xr:uid="{00000000-0005-0000-0000-00007E580000}"/>
    <cellStyle name="Normal 4 2 2 3 3 3 3" xfId="10965" xr:uid="{00000000-0005-0000-0000-00007F580000}"/>
    <cellStyle name="Normal 4 2 2 3 3 3 3 2" xfId="31017" xr:uid="{00000000-0005-0000-0000-000080580000}"/>
    <cellStyle name="Normal 4 2 2 3 3 3 4" xfId="21987" xr:uid="{00000000-0005-0000-0000-000081580000}"/>
    <cellStyle name="Normal 4 2 2 3 3 4" xfId="3429" xr:uid="{00000000-0005-0000-0000-000082580000}"/>
    <cellStyle name="Normal 4 2 2 3 3 4 2" xfId="7911" xr:uid="{00000000-0005-0000-0000-000083580000}"/>
    <cellStyle name="Normal 4 2 2 3 3 4 2 2" xfId="16941" xr:uid="{00000000-0005-0000-0000-000084580000}"/>
    <cellStyle name="Normal 4 2 2 3 3 4 2 2 2" xfId="36993" xr:uid="{00000000-0005-0000-0000-000085580000}"/>
    <cellStyle name="Normal 4 2 2 3 3 4 2 3" xfId="27963" xr:uid="{00000000-0005-0000-0000-000086580000}"/>
    <cellStyle name="Normal 4 2 2 3 3 4 3" xfId="12459" xr:uid="{00000000-0005-0000-0000-000087580000}"/>
    <cellStyle name="Normal 4 2 2 3 3 4 3 2" xfId="32511" xr:uid="{00000000-0005-0000-0000-000088580000}"/>
    <cellStyle name="Normal 4 2 2 3 3 4 4" xfId="23481" xr:uid="{00000000-0005-0000-0000-000089580000}"/>
    <cellStyle name="Normal 4 2 2 3 3 5" xfId="4923" xr:uid="{00000000-0005-0000-0000-00008A580000}"/>
    <cellStyle name="Normal 4 2 2 3 3 5 2" xfId="13953" xr:uid="{00000000-0005-0000-0000-00008B580000}"/>
    <cellStyle name="Normal 4 2 2 3 3 5 2 2" xfId="34005" xr:uid="{00000000-0005-0000-0000-00008C580000}"/>
    <cellStyle name="Normal 4 2 2 3 3 5 3" xfId="24975" xr:uid="{00000000-0005-0000-0000-00008D580000}"/>
    <cellStyle name="Normal 4 2 2 3 3 6" xfId="9471" xr:uid="{00000000-0005-0000-0000-00008E580000}"/>
    <cellStyle name="Normal 4 2 2 3 3 6 2" xfId="29523" xr:uid="{00000000-0005-0000-0000-00008F580000}"/>
    <cellStyle name="Normal 4 2 2 3 3 7" xfId="20493" xr:uid="{00000000-0005-0000-0000-000090580000}"/>
    <cellStyle name="Normal 4 2 2 3 4" xfId="627" xr:uid="{00000000-0005-0000-0000-000091580000}"/>
    <cellStyle name="Normal 4 2 2 3 4 2" xfId="1374" xr:uid="{00000000-0005-0000-0000-000092580000}"/>
    <cellStyle name="Normal 4 2 2 3 4 2 2" xfId="2868" xr:uid="{00000000-0005-0000-0000-000093580000}"/>
    <cellStyle name="Normal 4 2 2 3 4 2 2 2" xfId="7350" xr:uid="{00000000-0005-0000-0000-000094580000}"/>
    <cellStyle name="Normal 4 2 2 3 4 2 2 2 2" xfId="16380" xr:uid="{00000000-0005-0000-0000-000095580000}"/>
    <cellStyle name="Normal 4 2 2 3 4 2 2 2 2 2" xfId="36432" xr:uid="{00000000-0005-0000-0000-000096580000}"/>
    <cellStyle name="Normal 4 2 2 3 4 2 2 2 3" xfId="27402" xr:uid="{00000000-0005-0000-0000-000097580000}"/>
    <cellStyle name="Normal 4 2 2 3 4 2 2 3" xfId="11898" xr:uid="{00000000-0005-0000-0000-000098580000}"/>
    <cellStyle name="Normal 4 2 2 3 4 2 2 3 2" xfId="31950" xr:uid="{00000000-0005-0000-0000-000099580000}"/>
    <cellStyle name="Normal 4 2 2 3 4 2 2 4" xfId="22920" xr:uid="{00000000-0005-0000-0000-00009A580000}"/>
    <cellStyle name="Normal 4 2 2 3 4 2 3" xfId="4362" xr:uid="{00000000-0005-0000-0000-00009B580000}"/>
    <cellStyle name="Normal 4 2 2 3 4 2 3 2" xfId="8844" xr:uid="{00000000-0005-0000-0000-00009C580000}"/>
    <cellStyle name="Normal 4 2 2 3 4 2 3 2 2" xfId="17874" xr:uid="{00000000-0005-0000-0000-00009D580000}"/>
    <cellStyle name="Normal 4 2 2 3 4 2 3 2 2 2" xfId="37926" xr:uid="{00000000-0005-0000-0000-00009E580000}"/>
    <cellStyle name="Normal 4 2 2 3 4 2 3 2 3" xfId="28896" xr:uid="{00000000-0005-0000-0000-00009F580000}"/>
    <cellStyle name="Normal 4 2 2 3 4 2 3 3" xfId="13392" xr:uid="{00000000-0005-0000-0000-0000A0580000}"/>
    <cellStyle name="Normal 4 2 2 3 4 2 3 3 2" xfId="33444" xr:uid="{00000000-0005-0000-0000-0000A1580000}"/>
    <cellStyle name="Normal 4 2 2 3 4 2 3 4" xfId="24414" xr:uid="{00000000-0005-0000-0000-0000A2580000}"/>
    <cellStyle name="Normal 4 2 2 3 4 2 4" xfId="5856" xr:uid="{00000000-0005-0000-0000-0000A3580000}"/>
    <cellStyle name="Normal 4 2 2 3 4 2 4 2" xfId="14886" xr:uid="{00000000-0005-0000-0000-0000A4580000}"/>
    <cellStyle name="Normal 4 2 2 3 4 2 4 2 2" xfId="34938" xr:uid="{00000000-0005-0000-0000-0000A5580000}"/>
    <cellStyle name="Normal 4 2 2 3 4 2 4 3" xfId="25908" xr:uid="{00000000-0005-0000-0000-0000A6580000}"/>
    <cellStyle name="Normal 4 2 2 3 4 2 5" xfId="10404" xr:uid="{00000000-0005-0000-0000-0000A7580000}"/>
    <cellStyle name="Normal 4 2 2 3 4 2 5 2" xfId="30456" xr:uid="{00000000-0005-0000-0000-0000A8580000}"/>
    <cellStyle name="Normal 4 2 2 3 4 2 6" xfId="21426" xr:uid="{00000000-0005-0000-0000-0000A9580000}"/>
    <cellStyle name="Normal 4 2 2 3 4 3" xfId="2121" xr:uid="{00000000-0005-0000-0000-0000AA580000}"/>
    <cellStyle name="Normal 4 2 2 3 4 3 2" xfId="6603" xr:uid="{00000000-0005-0000-0000-0000AB580000}"/>
    <cellStyle name="Normal 4 2 2 3 4 3 2 2" xfId="15633" xr:uid="{00000000-0005-0000-0000-0000AC580000}"/>
    <cellStyle name="Normal 4 2 2 3 4 3 2 2 2" xfId="35685" xr:uid="{00000000-0005-0000-0000-0000AD580000}"/>
    <cellStyle name="Normal 4 2 2 3 4 3 2 3" xfId="26655" xr:uid="{00000000-0005-0000-0000-0000AE580000}"/>
    <cellStyle name="Normal 4 2 2 3 4 3 3" xfId="11151" xr:uid="{00000000-0005-0000-0000-0000AF580000}"/>
    <cellStyle name="Normal 4 2 2 3 4 3 3 2" xfId="31203" xr:uid="{00000000-0005-0000-0000-0000B0580000}"/>
    <cellStyle name="Normal 4 2 2 3 4 3 4" xfId="22173" xr:uid="{00000000-0005-0000-0000-0000B1580000}"/>
    <cellStyle name="Normal 4 2 2 3 4 4" xfId="3615" xr:uid="{00000000-0005-0000-0000-0000B2580000}"/>
    <cellStyle name="Normal 4 2 2 3 4 4 2" xfId="8097" xr:uid="{00000000-0005-0000-0000-0000B3580000}"/>
    <cellStyle name="Normal 4 2 2 3 4 4 2 2" xfId="17127" xr:uid="{00000000-0005-0000-0000-0000B4580000}"/>
    <cellStyle name="Normal 4 2 2 3 4 4 2 2 2" xfId="37179" xr:uid="{00000000-0005-0000-0000-0000B5580000}"/>
    <cellStyle name="Normal 4 2 2 3 4 4 2 3" xfId="28149" xr:uid="{00000000-0005-0000-0000-0000B6580000}"/>
    <cellStyle name="Normal 4 2 2 3 4 4 3" xfId="12645" xr:uid="{00000000-0005-0000-0000-0000B7580000}"/>
    <cellStyle name="Normal 4 2 2 3 4 4 3 2" xfId="32697" xr:uid="{00000000-0005-0000-0000-0000B8580000}"/>
    <cellStyle name="Normal 4 2 2 3 4 4 4" xfId="23667" xr:uid="{00000000-0005-0000-0000-0000B9580000}"/>
    <cellStyle name="Normal 4 2 2 3 4 5" xfId="5109" xr:uid="{00000000-0005-0000-0000-0000BA580000}"/>
    <cellStyle name="Normal 4 2 2 3 4 5 2" xfId="14139" xr:uid="{00000000-0005-0000-0000-0000BB580000}"/>
    <cellStyle name="Normal 4 2 2 3 4 5 2 2" xfId="34191" xr:uid="{00000000-0005-0000-0000-0000BC580000}"/>
    <cellStyle name="Normal 4 2 2 3 4 5 3" xfId="25161" xr:uid="{00000000-0005-0000-0000-0000BD580000}"/>
    <cellStyle name="Normal 4 2 2 3 4 6" xfId="9657" xr:uid="{00000000-0005-0000-0000-0000BE580000}"/>
    <cellStyle name="Normal 4 2 2 3 4 6 2" xfId="29709" xr:uid="{00000000-0005-0000-0000-0000BF580000}"/>
    <cellStyle name="Normal 4 2 2 3 4 7" xfId="20679" xr:uid="{00000000-0005-0000-0000-0000C0580000}"/>
    <cellStyle name="Normal 4 2 2 3 5" xfId="814" xr:uid="{00000000-0005-0000-0000-0000C1580000}"/>
    <cellStyle name="Normal 4 2 2 3 5 2" xfId="2308" xr:uid="{00000000-0005-0000-0000-0000C2580000}"/>
    <cellStyle name="Normal 4 2 2 3 5 2 2" xfId="6790" xr:uid="{00000000-0005-0000-0000-0000C3580000}"/>
    <cellStyle name="Normal 4 2 2 3 5 2 2 2" xfId="15820" xr:uid="{00000000-0005-0000-0000-0000C4580000}"/>
    <cellStyle name="Normal 4 2 2 3 5 2 2 2 2" xfId="35872" xr:uid="{00000000-0005-0000-0000-0000C5580000}"/>
    <cellStyle name="Normal 4 2 2 3 5 2 2 3" xfId="26842" xr:uid="{00000000-0005-0000-0000-0000C6580000}"/>
    <cellStyle name="Normal 4 2 2 3 5 2 3" xfId="11338" xr:uid="{00000000-0005-0000-0000-0000C7580000}"/>
    <cellStyle name="Normal 4 2 2 3 5 2 3 2" xfId="31390" xr:uid="{00000000-0005-0000-0000-0000C8580000}"/>
    <cellStyle name="Normal 4 2 2 3 5 2 4" xfId="22360" xr:uid="{00000000-0005-0000-0000-0000C9580000}"/>
    <cellStyle name="Normal 4 2 2 3 5 3" xfId="3802" xr:uid="{00000000-0005-0000-0000-0000CA580000}"/>
    <cellStyle name="Normal 4 2 2 3 5 3 2" xfId="8284" xr:uid="{00000000-0005-0000-0000-0000CB580000}"/>
    <cellStyle name="Normal 4 2 2 3 5 3 2 2" xfId="17314" xr:uid="{00000000-0005-0000-0000-0000CC580000}"/>
    <cellStyle name="Normal 4 2 2 3 5 3 2 2 2" xfId="37366" xr:uid="{00000000-0005-0000-0000-0000CD580000}"/>
    <cellStyle name="Normal 4 2 2 3 5 3 2 3" xfId="28336" xr:uid="{00000000-0005-0000-0000-0000CE580000}"/>
    <cellStyle name="Normal 4 2 2 3 5 3 3" xfId="12832" xr:uid="{00000000-0005-0000-0000-0000CF580000}"/>
    <cellStyle name="Normal 4 2 2 3 5 3 3 2" xfId="32884" xr:uid="{00000000-0005-0000-0000-0000D0580000}"/>
    <cellStyle name="Normal 4 2 2 3 5 3 4" xfId="23854" xr:uid="{00000000-0005-0000-0000-0000D1580000}"/>
    <cellStyle name="Normal 4 2 2 3 5 4" xfId="5296" xr:uid="{00000000-0005-0000-0000-0000D2580000}"/>
    <cellStyle name="Normal 4 2 2 3 5 4 2" xfId="14326" xr:uid="{00000000-0005-0000-0000-0000D3580000}"/>
    <cellStyle name="Normal 4 2 2 3 5 4 2 2" xfId="34378" xr:uid="{00000000-0005-0000-0000-0000D4580000}"/>
    <cellStyle name="Normal 4 2 2 3 5 4 3" xfId="25348" xr:uid="{00000000-0005-0000-0000-0000D5580000}"/>
    <cellStyle name="Normal 4 2 2 3 5 5" xfId="9844" xr:uid="{00000000-0005-0000-0000-0000D6580000}"/>
    <cellStyle name="Normal 4 2 2 3 5 5 2" xfId="29896" xr:uid="{00000000-0005-0000-0000-0000D7580000}"/>
    <cellStyle name="Normal 4 2 2 3 5 6" xfId="20866" xr:uid="{00000000-0005-0000-0000-0000D8580000}"/>
    <cellStyle name="Normal 4 2 2 3 6" xfId="1563" xr:uid="{00000000-0005-0000-0000-0000D9580000}"/>
    <cellStyle name="Normal 4 2 2 3 6 2" xfId="6045" xr:uid="{00000000-0005-0000-0000-0000DA580000}"/>
    <cellStyle name="Normal 4 2 2 3 6 2 2" xfId="15075" xr:uid="{00000000-0005-0000-0000-0000DB580000}"/>
    <cellStyle name="Normal 4 2 2 3 6 2 2 2" xfId="35127" xr:uid="{00000000-0005-0000-0000-0000DC580000}"/>
    <cellStyle name="Normal 4 2 2 3 6 2 3" xfId="26097" xr:uid="{00000000-0005-0000-0000-0000DD580000}"/>
    <cellStyle name="Normal 4 2 2 3 6 3" xfId="10593" xr:uid="{00000000-0005-0000-0000-0000DE580000}"/>
    <cellStyle name="Normal 4 2 2 3 6 3 2" xfId="30645" xr:uid="{00000000-0005-0000-0000-0000DF580000}"/>
    <cellStyle name="Normal 4 2 2 3 6 4" xfId="21615" xr:uid="{00000000-0005-0000-0000-0000E0580000}"/>
    <cellStyle name="Normal 4 2 2 3 7" xfId="3057" xr:uid="{00000000-0005-0000-0000-0000E1580000}"/>
    <cellStyle name="Normal 4 2 2 3 7 2" xfId="7539" xr:uid="{00000000-0005-0000-0000-0000E2580000}"/>
    <cellStyle name="Normal 4 2 2 3 7 2 2" xfId="16569" xr:uid="{00000000-0005-0000-0000-0000E3580000}"/>
    <cellStyle name="Normal 4 2 2 3 7 2 2 2" xfId="36621" xr:uid="{00000000-0005-0000-0000-0000E4580000}"/>
    <cellStyle name="Normal 4 2 2 3 7 2 3" xfId="27591" xr:uid="{00000000-0005-0000-0000-0000E5580000}"/>
    <cellStyle name="Normal 4 2 2 3 7 3" xfId="12087" xr:uid="{00000000-0005-0000-0000-0000E6580000}"/>
    <cellStyle name="Normal 4 2 2 3 7 3 2" xfId="32139" xr:uid="{00000000-0005-0000-0000-0000E7580000}"/>
    <cellStyle name="Normal 4 2 2 3 7 4" xfId="23109" xr:uid="{00000000-0005-0000-0000-0000E8580000}"/>
    <cellStyle name="Normal 4 2 2 3 8" xfId="4551" xr:uid="{00000000-0005-0000-0000-0000E9580000}"/>
    <cellStyle name="Normal 4 2 2 3 8 2" xfId="13581" xr:uid="{00000000-0005-0000-0000-0000EA580000}"/>
    <cellStyle name="Normal 4 2 2 3 8 2 2" xfId="33633" xr:uid="{00000000-0005-0000-0000-0000EB580000}"/>
    <cellStyle name="Normal 4 2 2 3 8 3" xfId="24603" xr:uid="{00000000-0005-0000-0000-0000EC580000}"/>
    <cellStyle name="Normal 4 2 2 3 9" xfId="9099" xr:uid="{00000000-0005-0000-0000-0000ED580000}"/>
    <cellStyle name="Normal 4 2 2 3 9 2" xfId="29151" xr:uid="{00000000-0005-0000-0000-0000EE580000}"/>
    <cellStyle name="Normal 4 2 2 4" xfId="93" xr:uid="{00000000-0005-0000-0000-0000EF580000}"/>
    <cellStyle name="Normal 4 2 2 4 10" xfId="20145" xr:uid="{00000000-0005-0000-0000-0000F0580000}"/>
    <cellStyle name="Normal 4 2 2 4 2" xfId="279" xr:uid="{00000000-0005-0000-0000-0000F1580000}"/>
    <cellStyle name="Normal 4 2 2 4 2 2" xfId="1023" xr:uid="{00000000-0005-0000-0000-0000F2580000}"/>
    <cellStyle name="Normal 4 2 2 4 2 2 2" xfId="2517" xr:uid="{00000000-0005-0000-0000-0000F3580000}"/>
    <cellStyle name="Normal 4 2 2 4 2 2 2 2" xfId="6999" xr:uid="{00000000-0005-0000-0000-0000F4580000}"/>
    <cellStyle name="Normal 4 2 2 4 2 2 2 2 2" xfId="16029" xr:uid="{00000000-0005-0000-0000-0000F5580000}"/>
    <cellStyle name="Normal 4 2 2 4 2 2 2 2 2 2" xfId="36081" xr:uid="{00000000-0005-0000-0000-0000F6580000}"/>
    <cellStyle name="Normal 4 2 2 4 2 2 2 2 3" xfId="27051" xr:uid="{00000000-0005-0000-0000-0000F7580000}"/>
    <cellStyle name="Normal 4 2 2 4 2 2 2 3" xfId="11547" xr:uid="{00000000-0005-0000-0000-0000F8580000}"/>
    <cellStyle name="Normal 4 2 2 4 2 2 2 3 2" xfId="31599" xr:uid="{00000000-0005-0000-0000-0000F9580000}"/>
    <cellStyle name="Normal 4 2 2 4 2 2 2 4" xfId="22569" xr:uid="{00000000-0005-0000-0000-0000FA580000}"/>
    <cellStyle name="Normal 4 2 2 4 2 2 3" xfId="4011" xr:uid="{00000000-0005-0000-0000-0000FB580000}"/>
    <cellStyle name="Normal 4 2 2 4 2 2 3 2" xfId="8493" xr:uid="{00000000-0005-0000-0000-0000FC580000}"/>
    <cellStyle name="Normal 4 2 2 4 2 2 3 2 2" xfId="17523" xr:uid="{00000000-0005-0000-0000-0000FD580000}"/>
    <cellStyle name="Normal 4 2 2 4 2 2 3 2 2 2" xfId="37575" xr:uid="{00000000-0005-0000-0000-0000FE580000}"/>
    <cellStyle name="Normal 4 2 2 4 2 2 3 2 3" xfId="28545" xr:uid="{00000000-0005-0000-0000-0000FF580000}"/>
    <cellStyle name="Normal 4 2 2 4 2 2 3 3" xfId="13041" xr:uid="{00000000-0005-0000-0000-000000590000}"/>
    <cellStyle name="Normal 4 2 2 4 2 2 3 3 2" xfId="33093" xr:uid="{00000000-0005-0000-0000-000001590000}"/>
    <cellStyle name="Normal 4 2 2 4 2 2 3 4" xfId="24063" xr:uid="{00000000-0005-0000-0000-000002590000}"/>
    <cellStyle name="Normal 4 2 2 4 2 2 4" xfId="5505" xr:uid="{00000000-0005-0000-0000-000003590000}"/>
    <cellStyle name="Normal 4 2 2 4 2 2 4 2" xfId="14535" xr:uid="{00000000-0005-0000-0000-000004590000}"/>
    <cellStyle name="Normal 4 2 2 4 2 2 4 2 2" xfId="34587" xr:uid="{00000000-0005-0000-0000-000005590000}"/>
    <cellStyle name="Normal 4 2 2 4 2 2 4 3" xfId="25557" xr:uid="{00000000-0005-0000-0000-000006590000}"/>
    <cellStyle name="Normal 4 2 2 4 2 2 5" xfId="10053" xr:uid="{00000000-0005-0000-0000-000007590000}"/>
    <cellStyle name="Normal 4 2 2 4 2 2 5 2" xfId="30105" xr:uid="{00000000-0005-0000-0000-000008590000}"/>
    <cellStyle name="Normal 4 2 2 4 2 2 6" xfId="21075" xr:uid="{00000000-0005-0000-0000-000009590000}"/>
    <cellStyle name="Normal 4 2 2 4 2 3" xfId="1773" xr:uid="{00000000-0005-0000-0000-00000A590000}"/>
    <cellStyle name="Normal 4 2 2 4 2 3 2" xfId="6255" xr:uid="{00000000-0005-0000-0000-00000B590000}"/>
    <cellStyle name="Normal 4 2 2 4 2 3 2 2" xfId="15285" xr:uid="{00000000-0005-0000-0000-00000C590000}"/>
    <cellStyle name="Normal 4 2 2 4 2 3 2 2 2" xfId="35337" xr:uid="{00000000-0005-0000-0000-00000D590000}"/>
    <cellStyle name="Normal 4 2 2 4 2 3 2 3" xfId="26307" xr:uid="{00000000-0005-0000-0000-00000E590000}"/>
    <cellStyle name="Normal 4 2 2 4 2 3 3" xfId="10803" xr:uid="{00000000-0005-0000-0000-00000F590000}"/>
    <cellStyle name="Normal 4 2 2 4 2 3 3 2" xfId="30855" xr:uid="{00000000-0005-0000-0000-000010590000}"/>
    <cellStyle name="Normal 4 2 2 4 2 3 4" xfId="21825" xr:uid="{00000000-0005-0000-0000-000011590000}"/>
    <cellStyle name="Normal 4 2 2 4 2 4" xfId="3267" xr:uid="{00000000-0005-0000-0000-000012590000}"/>
    <cellStyle name="Normal 4 2 2 4 2 4 2" xfId="7749" xr:uid="{00000000-0005-0000-0000-000013590000}"/>
    <cellStyle name="Normal 4 2 2 4 2 4 2 2" xfId="16779" xr:uid="{00000000-0005-0000-0000-000014590000}"/>
    <cellStyle name="Normal 4 2 2 4 2 4 2 2 2" xfId="36831" xr:uid="{00000000-0005-0000-0000-000015590000}"/>
    <cellStyle name="Normal 4 2 2 4 2 4 2 3" xfId="27801" xr:uid="{00000000-0005-0000-0000-000016590000}"/>
    <cellStyle name="Normal 4 2 2 4 2 4 3" xfId="12297" xr:uid="{00000000-0005-0000-0000-000017590000}"/>
    <cellStyle name="Normal 4 2 2 4 2 4 3 2" xfId="32349" xr:uid="{00000000-0005-0000-0000-000018590000}"/>
    <cellStyle name="Normal 4 2 2 4 2 4 4" xfId="23319" xr:uid="{00000000-0005-0000-0000-000019590000}"/>
    <cellStyle name="Normal 4 2 2 4 2 5" xfId="4761" xr:uid="{00000000-0005-0000-0000-00001A590000}"/>
    <cellStyle name="Normal 4 2 2 4 2 5 2" xfId="13791" xr:uid="{00000000-0005-0000-0000-00001B590000}"/>
    <cellStyle name="Normal 4 2 2 4 2 5 2 2" xfId="33843" xr:uid="{00000000-0005-0000-0000-00001C590000}"/>
    <cellStyle name="Normal 4 2 2 4 2 5 3" xfId="24813" xr:uid="{00000000-0005-0000-0000-00001D590000}"/>
    <cellStyle name="Normal 4 2 2 4 2 6" xfId="9309" xr:uid="{00000000-0005-0000-0000-00001E590000}"/>
    <cellStyle name="Normal 4 2 2 4 2 6 2" xfId="29361" xr:uid="{00000000-0005-0000-0000-00001F590000}"/>
    <cellStyle name="Normal 4 2 2 4 2 7" xfId="20331" xr:uid="{00000000-0005-0000-0000-000020590000}"/>
    <cellStyle name="Normal 4 2 2 4 3" xfId="465" xr:uid="{00000000-0005-0000-0000-000021590000}"/>
    <cellStyle name="Normal 4 2 2 4 3 2" xfId="1212" xr:uid="{00000000-0005-0000-0000-000022590000}"/>
    <cellStyle name="Normal 4 2 2 4 3 2 2" xfId="2706" xr:uid="{00000000-0005-0000-0000-000023590000}"/>
    <cellStyle name="Normal 4 2 2 4 3 2 2 2" xfId="7188" xr:uid="{00000000-0005-0000-0000-000024590000}"/>
    <cellStyle name="Normal 4 2 2 4 3 2 2 2 2" xfId="16218" xr:uid="{00000000-0005-0000-0000-000025590000}"/>
    <cellStyle name="Normal 4 2 2 4 3 2 2 2 2 2" xfId="36270" xr:uid="{00000000-0005-0000-0000-000026590000}"/>
    <cellStyle name="Normal 4 2 2 4 3 2 2 2 3" xfId="27240" xr:uid="{00000000-0005-0000-0000-000027590000}"/>
    <cellStyle name="Normal 4 2 2 4 3 2 2 3" xfId="11736" xr:uid="{00000000-0005-0000-0000-000028590000}"/>
    <cellStyle name="Normal 4 2 2 4 3 2 2 3 2" xfId="31788" xr:uid="{00000000-0005-0000-0000-000029590000}"/>
    <cellStyle name="Normal 4 2 2 4 3 2 2 4" xfId="22758" xr:uid="{00000000-0005-0000-0000-00002A590000}"/>
    <cellStyle name="Normal 4 2 2 4 3 2 3" xfId="4200" xr:uid="{00000000-0005-0000-0000-00002B590000}"/>
    <cellStyle name="Normal 4 2 2 4 3 2 3 2" xfId="8682" xr:uid="{00000000-0005-0000-0000-00002C590000}"/>
    <cellStyle name="Normal 4 2 2 4 3 2 3 2 2" xfId="17712" xr:uid="{00000000-0005-0000-0000-00002D590000}"/>
    <cellStyle name="Normal 4 2 2 4 3 2 3 2 2 2" xfId="37764" xr:uid="{00000000-0005-0000-0000-00002E590000}"/>
    <cellStyle name="Normal 4 2 2 4 3 2 3 2 3" xfId="28734" xr:uid="{00000000-0005-0000-0000-00002F590000}"/>
    <cellStyle name="Normal 4 2 2 4 3 2 3 3" xfId="13230" xr:uid="{00000000-0005-0000-0000-000030590000}"/>
    <cellStyle name="Normal 4 2 2 4 3 2 3 3 2" xfId="33282" xr:uid="{00000000-0005-0000-0000-000031590000}"/>
    <cellStyle name="Normal 4 2 2 4 3 2 3 4" xfId="24252" xr:uid="{00000000-0005-0000-0000-000032590000}"/>
    <cellStyle name="Normal 4 2 2 4 3 2 4" xfId="5694" xr:uid="{00000000-0005-0000-0000-000033590000}"/>
    <cellStyle name="Normal 4 2 2 4 3 2 4 2" xfId="14724" xr:uid="{00000000-0005-0000-0000-000034590000}"/>
    <cellStyle name="Normal 4 2 2 4 3 2 4 2 2" xfId="34776" xr:uid="{00000000-0005-0000-0000-000035590000}"/>
    <cellStyle name="Normal 4 2 2 4 3 2 4 3" xfId="25746" xr:uid="{00000000-0005-0000-0000-000036590000}"/>
    <cellStyle name="Normal 4 2 2 4 3 2 5" xfId="10242" xr:uid="{00000000-0005-0000-0000-000037590000}"/>
    <cellStyle name="Normal 4 2 2 4 3 2 5 2" xfId="30294" xr:uid="{00000000-0005-0000-0000-000038590000}"/>
    <cellStyle name="Normal 4 2 2 4 3 2 6" xfId="21264" xr:uid="{00000000-0005-0000-0000-000039590000}"/>
    <cellStyle name="Normal 4 2 2 4 3 3" xfId="1959" xr:uid="{00000000-0005-0000-0000-00003A590000}"/>
    <cellStyle name="Normal 4 2 2 4 3 3 2" xfId="6441" xr:uid="{00000000-0005-0000-0000-00003B590000}"/>
    <cellStyle name="Normal 4 2 2 4 3 3 2 2" xfId="15471" xr:uid="{00000000-0005-0000-0000-00003C590000}"/>
    <cellStyle name="Normal 4 2 2 4 3 3 2 2 2" xfId="35523" xr:uid="{00000000-0005-0000-0000-00003D590000}"/>
    <cellStyle name="Normal 4 2 2 4 3 3 2 3" xfId="26493" xr:uid="{00000000-0005-0000-0000-00003E590000}"/>
    <cellStyle name="Normal 4 2 2 4 3 3 3" xfId="10989" xr:uid="{00000000-0005-0000-0000-00003F590000}"/>
    <cellStyle name="Normal 4 2 2 4 3 3 3 2" xfId="31041" xr:uid="{00000000-0005-0000-0000-000040590000}"/>
    <cellStyle name="Normal 4 2 2 4 3 3 4" xfId="22011" xr:uid="{00000000-0005-0000-0000-000041590000}"/>
    <cellStyle name="Normal 4 2 2 4 3 4" xfId="3453" xr:uid="{00000000-0005-0000-0000-000042590000}"/>
    <cellStyle name="Normal 4 2 2 4 3 4 2" xfId="7935" xr:uid="{00000000-0005-0000-0000-000043590000}"/>
    <cellStyle name="Normal 4 2 2 4 3 4 2 2" xfId="16965" xr:uid="{00000000-0005-0000-0000-000044590000}"/>
    <cellStyle name="Normal 4 2 2 4 3 4 2 2 2" xfId="37017" xr:uid="{00000000-0005-0000-0000-000045590000}"/>
    <cellStyle name="Normal 4 2 2 4 3 4 2 3" xfId="27987" xr:uid="{00000000-0005-0000-0000-000046590000}"/>
    <cellStyle name="Normal 4 2 2 4 3 4 3" xfId="12483" xr:uid="{00000000-0005-0000-0000-000047590000}"/>
    <cellStyle name="Normal 4 2 2 4 3 4 3 2" xfId="32535" xr:uid="{00000000-0005-0000-0000-000048590000}"/>
    <cellStyle name="Normal 4 2 2 4 3 4 4" xfId="23505" xr:uid="{00000000-0005-0000-0000-000049590000}"/>
    <cellStyle name="Normal 4 2 2 4 3 5" xfId="4947" xr:uid="{00000000-0005-0000-0000-00004A590000}"/>
    <cellStyle name="Normal 4 2 2 4 3 5 2" xfId="13977" xr:uid="{00000000-0005-0000-0000-00004B590000}"/>
    <cellStyle name="Normal 4 2 2 4 3 5 2 2" xfId="34029" xr:uid="{00000000-0005-0000-0000-00004C590000}"/>
    <cellStyle name="Normal 4 2 2 4 3 5 3" xfId="24999" xr:uid="{00000000-0005-0000-0000-00004D590000}"/>
    <cellStyle name="Normal 4 2 2 4 3 6" xfId="9495" xr:uid="{00000000-0005-0000-0000-00004E590000}"/>
    <cellStyle name="Normal 4 2 2 4 3 6 2" xfId="29547" xr:uid="{00000000-0005-0000-0000-00004F590000}"/>
    <cellStyle name="Normal 4 2 2 4 3 7" xfId="20517" xr:uid="{00000000-0005-0000-0000-000050590000}"/>
    <cellStyle name="Normal 4 2 2 4 4" xfId="651" xr:uid="{00000000-0005-0000-0000-000051590000}"/>
    <cellStyle name="Normal 4 2 2 4 4 2" xfId="1398" xr:uid="{00000000-0005-0000-0000-000052590000}"/>
    <cellStyle name="Normal 4 2 2 4 4 2 2" xfId="2892" xr:uid="{00000000-0005-0000-0000-000053590000}"/>
    <cellStyle name="Normal 4 2 2 4 4 2 2 2" xfId="7374" xr:uid="{00000000-0005-0000-0000-000054590000}"/>
    <cellStyle name="Normal 4 2 2 4 4 2 2 2 2" xfId="16404" xr:uid="{00000000-0005-0000-0000-000055590000}"/>
    <cellStyle name="Normal 4 2 2 4 4 2 2 2 2 2" xfId="36456" xr:uid="{00000000-0005-0000-0000-000056590000}"/>
    <cellStyle name="Normal 4 2 2 4 4 2 2 2 3" xfId="27426" xr:uid="{00000000-0005-0000-0000-000057590000}"/>
    <cellStyle name="Normal 4 2 2 4 4 2 2 3" xfId="11922" xr:uid="{00000000-0005-0000-0000-000058590000}"/>
    <cellStyle name="Normal 4 2 2 4 4 2 2 3 2" xfId="31974" xr:uid="{00000000-0005-0000-0000-000059590000}"/>
    <cellStyle name="Normal 4 2 2 4 4 2 2 4" xfId="22944" xr:uid="{00000000-0005-0000-0000-00005A590000}"/>
    <cellStyle name="Normal 4 2 2 4 4 2 3" xfId="4386" xr:uid="{00000000-0005-0000-0000-00005B590000}"/>
    <cellStyle name="Normal 4 2 2 4 4 2 3 2" xfId="8868" xr:uid="{00000000-0005-0000-0000-00005C590000}"/>
    <cellStyle name="Normal 4 2 2 4 4 2 3 2 2" xfId="17898" xr:uid="{00000000-0005-0000-0000-00005D590000}"/>
    <cellStyle name="Normal 4 2 2 4 4 2 3 2 2 2" xfId="37950" xr:uid="{00000000-0005-0000-0000-00005E590000}"/>
    <cellStyle name="Normal 4 2 2 4 4 2 3 2 3" xfId="28920" xr:uid="{00000000-0005-0000-0000-00005F590000}"/>
    <cellStyle name="Normal 4 2 2 4 4 2 3 3" xfId="13416" xr:uid="{00000000-0005-0000-0000-000060590000}"/>
    <cellStyle name="Normal 4 2 2 4 4 2 3 3 2" xfId="33468" xr:uid="{00000000-0005-0000-0000-000061590000}"/>
    <cellStyle name="Normal 4 2 2 4 4 2 3 4" xfId="24438" xr:uid="{00000000-0005-0000-0000-000062590000}"/>
    <cellStyle name="Normal 4 2 2 4 4 2 4" xfId="5880" xr:uid="{00000000-0005-0000-0000-000063590000}"/>
    <cellStyle name="Normal 4 2 2 4 4 2 4 2" xfId="14910" xr:uid="{00000000-0005-0000-0000-000064590000}"/>
    <cellStyle name="Normal 4 2 2 4 4 2 4 2 2" xfId="34962" xr:uid="{00000000-0005-0000-0000-000065590000}"/>
    <cellStyle name="Normal 4 2 2 4 4 2 4 3" xfId="25932" xr:uid="{00000000-0005-0000-0000-000066590000}"/>
    <cellStyle name="Normal 4 2 2 4 4 2 5" xfId="10428" xr:uid="{00000000-0005-0000-0000-000067590000}"/>
    <cellStyle name="Normal 4 2 2 4 4 2 5 2" xfId="30480" xr:uid="{00000000-0005-0000-0000-000068590000}"/>
    <cellStyle name="Normal 4 2 2 4 4 2 6" xfId="21450" xr:uid="{00000000-0005-0000-0000-000069590000}"/>
    <cellStyle name="Normal 4 2 2 4 4 3" xfId="2145" xr:uid="{00000000-0005-0000-0000-00006A590000}"/>
    <cellStyle name="Normal 4 2 2 4 4 3 2" xfId="6627" xr:uid="{00000000-0005-0000-0000-00006B590000}"/>
    <cellStyle name="Normal 4 2 2 4 4 3 2 2" xfId="15657" xr:uid="{00000000-0005-0000-0000-00006C590000}"/>
    <cellStyle name="Normal 4 2 2 4 4 3 2 2 2" xfId="35709" xr:uid="{00000000-0005-0000-0000-00006D590000}"/>
    <cellStyle name="Normal 4 2 2 4 4 3 2 3" xfId="26679" xr:uid="{00000000-0005-0000-0000-00006E590000}"/>
    <cellStyle name="Normal 4 2 2 4 4 3 3" xfId="11175" xr:uid="{00000000-0005-0000-0000-00006F590000}"/>
    <cellStyle name="Normal 4 2 2 4 4 3 3 2" xfId="31227" xr:uid="{00000000-0005-0000-0000-000070590000}"/>
    <cellStyle name="Normal 4 2 2 4 4 3 4" xfId="22197" xr:uid="{00000000-0005-0000-0000-000071590000}"/>
    <cellStyle name="Normal 4 2 2 4 4 4" xfId="3639" xr:uid="{00000000-0005-0000-0000-000072590000}"/>
    <cellStyle name="Normal 4 2 2 4 4 4 2" xfId="8121" xr:uid="{00000000-0005-0000-0000-000073590000}"/>
    <cellStyle name="Normal 4 2 2 4 4 4 2 2" xfId="17151" xr:uid="{00000000-0005-0000-0000-000074590000}"/>
    <cellStyle name="Normal 4 2 2 4 4 4 2 2 2" xfId="37203" xr:uid="{00000000-0005-0000-0000-000075590000}"/>
    <cellStyle name="Normal 4 2 2 4 4 4 2 3" xfId="28173" xr:uid="{00000000-0005-0000-0000-000076590000}"/>
    <cellStyle name="Normal 4 2 2 4 4 4 3" xfId="12669" xr:uid="{00000000-0005-0000-0000-000077590000}"/>
    <cellStyle name="Normal 4 2 2 4 4 4 3 2" xfId="32721" xr:uid="{00000000-0005-0000-0000-000078590000}"/>
    <cellStyle name="Normal 4 2 2 4 4 4 4" xfId="23691" xr:uid="{00000000-0005-0000-0000-000079590000}"/>
    <cellStyle name="Normal 4 2 2 4 4 5" xfId="5133" xr:uid="{00000000-0005-0000-0000-00007A590000}"/>
    <cellStyle name="Normal 4 2 2 4 4 5 2" xfId="14163" xr:uid="{00000000-0005-0000-0000-00007B590000}"/>
    <cellStyle name="Normal 4 2 2 4 4 5 2 2" xfId="34215" xr:uid="{00000000-0005-0000-0000-00007C590000}"/>
    <cellStyle name="Normal 4 2 2 4 4 5 3" xfId="25185" xr:uid="{00000000-0005-0000-0000-00007D590000}"/>
    <cellStyle name="Normal 4 2 2 4 4 6" xfId="9681" xr:uid="{00000000-0005-0000-0000-00007E590000}"/>
    <cellStyle name="Normal 4 2 2 4 4 6 2" xfId="29733" xr:uid="{00000000-0005-0000-0000-00007F590000}"/>
    <cellStyle name="Normal 4 2 2 4 4 7" xfId="20703" xr:uid="{00000000-0005-0000-0000-000080590000}"/>
    <cellStyle name="Normal 4 2 2 4 5" xfId="838" xr:uid="{00000000-0005-0000-0000-000081590000}"/>
    <cellStyle name="Normal 4 2 2 4 5 2" xfId="2332" xr:uid="{00000000-0005-0000-0000-000082590000}"/>
    <cellStyle name="Normal 4 2 2 4 5 2 2" xfId="6814" xr:uid="{00000000-0005-0000-0000-000083590000}"/>
    <cellStyle name="Normal 4 2 2 4 5 2 2 2" xfId="15844" xr:uid="{00000000-0005-0000-0000-000084590000}"/>
    <cellStyle name="Normal 4 2 2 4 5 2 2 2 2" xfId="35896" xr:uid="{00000000-0005-0000-0000-000085590000}"/>
    <cellStyle name="Normal 4 2 2 4 5 2 2 3" xfId="26866" xr:uid="{00000000-0005-0000-0000-000086590000}"/>
    <cellStyle name="Normal 4 2 2 4 5 2 3" xfId="11362" xr:uid="{00000000-0005-0000-0000-000087590000}"/>
    <cellStyle name="Normal 4 2 2 4 5 2 3 2" xfId="31414" xr:uid="{00000000-0005-0000-0000-000088590000}"/>
    <cellStyle name="Normal 4 2 2 4 5 2 4" xfId="22384" xr:uid="{00000000-0005-0000-0000-000089590000}"/>
    <cellStyle name="Normal 4 2 2 4 5 3" xfId="3826" xr:uid="{00000000-0005-0000-0000-00008A590000}"/>
    <cellStyle name="Normal 4 2 2 4 5 3 2" xfId="8308" xr:uid="{00000000-0005-0000-0000-00008B590000}"/>
    <cellStyle name="Normal 4 2 2 4 5 3 2 2" xfId="17338" xr:uid="{00000000-0005-0000-0000-00008C590000}"/>
    <cellStyle name="Normal 4 2 2 4 5 3 2 2 2" xfId="37390" xr:uid="{00000000-0005-0000-0000-00008D590000}"/>
    <cellStyle name="Normal 4 2 2 4 5 3 2 3" xfId="28360" xr:uid="{00000000-0005-0000-0000-00008E590000}"/>
    <cellStyle name="Normal 4 2 2 4 5 3 3" xfId="12856" xr:uid="{00000000-0005-0000-0000-00008F590000}"/>
    <cellStyle name="Normal 4 2 2 4 5 3 3 2" xfId="32908" xr:uid="{00000000-0005-0000-0000-000090590000}"/>
    <cellStyle name="Normal 4 2 2 4 5 3 4" xfId="23878" xr:uid="{00000000-0005-0000-0000-000091590000}"/>
    <cellStyle name="Normal 4 2 2 4 5 4" xfId="5320" xr:uid="{00000000-0005-0000-0000-000092590000}"/>
    <cellStyle name="Normal 4 2 2 4 5 4 2" xfId="14350" xr:uid="{00000000-0005-0000-0000-000093590000}"/>
    <cellStyle name="Normal 4 2 2 4 5 4 2 2" xfId="34402" xr:uid="{00000000-0005-0000-0000-000094590000}"/>
    <cellStyle name="Normal 4 2 2 4 5 4 3" xfId="25372" xr:uid="{00000000-0005-0000-0000-000095590000}"/>
    <cellStyle name="Normal 4 2 2 4 5 5" xfId="9868" xr:uid="{00000000-0005-0000-0000-000096590000}"/>
    <cellStyle name="Normal 4 2 2 4 5 5 2" xfId="29920" xr:uid="{00000000-0005-0000-0000-000097590000}"/>
    <cellStyle name="Normal 4 2 2 4 5 6" xfId="20890" xr:uid="{00000000-0005-0000-0000-000098590000}"/>
    <cellStyle name="Normal 4 2 2 4 6" xfId="1587" xr:uid="{00000000-0005-0000-0000-000099590000}"/>
    <cellStyle name="Normal 4 2 2 4 6 2" xfId="6069" xr:uid="{00000000-0005-0000-0000-00009A590000}"/>
    <cellStyle name="Normal 4 2 2 4 6 2 2" xfId="15099" xr:uid="{00000000-0005-0000-0000-00009B590000}"/>
    <cellStyle name="Normal 4 2 2 4 6 2 2 2" xfId="35151" xr:uid="{00000000-0005-0000-0000-00009C590000}"/>
    <cellStyle name="Normal 4 2 2 4 6 2 3" xfId="26121" xr:uid="{00000000-0005-0000-0000-00009D590000}"/>
    <cellStyle name="Normal 4 2 2 4 6 3" xfId="10617" xr:uid="{00000000-0005-0000-0000-00009E590000}"/>
    <cellStyle name="Normal 4 2 2 4 6 3 2" xfId="30669" xr:uid="{00000000-0005-0000-0000-00009F590000}"/>
    <cellStyle name="Normal 4 2 2 4 6 4" xfId="21639" xr:uid="{00000000-0005-0000-0000-0000A0590000}"/>
    <cellStyle name="Normal 4 2 2 4 7" xfId="3081" xr:uid="{00000000-0005-0000-0000-0000A1590000}"/>
    <cellStyle name="Normal 4 2 2 4 7 2" xfId="7563" xr:uid="{00000000-0005-0000-0000-0000A2590000}"/>
    <cellStyle name="Normal 4 2 2 4 7 2 2" xfId="16593" xr:uid="{00000000-0005-0000-0000-0000A3590000}"/>
    <cellStyle name="Normal 4 2 2 4 7 2 2 2" xfId="36645" xr:uid="{00000000-0005-0000-0000-0000A4590000}"/>
    <cellStyle name="Normal 4 2 2 4 7 2 3" xfId="27615" xr:uid="{00000000-0005-0000-0000-0000A5590000}"/>
    <cellStyle name="Normal 4 2 2 4 7 3" xfId="12111" xr:uid="{00000000-0005-0000-0000-0000A6590000}"/>
    <cellStyle name="Normal 4 2 2 4 7 3 2" xfId="32163" xr:uid="{00000000-0005-0000-0000-0000A7590000}"/>
    <cellStyle name="Normal 4 2 2 4 7 4" xfId="23133" xr:uid="{00000000-0005-0000-0000-0000A8590000}"/>
    <cellStyle name="Normal 4 2 2 4 8" xfId="4575" xr:uid="{00000000-0005-0000-0000-0000A9590000}"/>
    <cellStyle name="Normal 4 2 2 4 8 2" xfId="13605" xr:uid="{00000000-0005-0000-0000-0000AA590000}"/>
    <cellStyle name="Normal 4 2 2 4 8 2 2" xfId="33657" xr:uid="{00000000-0005-0000-0000-0000AB590000}"/>
    <cellStyle name="Normal 4 2 2 4 8 3" xfId="24627" xr:uid="{00000000-0005-0000-0000-0000AC590000}"/>
    <cellStyle name="Normal 4 2 2 4 9" xfId="9123" xr:uid="{00000000-0005-0000-0000-0000AD590000}"/>
    <cellStyle name="Normal 4 2 2 4 9 2" xfId="29175" xr:uid="{00000000-0005-0000-0000-0000AE590000}"/>
    <cellStyle name="Normal 4 2 2 5" xfId="115" xr:uid="{00000000-0005-0000-0000-0000AF590000}"/>
    <cellStyle name="Normal 4 2 2 5 10" xfId="20167" xr:uid="{00000000-0005-0000-0000-0000B0590000}"/>
    <cellStyle name="Normal 4 2 2 5 2" xfId="301" xr:uid="{00000000-0005-0000-0000-0000B1590000}"/>
    <cellStyle name="Normal 4 2 2 5 2 2" xfId="1044" xr:uid="{00000000-0005-0000-0000-0000B2590000}"/>
    <cellStyle name="Normal 4 2 2 5 2 2 2" xfId="2538" xr:uid="{00000000-0005-0000-0000-0000B3590000}"/>
    <cellStyle name="Normal 4 2 2 5 2 2 2 2" xfId="7020" xr:uid="{00000000-0005-0000-0000-0000B4590000}"/>
    <cellStyle name="Normal 4 2 2 5 2 2 2 2 2" xfId="16050" xr:uid="{00000000-0005-0000-0000-0000B5590000}"/>
    <cellStyle name="Normal 4 2 2 5 2 2 2 2 2 2" xfId="36102" xr:uid="{00000000-0005-0000-0000-0000B6590000}"/>
    <cellStyle name="Normal 4 2 2 5 2 2 2 2 3" xfId="27072" xr:uid="{00000000-0005-0000-0000-0000B7590000}"/>
    <cellStyle name="Normal 4 2 2 5 2 2 2 3" xfId="11568" xr:uid="{00000000-0005-0000-0000-0000B8590000}"/>
    <cellStyle name="Normal 4 2 2 5 2 2 2 3 2" xfId="31620" xr:uid="{00000000-0005-0000-0000-0000B9590000}"/>
    <cellStyle name="Normal 4 2 2 5 2 2 2 4" xfId="22590" xr:uid="{00000000-0005-0000-0000-0000BA590000}"/>
    <cellStyle name="Normal 4 2 2 5 2 2 3" xfId="4032" xr:uid="{00000000-0005-0000-0000-0000BB590000}"/>
    <cellStyle name="Normal 4 2 2 5 2 2 3 2" xfId="8514" xr:uid="{00000000-0005-0000-0000-0000BC590000}"/>
    <cellStyle name="Normal 4 2 2 5 2 2 3 2 2" xfId="17544" xr:uid="{00000000-0005-0000-0000-0000BD590000}"/>
    <cellStyle name="Normal 4 2 2 5 2 2 3 2 2 2" xfId="37596" xr:uid="{00000000-0005-0000-0000-0000BE590000}"/>
    <cellStyle name="Normal 4 2 2 5 2 2 3 2 3" xfId="28566" xr:uid="{00000000-0005-0000-0000-0000BF590000}"/>
    <cellStyle name="Normal 4 2 2 5 2 2 3 3" xfId="13062" xr:uid="{00000000-0005-0000-0000-0000C0590000}"/>
    <cellStyle name="Normal 4 2 2 5 2 2 3 3 2" xfId="33114" xr:uid="{00000000-0005-0000-0000-0000C1590000}"/>
    <cellStyle name="Normal 4 2 2 5 2 2 3 4" xfId="24084" xr:uid="{00000000-0005-0000-0000-0000C2590000}"/>
    <cellStyle name="Normal 4 2 2 5 2 2 4" xfId="5526" xr:uid="{00000000-0005-0000-0000-0000C3590000}"/>
    <cellStyle name="Normal 4 2 2 5 2 2 4 2" xfId="14556" xr:uid="{00000000-0005-0000-0000-0000C4590000}"/>
    <cellStyle name="Normal 4 2 2 5 2 2 4 2 2" xfId="34608" xr:uid="{00000000-0005-0000-0000-0000C5590000}"/>
    <cellStyle name="Normal 4 2 2 5 2 2 4 3" xfId="25578" xr:uid="{00000000-0005-0000-0000-0000C6590000}"/>
    <cellStyle name="Normal 4 2 2 5 2 2 5" xfId="10074" xr:uid="{00000000-0005-0000-0000-0000C7590000}"/>
    <cellStyle name="Normal 4 2 2 5 2 2 5 2" xfId="30126" xr:uid="{00000000-0005-0000-0000-0000C8590000}"/>
    <cellStyle name="Normal 4 2 2 5 2 2 6" xfId="21096" xr:uid="{00000000-0005-0000-0000-0000C9590000}"/>
    <cellStyle name="Normal 4 2 2 5 2 3" xfId="1795" xr:uid="{00000000-0005-0000-0000-0000CA590000}"/>
    <cellStyle name="Normal 4 2 2 5 2 3 2" xfId="6277" xr:uid="{00000000-0005-0000-0000-0000CB590000}"/>
    <cellStyle name="Normal 4 2 2 5 2 3 2 2" xfId="15307" xr:uid="{00000000-0005-0000-0000-0000CC590000}"/>
    <cellStyle name="Normal 4 2 2 5 2 3 2 2 2" xfId="35359" xr:uid="{00000000-0005-0000-0000-0000CD590000}"/>
    <cellStyle name="Normal 4 2 2 5 2 3 2 3" xfId="26329" xr:uid="{00000000-0005-0000-0000-0000CE590000}"/>
    <cellStyle name="Normal 4 2 2 5 2 3 3" xfId="10825" xr:uid="{00000000-0005-0000-0000-0000CF590000}"/>
    <cellStyle name="Normal 4 2 2 5 2 3 3 2" xfId="30877" xr:uid="{00000000-0005-0000-0000-0000D0590000}"/>
    <cellStyle name="Normal 4 2 2 5 2 3 4" xfId="21847" xr:uid="{00000000-0005-0000-0000-0000D1590000}"/>
    <cellStyle name="Normal 4 2 2 5 2 4" xfId="3289" xr:uid="{00000000-0005-0000-0000-0000D2590000}"/>
    <cellStyle name="Normal 4 2 2 5 2 4 2" xfId="7771" xr:uid="{00000000-0005-0000-0000-0000D3590000}"/>
    <cellStyle name="Normal 4 2 2 5 2 4 2 2" xfId="16801" xr:uid="{00000000-0005-0000-0000-0000D4590000}"/>
    <cellStyle name="Normal 4 2 2 5 2 4 2 2 2" xfId="36853" xr:uid="{00000000-0005-0000-0000-0000D5590000}"/>
    <cellStyle name="Normal 4 2 2 5 2 4 2 3" xfId="27823" xr:uid="{00000000-0005-0000-0000-0000D6590000}"/>
    <cellStyle name="Normal 4 2 2 5 2 4 3" xfId="12319" xr:uid="{00000000-0005-0000-0000-0000D7590000}"/>
    <cellStyle name="Normal 4 2 2 5 2 4 3 2" xfId="32371" xr:uid="{00000000-0005-0000-0000-0000D8590000}"/>
    <cellStyle name="Normal 4 2 2 5 2 4 4" xfId="23341" xr:uid="{00000000-0005-0000-0000-0000D9590000}"/>
    <cellStyle name="Normal 4 2 2 5 2 5" xfId="4783" xr:uid="{00000000-0005-0000-0000-0000DA590000}"/>
    <cellStyle name="Normal 4 2 2 5 2 5 2" xfId="13813" xr:uid="{00000000-0005-0000-0000-0000DB590000}"/>
    <cellStyle name="Normal 4 2 2 5 2 5 2 2" xfId="33865" xr:uid="{00000000-0005-0000-0000-0000DC590000}"/>
    <cellStyle name="Normal 4 2 2 5 2 5 3" xfId="24835" xr:uid="{00000000-0005-0000-0000-0000DD590000}"/>
    <cellStyle name="Normal 4 2 2 5 2 6" xfId="9331" xr:uid="{00000000-0005-0000-0000-0000DE590000}"/>
    <cellStyle name="Normal 4 2 2 5 2 6 2" xfId="29383" xr:uid="{00000000-0005-0000-0000-0000DF590000}"/>
    <cellStyle name="Normal 4 2 2 5 2 7" xfId="20353" xr:uid="{00000000-0005-0000-0000-0000E0590000}"/>
    <cellStyle name="Normal 4 2 2 5 3" xfId="487" xr:uid="{00000000-0005-0000-0000-0000E1590000}"/>
    <cellStyle name="Normal 4 2 2 5 3 2" xfId="1234" xr:uid="{00000000-0005-0000-0000-0000E2590000}"/>
    <cellStyle name="Normal 4 2 2 5 3 2 2" xfId="2728" xr:uid="{00000000-0005-0000-0000-0000E3590000}"/>
    <cellStyle name="Normal 4 2 2 5 3 2 2 2" xfId="7210" xr:uid="{00000000-0005-0000-0000-0000E4590000}"/>
    <cellStyle name="Normal 4 2 2 5 3 2 2 2 2" xfId="16240" xr:uid="{00000000-0005-0000-0000-0000E5590000}"/>
    <cellStyle name="Normal 4 2 2 5 3 2 2 2 2 2" xfId="36292" xr:uid="{00000000-0005-0000-0000-0000E6590000}"/>
    <cellStyle name="Normal 4 2 2 5 3 2 2 2 3" xfId="27262" xr:uid="{00000000-0005-0000-0000-0000E7590000}"/>
    <cellStyle name="Normal 4 2 2 5 3 2 2 3" xfId="11758" xr:uid="{00000000-0005-0000-0000-0000E8590000}"/>
    <cellStyle name="Normal 4 2 2 5 3 2 2 3 2" xfId="31810" xr:uid="{00000000-0005-0000-0000-0000E9590000}"/>
    <cellStyle name="Normal 4 2 2 5 3 2 2 4" xfId="22780" xr:uid="{00000000-0005-0000-0000-0000EA590000}"/>
    <cellStyle name="Normal 4 2 2 5 3 2 3" xfId="4222" xr:uid="{00000000-0005-0000-0000-0000EB590000}"/>
    <cellStyle name="Normal 4 2 2 5 3 2 3 2" xfId="8704" xr:uid="{00000000-0005-0000-0000-0000EC590000}"/>
    <cellStyle name="Normal 4 2 2 5 3 2 3 2 2" xfId="17734" xr:uid="{00000000-0005-0000-0000-0000ED590000}"/>
    <cellStyle name="Normal 4 2 2 5 3 2 3 2 2 2" xfId="37786" xr:uid="{00000000-0005-0000-0000-0000EE590000}"/>
    <cellStyle name="Normal 4 2 2 5 3 2 3 2 3" xfId="28756" xr:uid="{00000000-0005-0000-0000-0000EF590000}"/>
    <cellStyle name="Normal 4 2 2 5 3 2 3 3" xfId="13252" xr:uid="{00000000-0005-0000-0000-0000F0590000}"/>
    <cellStyle name="Normal 4 2 2 5 3 2 3 3 2" xfId="33304" xr:uid="{00000000-0005-0000-0000-0000F1590000}"/>
    <cellStyle name="Normal 4 2 2 5 3 2 3 4" xfId="24274" xr:uid="{00000000-0005-0000-0000-0000F2590000}"/>
    <cellStyle name="Normal 4 2 2 5 3 2 4" xfId="5716" xr:uid="{00000000-0005-0000-0000-0000F3590000}"/>
    <cellStyle name="Normal 4 2 2 5 3 2 4 2" xfId="14746" xr:uid="{00000000-0005-0000-0000-0000F4590000}"/>
    <cellStyle name="Normal 4 2 2 5 3 2 4 2 2" xfId="34798" xr:uid="{00000000-0005-0000-0000-0000F5590000}"/>
    <cellStyle name="Normal 4 2 2 5 3 2 4 3" xfId="25768" xr:uid="{00000000-0005-0000-0000-0000F6590000}"/>
    <cellStyle name="Normal 4 2 2 5 3 2 5" xfId="10264" xr:uid="{00000000-0005-0000-0000-0000F7590000}"/>
    <cellStyle name="Normal 4 2 2 5 3 2 5 2" xfId="30316" xr:uid="{00000000-0005-0000-0000-0000F8590000}"/>
    <cellStyle name="Normal 4 2 2 5 3 2 6" xfId="21286" xr:uid="{00000000-0005-0000-0000-0000F9590000}"/>
    <cellStyle name="Normal 4 2 2 5 3 3" xfId="1981" xr:uid="{00000000-0005-0000-0000-0000FA590000}"/>
    <cellStyle name="Normal 4 2 2 5 3 3 2" xfId="6463" xr:uid="{00000000-0005-0000-0000-0000FB590000}"/>
    <cellStyle name="Normal 4 2 2 5 3 3 2 2" xfId="15493" xr:uid="{00000000-0005-0000-0000-0000FC590000}"/>
    <cellStyle name="Normal 4 2 2 5 3 3 2 2 2" xfId="35545" xr:uid="{00000000-0005-0000-0000-0000FD590000}"/>
    <cellStyle name="Normal 4 2 2 5 3 3 2 3" xfId="26515" xr:uid="{00000000-0005-0000-0000-0000FE590000}"/>
    <cellStyle name="Normal 4 2 2 5 3 3 3" xfId="11011" xr:uid="{00000000-0005-0000-0000-0000FF590000}"/>
    <cellStyle name="Normal 4 2 2 5 3 3 3 2" xfId="31063" xr:uid="{00000000-0005-0000-0000-0000005A0000}"/>
    <cellStyle name="Normal 4 2 2 5 3 3 4" xfId="22033" xr:uid="{00000000-0005-0000-0000-0000015A0000}"/>
    <cellStyle name="Normal 4 2 2 5 3 4" xfId="3475" xr:uid="{00000000-0005-0000-0000-0000025A0000}"/>
    <cellStyle name="Normal 4 2 2 5 3 4 2" xfId="7957" xr:uid="{00000000-0005-0000-0000-0000035A0000}"/>
    <cellStyle name="Normal 4 2 2 5 3 4 2 2" xfId="16987" xr:uid="{00000000-0005-0000-0000-0000045A0000}"/>
    <cellStyle name="Normal 4 2 2 5 3 4 2 2 2" xfId="37039" xr:uid="{00000000-0005-0000-0000-0000055A0000}"/>
    <cellStyle name="Normal 4 2 2 5 3 4 2 3" xfId="28009" xr:uid="{00000000-0005-0000-0000-0000065A0000}"/>
    <cellStyle name="Normal 4 2 2 5 3 4 3" xfId="12505" xr:uid="{00000000-0005-0000-0000-0000075A0000}"/>
    <cellStyle name="Normal 4 2 2 5 3 4 3 2" xfId="32557" xr:uid="{00000000-0005-0000-0000-0000085A0000}"/>
    <cellStyle name="Normal 4 2 2 5 3 4 4" xfId="23527" xr:uid="{00000000-0005-0000-0000-0000095A0000}"/>
    <cellStyle name="Normal 4 2 2 5 3 5" xfId="4969" xr:uid="{00000000-0005-0000-0000-00000A5A0000}"/>
    <cellStyle name="Normal 4 2 2 5 3 5 2" xfId="13999" xr:uid="{00000000-0005-0000-0000-00000B5A0000}"/>
    <cellStyle name="Normal 4 2 2 5 3 5 2 2" xfId="34051" xr:uid="{00000000-0005-0000-0000-00000C5A0000}"/>
    <cellStyle name="Normal 4 2 2 5 3 5 3" xfId="25021" xr:uid="{00000000-0005-0000-0000-00000D5A0000}"/>
    <cellStyle name="Normal 4 2 2 5 3 6" xfId="9517" xr:uid="{00000000-0005-0000-0000-00000E5A0000}"/>
    <cellStyle name="Normal 4 2 2 5 3 6 2" xfId="29569" xr:uid="{00000000-0005-0000-0000-00000F5A0000}"/>
    <cellStyle name="Normal 4 2 2 5 3 7" xfId="20539" xr:uid="{00000000-0005-0000-0000-0000105A0000}"/>
    <cellStyle name="Normal 4 2 2 5 4" xfId="673" xr:uid="{00000000-0005-0000-0000-0000115A0000}"/>
    <cellStyle name="Normal 4 2 2 5 4 2" xfId="1420" xr:uid="{00000000-0005-0000-0000-0000125A0000}"/>
    <cellStyle name="Normal 4 2 2 5 4 2 2" xfId="2914" xr:uid="{00000000-0005-0000-0000-0000135A0000}"/>
    <cellStyle name="Normal 4 2 2 5 4 2 2 2" xfId="7396" xr:uid="{00000000-0005-0000-0000-0000145A0000}"/>
    <cellStyle name="Normal 4 2 2 5 4 2 2 2 2" xfId="16426" xr:uid="{00000000-0005-0000-0000-0000155A0000}"/>
    <cellStyle name="Normal 4 2 2 5 4 2 2 2 2 2" xfId="36478" xr:uid="{00000000-0005-0000-0000-0000165A0000}"/>
    <cellStyle name="Normal 4 2 2 5 4 2 2 2 3" xfId="27448" xr:uid="{00000000-0005-0000-0000-0000175A0000}"/>
    <cellStyle name="Normal 4 2 2 5 4 2 2 3" xfId="11944" xr:uid="{00000000-0005-0000-0000-0000185A0000}"/>
    <cellStyle name="Normal 4 2 2 5 4 2 2 3 2" xfId="31996" xr:uid="{00000000-0005-0000-0000-0000195A0000}"/>
    <cellStyle name="Normal 4 2 2 5 4 2 2 4" xfId="22966" xr:uid="{00000000-0005-0000-0000-00001A5A0000}"/>
    <cellStyle name="Normal 4 2 2 5 4 2 3" xfId="4408" xr:uid="{00000000-0005-0000-0000-00001B5A0000}"/>
    <cellStyle name="Normal 4 2 2 5 4 2 3 2" xfId="8890" xr:uid="{00000000-0005-0000-0000-00001C5A0000}"/>
    <cellStyle name="Normal 4 2 2 5 4 2 3 2 2" xfId="17920" xr:uid="{00000000-0005-0000-0000-00001D5A0000}"/>
    <cellStyle name="Normal 4 2 2 5 4 2 3 2 2 2" xfId="37972" xr:uid="{00000000-0005-0000-0000-00001E5A0000}"/>
    <cellStyle name="Normal 4 2 2 5 4 2 3 2 3" xfId="28942" xr:uid="{00000000-0005-0000-0000-00001F5A0000}"/>
    <cellStyle name="Normal 4 2 2 5 4 2 3 3" xfId="13438" xr:uid="{00000000-0005-0000-0000-0000205A0000}"/>
    <cellStyle name="Normal 4 2 2 5 4 2 3 3 2" xfId="33490" xr:uid="{00000000-0005-0000-0000-0000215A0000}"/>
    <cellStyle name="Normal 4 2 2 5 4 2 3 4" xfId="24460" xr:uid="{00000000-0005-0000-0000-0000225A0000}"/>
    <cellStyle name="Normal 4 2 2 5 4 2 4" xfId="5902" xr:uid="{00000000-0005-0000-0000-0000235A0000}"/>
    <cellStyle name="Normal 4 2 2 5 4 2 4 2" xfId="14932" xr:uid="{00000000-0005-0000-0000-0000245A0000}"/>
    <cellStyle name="Normal 4 2 2 5 4 2 4 2 2" xfId="34984" xr:uid="{00000000-0005-0000-0000-0000255A0000}"/>
    <cellStyle name="Normal 4 2 2 5 4 2 4 3" xfId="25954" xr:uid="{00000000-0005-0000-0000-0000265A0000}"/>
    <cellStyle name="Normal 4 2 2 5 4 2 5" xfId="10450" xr:uid="{00000000-0005-0000-0000-0000275A0000}"/>
    <cellStyle name="Normal 4 2 2 5 4 2 5 2" xfId="30502" xr:uid="{00000000-0005-0000-0000-0000285A0000}"/>
    <cellStyle name="Normal 4 2 2 5 4 2 6" xfId="21472" xr:uid="{00000000-0005-0000-0000-0000295A0000}"/>
    <cellStyle name="Normal 4 2 2 5 4 3" xfId="2167" xr:uid="{00000000-0005-0000-0000-00002A5A0000}"/>
    <cellStyle name="Normal 4 2 2 5 4 3 2" xfId="6649" xr:uid="{00000000-0005-0000-0000-00002B5A0000}"/>
    <cellStyle name="Normal 4 2 2 5 4 3 2 2" xfId="15679" xr:uid="{00000000-0005-0000-0000-00002C5A0000}"/>
    <cellStyle name="Normal 4 2 2 5 4 3 2 2 2" xfId="35731" xr:uid="{00000000-0005-0000-0000-00002D5A0000}"/>
    <cellStyle name="Normal 4 2 2 5 4 3 2 3" xfId="26701" xr:uid="{00000000-0005-0000-0000-00002E5A0000}"/>
    <cellStyle name="Normal 4 2 2 5 4 3 3" xfId="11197" xr:uid="{00000000-0005-0000-0000-00002F5A0000}"/>
    <cellStyle name="Normal 4 2 2 5 4 3 3 2" xfId="31249" xr:uid="{00000000-0005-0000-0000-0000305A0000}"/>
    <cellStyle name="Normal 4 2 2 5 4 3 4" xfId="22219" xr:uid="{00000000-0005-0000-0000-0000315A0000}"/>
    <cellStyle name="Normal 4 2 2 5 4 4" xfId="3661" xr:uid="{00000000-0005-0000-0000-0000325A0000}"/>
    <cellStyle name="Normal 4 2 2 5 4 4 2" xfId="8143" xr:uid="{00000000-0005-0000-0000-0000335A0000}"/>
    <cellStyle name="Normal 4 2 2 5 4 4 2 2" xfId="17173" xr:uid="{00000000-0005-0000-0000-0000345A0000}"/>
    <cellStyle name="Normal 4 2 2 5 4 4 2 2 2" xfId="37225" xr:uid="{00000000-0005-0000-0000-0000355A0000}"/>
    <cellStyle name="Normal 4 2 2 5 4 4 2 3" xfId="28195" xr:uid="{00000000-0005-0000-0000-0000365A0000}"/>
    <cellStyle name="Normal 4 2 2 5 4 4 3" xfId="12691" xr:uid="{00000000-0005-0000-0000-0000375A0000}"/>
    <cellStyle name="Normal 4 2 2 5 4 4 3 2" xfId="32743" xr:uid="{00000000-0005-0000-0000-0000385A0000}"/>
    <cellStyle name="Normal 4 2 2 5 4 4 4" xfId="23713" xr:uid="{00000000-0005-0000-0000-0000395A0000}"/>
    <cellStyle name="Normal 4 2 2 5 4 5" xfId="5155" xr:uid="{00000000-0005-0000-0000-00003A5A0000}"/>
    <cellStyle name="Normal 4 2 2 5 4 5 2" xfId="14185" xr:uid="{00000000-0005-0000-0000-00003B5A0000}"/>
    <cellStyle name="Normal 4 2 2 5 4 5 2 2" xfId="34237" xr:uid="{00000000-0005-0000-0000-00003C5A0000}"/>
    <cellStyle name="Normal 4 2 2 5 4 5 3" xfId="25207" xr:uid="{00000000-0005-0000-0000-00003D5A0000}"/>
    <cellStyle name="Normal 4 2 2 5 4 6" xfId="9703" xr:uid="{00000000-0005-0000-0000-00003E5A0000}"/>
    <cellStyle name="Normal 4 2 2 5 4 6 2" xfId="29755" xr:uid="{00000000-0005-0000-0000-00003F5A0000}"/>
    <cellStyle name="Normal 4 2 2 5 4 7" xfId="20725" xr:uid="{00000000-0005-0000-0000-0000405A0000}"/>
    <cellStyle name="Normal 4 2 2 5 5" xfId="860" xr:uid="{00000000-0005-0000-0000-0000415A0000}"/>
    <cellStyle name="Normal 4 2 2 5 5 2" xfId="2354" xr:uid="{00000000-0005-0000-0000-0000425A0000}"/>
    <cellStyle name="Normal 4 2 2 5 5 2 2" xfId="6836" xr:uid="{00000000-0005-0000-0000-0000435A0000}"/>
    <cellStyle name="Normal 4 2 2 5 5 2 2 2" xfId="15866" xr:uid="{00000000-0005-0000-0000-0000445A0000}"/>
    <cellStyle name="Normal 4 2 2 5 5 2 2 2 2" xfId="35918" xr:uid="{00000000-0005-0000-0000-0000455A0000}"/>
    <cellStyle name="Normal 4 2 2 5 5 2 2 3" xfId="26888" xr:uid="{00000000-0005-0000-0000-0000465A0000}"/>
    <cellStyle name="Normal 4 2 2 5 5 2 3" xfId="11384" xr:uid="{00000000-0005-0000-0000-0000475A0000}"/>
    <cellStyle name="Normal 4 2 2 5 5 2 3 2" xfId="31436" xr:uid="{00000000-0005-0000-0000-0000485A0000}"/>
    <cellStyle name="Normal 4 2 2 5 5 2 4" xfId="22406" xr:uid="{00000000-0005-0000-0000-0000495A0000}"/>
    <cellStyle name="Normal 4 2 2 5 5 3" xfId="3848" xr:uid="{00000000-0005-0000-0000-00004A5A0000}"/>
    <cellStyle name="Normal 4 2 2 5 5 3 2" xfId="8330" xr:uid="{00000000-0005-0000-0000-00004B5A0000}"/>
    <cellStyle name="Normal 4 2 2 5 5 3 2 2" xfId="17360" xr:uid="{00000000-0005-0000-0000-00004C5A0000}"/>
    <cellStyle name="Normal 4 2 2 5 5 3 2 2 2" xfId="37412" xr:uid="{00000000-0005-0000-0000-00004D5A0000}"/>
    <cellStyle name="Normal 4 2 2 5 5 3 2 3" xfId="28382" xr:uid="{00000000-0005-0000-0000-00004E5A0000}"/>
    <cellStyle name="Normal 4 2 2 5 5 3 3" xfId="12878" xr:uid="{00000000-0005-0000-0000-00004F5A0000}"/>
    <cellStyle name="Normal 4 2 2 5 5 3 3 2" xfId="32930" xr:uid="{00000000-0005-0000-0000-0000505A0000}"/>
    <cellStyle name="Normal 4 2 2 5 5 3 4" xfId="23900" xr:uid="{00000000-0005-0000-0000-0000515A0000}"/>
    <cellStyle name="Normal 4 2 2 5 5 4" xfId="5342" xr:uid="{00000000-0005-0000-0000-0000525A0000}"/>
    <cellStyle name="Normal 4 2 2 5 5 4 2" xfId="14372" xr:uid="{00000000-0005-0000-0000-0000535A0000}"/>
    <cellStyle name="Normal 4 2 2 5 5 4 2 2" xfId="34424" xr:uid="{00000000-0005-0000-0000-0000545A0000}"/>
    <cellStyle name="Normal 4 2 2 5 5 4 3" xfId="25394" xr:uid="{00000000-0005-0000-0000-0000555A0000}"/>
    <cellStyle name="Normal 4 2 2 5 5 5" xfId="9890" xr:uid="{00000000-0005-0000-0000-0000565A0000}"/>
    <cellStyle name="Normal 4 2 2 5 5 5 2" xfId="29942" xr:uid="{00000000-0005-0000-0000-0000575A0000}"/>
    <cellStyle name="Normal 4 2 2 5 5 6" xfId="20912" xr:uid="{00000000-0005-0000-0000-0000585A0000}"/>
    <cellStyle name="Normal 4 2 2 5 6" xfId="1609" xr:uid="{00000000-0005-0000-0000-0000595A0000}"/>
    <cellStyle name="Normal 4 2 2 5 6 2" xfId="6091" xr:uid="{00000000-0005-0000-0000-00005A5A0000}"/>
    <cellStyle name="Normal 4 2 2 5 6 2 2" xfId="15121" xr:uid="{00000000-0005-0000-0000-00005B5A0000}"/>
    <cellStyle name="Normal 4 2 2 5 6 2 2 2" xfId="35173" xr:uid="{00000000-0005-0000-0000-00005C5A0000}"/>
    <cellStyle name="Normal 4 2 2 5 6 2 3" xfId="26143" xr:uid="{00000000-0005-0000-0000-00005D5A0000}"/>
    <cellStyle name="Normal 4 2 2 5 6 3" xfId="10639" xr:uid="{00000000-0005-0000-0000-00005E5A0000}"/>
    <cellStyle name="Normal 4 2 2 5 6 3 2" xfId="30691" xr:uid="{00000000-0005-0000-0000-00005F5A0000}"/>
    <cellStyle name="Normal 4 2 2 5 6 4" xfId="21661" xr:uid="{00000000-0005-0000-0000-0000605A0000}"/>
    <cellStyle name="Normal 4 2 2 5 7" xfId="3103" xr:uid="{00000000-0005-0000-0000-0000615A0000}"/>
    <cellStyle name="Normal 4 2 2 5 7 2" xfId="7585" xr:uid="{00000000-0005-0000-0000-0000625A0000}"/>
    <cellStyle name="Normal 4 2 2 5 7 2 2" xfId="16615" xr:uid="{00000000-0005-0000-0000-0000635A0000}"/>
    <cellStyle name="Normal 4 2 2 5 7 2 2 2" xfId="36667" xr:uid="{00000000-0005-0000-0000-0000645A0000}"/>
    <cellStyle name="Normal 4 2 2 5 7 2 3" xfId="27637" xr:uid="{00000000-0005-0000-0000-0000655A0000}"/>
    <cellStyle name="Normal 4 2 2 5 7 3" xfId="12133" xr:uid="{00000000-0005-0000-0000-0000665A0000}"/>
    <cellStyle name="Normal 4 2 2 5 7 3 2" xfId="32185" xr:uid="{00000000-0005-0000-0000-0000675A0000}"/>
    <cellStyle name="Normal 4 2 2 5 7 4" xfId="23155" xr:uid="{00000000-0005-0000-0000-0000685A0000}"/>
    <cellStyle name="Normal 4 2 2 5 8" xfId="4597" xr:uid="{00000000-0005-0000-0000-0000695A0000}"/>
    <cellStyle name="Normal 4 2 2 5 8 2" xfId="13627" xr:uid="{00000000-0005-0000-0000-00006A5A0000}"/>
    <cellStyle name="Normal 4 2 2 5 8 2 2" xfId="33679" xr:uid="{00000000-0005-0000-0000-00006B5A0000}"/>
    <cellStyle name="Normal 4 2 2 5 8 3" xfId="24649" xr:uid="{00000000-0005-0000-0000-00006C5A0000}"/>
    <cellStyle name="Normal 4 2 2 5 9" xfId="9145" xr:uid="{00000000-0005-0000-0000-00006D5A0000}"/>
    <cellStyle name="Normal 4 2 2 5 9 2" xfId="29197" xr:uid="{00000000-0005-0000-0000-00006E5A0000}"/>
    <cellStyle name="Normal 4 2 2 6" xfId="140" xr:uid="{00000000-0005-0000-0000-00006F5A0000}"/>
    <cellStyle name="Normal 4 2 2 6 10" xfId="20192" xr:uid="{00000000-0005-0000-0000-0000705A0000}"/>
    <cellStyle name="Normal 4 2 2 6 2" xfId="326" xr:uid="{00000000-0005-0000-0000-0000715A0000}"/>
    <cellStyle name="Normal 4 2 2 6 2 2" xfId="1069" xr:uid="{00000000-0005-0000-0000-0000725A0000}"/>
    <cellStyle name="Normal 4 2 2 6 2 2 2" xfId="2563" xr:uid="{00000000-0005-0000-0000-0000735A0000}"/>
    <cellStyle name="Normal 4 2 2 6 2 2 2 2" xfId="7045" xr:uid="{00000000-0005-0000-0000-0000745A0000}"/>
    <cellStyle name="Normal 4 2 2 6 2 2 2 2 2" xfId="16075" xr:uid="{00000000-0005-0000-0000-0000755A0000}"/>
    <cellStyle name="Normal 4 2 2 6 2 2 2 2 2 2" xfId="36127" xr:uid="{00000000-0005-0000-0000-0000765A0000}"/>
    <cellStyle name="Normal 4 2 2 6 2 2 2 2 3" xfId="27097" xr:uid="{00000000-0005-0000-0000-0000775A0000}"/>
    <cellStyle name="Normal 4 2 2 6 2 2 2 3" xfId="11593" xr:uid="{00000000-0005-0000-0000-0000785A0000}"/>
    <cellStyle name="Normal 4 2 2 6 2 2 2 3 2" xfId="31645" xr:uid="{00000000-0005-0000-0000-0000795A0000}"/>
    <cellStyle name="Normal 4 2 2 6 2 2 2 4" xfId="22615" xr:uid="{00000000-0005-0000-0000-00007A5A0000}"/>
    <cellStyle name="Normal 4 2 2 6 2 2 3" xfId="4057" xr:uid="{00000000-0005-0000-0000-00007B5A0000}"/>
    <cellStyle name="Normal 4 2 2 6 2 2 3 2" xfId="8539" xr:uid="{00000000-0005-0000-0000-00007C5A0000}"/>
    <cellStyle name="Normal 4 2 2 6 2 2 3 2 2" xfId="17569" xr:uid="{00000000-0005-0000-0000-00007D5A0000}"/>
    <cellStyle name="Normal 4 2 2 6 2 2 3 2 2 2" xfId="37621" xr:uid="{00000000-0005-0000-0000-00007E5A0000}"/>
    <cellStyle name="Normal 4 2 2 6 2 2 3 2 3" xfId="28591" xr:uid="{00000000-0005-0000-0000-00007F5A0000}"/>
    <cellStyle name="Normal 4 2 2 6 2 2 3 3" xfId="13087" xr:uid="{00000000-0005-0000-0000-0000805A0000}"/>
    <cellStyle name="Normal 4 2 2 6 2 2 3 3 2" xfId="33139" xr:uid="{00000000-0005-0000-0000-0000815A0000}"/>
    <cellStyle name="Normal 4 2 2 6 2 2 3 4" xfId="24109" xr:uid="{00000000-0005-0000-0000-0000825A0000}"/>
    <cellStyle name="Normal 4 2 2 6 2 2 4" xfId="5551" xr:uid="{00000000-0005-0000-0000-0000835A0000}"/>
    <cellStyle name="Normal 4 2 2 6 2 2 4 2" xfId="14581" xr:uid="{00000000-0005-0000-0000-0000845A0000}"/>
    <cellStyle name="Normal 4 2 2 6 2 2 4 2 2" xfId="34633" xr:uid="{00000000-0005-0000-0000-0000855A0000}"/>
    <cellStyle name="Normal 4 2 2 6 2 2 4 3" xfId="25603" xr:uid="{00000000-0005-0000-0000-0000865A0000}"/>
    <cellStyle name="Normal 4 2 2 6 2 2 5" xfId="10099" xr:uid="{00000000-0005-0000-0000-0000875A0000}"/>
    <cellStyle name="Normal 4 2 2 6 2 2 5 2" xfId="30151" xr:uid="{00000000-0005-0000-0000-0000885A0000}"/>
    <cellStyle name="Normal 4 2 2 6 2 2 6" xfId="21121" xr:uid="{00000000-0005-0000-0000-0000895A0000}"/>
    <cellStyle name="Normal 4 2 2 6 2 3" xfId="1820" xr:uid="{00000000-0005-0000-0000-00008A5A0000}"/>
    <cellStyle name="Normal 4 2 2 6 2 3 2" xfId="6302" xr:uid="{00000000-0005-0000-0000-00008B5A0000}"/>
    <cellStyle name="Normal 4 2 2 6 2 3 2 2" xfId="15332" xr:uid="{00000000-0005-0000-0000-00008C5A0000}"/>
    <cellStyle name="Normal 4 2 2 6 2 3 2 2 2" xfId="35384" xr:uid="{00000000-0005-0000-0000-00008D5A0000}"/>
    <cellStyle name="Normal 4 2 2 6 2 3 2 3" xfId="26354" xr:uid="{00000000-0005-0000-0000-00008E5A0000}"/>
    <cellStyle name="Normal 4 2 2 6 2 3 3" xfId="10850" xr:uid="{00000000-0005-0000-0000-00008F5A0000}"/>
    <cellStyle name="Normal 4 2 2 6 2 3 3 2" xfId="30902" xr:uid="{00000000-0005-0000-0000-0000905A0000}"/>
    <cellStyle name="Normal 4 2 2 6 2 3 4" xfId="21872" xr:uid="{00000000-0005-0000-0000-0000915A0000}"/>
    <cellStyle name="Normal 4 2 2 6 2 4" xfId="3314" xr:uid="{00000000-0005-0000-0000-0000925A0000}"/>
    <cellStyle name="Normal 4 2 2 6 2 4 2" xfId="7796" xr:uid="{00000000-0005-0000-0000-0000935A0000}"/>
    <cellStyle name="Normal 4 2 2 6 2 4 2 2" xfId="16826" xr:uid="{00000000-0005-0000-0000-0000945A0000}"/>
    <cellStyle name="Normal 4 2 2 6 2 4 2 2 2" xfId="36878" xr:uid="{00000000-0005-0000-0000-0000955A0000}"/>
    <cellStyle name="Normal 4 2 2 6 2 4 2 3" xfId="27848" xr:uid="{00000000-0005-0000-0000-0000965A0000}"/>
    <cellStyle name="Normal 4 2 2 6 2 4 3" xfId="12344" xr:uid="{00000000-0005-0000-0000-0000975A0000}"/>
    <cellStyle name="Normal 4 2 2 6 2 4 3 2" xfId="32396" xr:uid="{00000000-0005-0000-0000-0000985A0000}"/>
    <cellStyle name="Normal 4 2 2 6 2 4 4" xfId="23366" xr:uid="{00000000-0005-0000-0000-0000995A0000}"/>
    <cellStyle name="Normal 4 2 2 6 2 5" xfId="4808" xr:uid="{00000000-0005-0000-0000-00009A5A0000}"/>
    <cellStyle name="Normal 4 2 2 6 2 5 2" xfId="13838" xr:uid="{00000000-0005-0000-0000-00009B5A0000}"/>
    <cellStyle name="Normal 4 2 2 6 2 5 2 2" xfId="33890" xr:uid="{00000000-0005-0000-0000-00009C5A0000}"/>
    <cellStyle name="Normal 4 2 2 6 2 5 3" xfId="24860" xr:uid="{00000000-0005-0000-0000-00009D5A0000}"/>
    <cellStyle name="Normal 4 2 2 6 2 6" xfId="9356" xr:uid="{00000000-0005-0000-0000-00009E5A0000}"/>
    <cellStyle name="Normal 4 2 2 6 2 6 2" xfId="29408" xr:uid="{00000000-0005-0000-0000-00009F5A0000}"/>
    <cellStyle name="Normal 4 2 2 6 2 7" xfId="20378" xr:uid="{00000000-0005-0000-0000-0000A05A0000}"/>
    <cellStyle name="Normal 4 2 2 6 3" xfId="512" xr:uid="{00000000-0005-0000-0000-0000A15A0000}"/>
    <cellStyle name="Normal 4 2 2 6 3 2" xfId="1259" xr:uid="{00000000-0005-0000-0000-0000A25A0000}"/>
    <cellStyle name="Normal 4 2 2 6 3 2 2" xfId="2753" xr:uid="{00000000-0005-0000-0000-0000A35A0000}"/>
    <cellStyle name="Normal 4 2 2 6 3 2 2 2" xfId="7235" xr:uid="{00000000-0005-0000-0000-0000A45A0000}"/>
    <cellStyle name="Normal 4 2 2 6 3 2 2 2 2" xfId="16265" xr:uid="{00000000-0005-0000-0000-0000A55A0000}"/>
    <cellStyle name="Normal 4 2 2 6 3 2 2 2 2 2" xfId="36317" xr:uid="{00000000-0005-0000-0000-0000A65A0000}"/>
    <cellStyle name="Normal 4 2 2 6 3 2 2 2 3" xfId="27287" xr:uid="{00000000-0005-0000-0000-0000A75A0000}"/>
    <cellStyle name="Normal 4 2 2 6 3 2 2 3" xfId="11783" xr:uid="{00000000-0005-0000-0000-0000A85A0000}"/>
    <cellStyle name="Normal 4 2 2 6 3 2 2 3 2" xfId="31835" xr:uid="{00000000-0005-0000-0000-0000A95A0000}"/>
    <cellStyle name="Normal 4 2 2 6 3 2 2 4" xfId="22805" xr:uid="{00000000-0005-0000-0000-0000AA5A0000}"/>
    <cellStyle name="Normal 4 2 2 6 3 2 3" xfId="4247" xr:uid="{00000000-0005-0000-0000-0000AB5A0000}"/>
    <cellStyle name="Normal 4 2 2 6 3 2 3 2" xfId="8729" xr:uid="{00000000-0005-0000-0000-0000AC5A0000}"/>
    <cellStyle name="Normal 4 2 2 6 3 2 3 2 2" xfId="17759" xr:uid="{00000000-0005-0000-0000-0000AD5A0000}"/>
    <cellStyle name="Normal 4 2 2 6 3 2 3 2 2 2" xfId="37811" xr:uid="{00000000-0005-0000-0000-0000AE5A0000}"/>
    <cellStyle name="Normal 4 2 2 6 3 2 3 2 3" xfId="28781" xr:uid="{00000000-0005-0000-0000-0000AF5A0000}"/>
    <cellStyle name="Normal 4 2 2 6 3 2 3 3" xfId="13277" xr:uid="{00000000-0005-0000-0000-0000B05A0000}"/>
    <cellStyle name="Normal 4 2 2 6 3 2 3 3 2" xfId="33329" xr:uid="{00000000-0005-0000-0000-0000B15A0000}"/>
    <cellStyle name="Normal 4 2 2 6 3 2 3 4" xfId="24299" xr:uid="{00000000-0005-0000-0000-0000B25A0000}"/>
    <cellStyle name="Normal 4 2 2 6 3 2 4" xfId="5741" xr:uid="{00000000-0005-0000-0000-0000B35A0000}"/>
    <cellStyle name="Normal 4 2 2 6 3 2 4 2" xfId="14771" xr:uid="{00000000-0005-0000-0000-0000B45A0000}"/>
    <cellStyle name="Normal 4 2 2 6 3 2 4 2 2" xfId="34823" xr:uid="{00000000-0005-0000-0000-0000B55A0000}"/>
    <cellStyle name="Normal 4 2 2 6 3 2 4 3" xfId="25793" xr:uid="{00000000-0005-0000-0000-0000B65A0000}"/>
    <cellStyle name="Normal 4 2 2 6 3 2 5" xfId="10289" xr:uid="{00000000-0005-0000-0000-0000B75A0000}"/>
    <cellStyle name="Normal 4 2 2 6 3 2 5 2" xfId="30341" xr:uid="{00000000-0005-0000-0000-0000B85A0000}"/>
    <cellStyle name="Normal 4 2 2 6 3 2 6" xfId="21311" xr:uid="{00000000-0005-0000-0000-0000B95A0000}"/>
    <cellStyle name="Normal 4 2 2 6 3 3" xfId="2006" xr:uid="{00000000-0005-0000-0000-0000BA5A0000}"/>
    <cellStyle name="Normal 4 2 2 6 3 3 2" xfId="6488" xr:uid="{00000000-0005-0000-0000-0000BB5A0000}"/>
    <cellStyle name="Normal 4 2 2 6 3 3 2 2" xfId="15518" xr:uid="{00000000-0005-0000-0000-0000BC5A0000}"/>
    <cellStyle name="Normal 4 2 2 6 3 3 2 2 2" xfId="35570" xr:uid="{00000000-0005-0000-0000-0000BD5A0000}"/>
    <cellStyle name="Normal 4 2 2 6 3 3 2 3" xfId="26540" xr:uid="{00000000-0005-0000-0000-0000BE5A0000}"/>
    <cellStyle name="Normal 4 2 2 6 3 3 3" xfId="11036" xr:uid="{00000000-0005-0000-0000-0000BF5A0000}"/>
    <cellStyle name="Normal 4 2 2 6 3 3 3 2" xfId="31088" xr:uid="{00000000-0005-0000-0000-0000C05A0000}"/>
    <cellStyle name="Normal 4 2 2 6 3 3 4" xfId="22058" xr:uid="{00000000-0005-0000-0000-0000C15A0000}"/>
    <cellStyle name="Normal 4 2 2 6 3 4" xfId="3500" xr:uid="{00000000-0005-0000-0000-0000C25A0000}"/>
    <cellStyle name="Normal 4 2 2 6 3 4 2" xfId="7982" xr:uid="{00000000-0005-0000-0000-0000C35A0000}"/>
    <cellStyle name="Normal 4 2 2 6 3 4 2 2" xfId="17012" xr:uid="{00000000-0005-0000-0000-0000C45A0000}"/>
    <cellStyle name="Normal 4 2 2 6 3 4 2 2 2" xfId="37064" xr:uid="{00000000-0005-0000-0000-0000C55A0000}"/>
    <cellStyle name="Normal 4 2 2 6 3 4 2 3" xfId="28034" xr:uid="{00000000-0005-0000-0000-0000C65A0000}"/>
    <cellStyle name="Normal 4 2 2 6 3 4 3" xfId="12530" xr:uid="{00000000-0005-0000-0000-0000C75A0000}"/>
    <cellStyle name="Normal 4 2 2 6 3 4 3 2" xfId="32582" xr:uid="{00000000-0005-0000-0000-0000C85A0000}"/>
    <cellStyle name="Normal 4 2 2 6 3 4 4" xfId="23552" xr:uid="{00000000-0005-0000-0000-0000C95A0000}"/>
    <cellStyle name="Normal 4 2 2 6 3 5" xfId="4994" xr:uid="{00000000-0005-0000-0000-0000CA5A0000}"/>
    <cellStyle name="Normal 4 2 2 6 3 5 2" xfId="14024" xr:uid="{00000000-0005-0000-0000-0000CB5A0000}"/>
    <cellStyle name="Normal 4 2 2 6 3 5 2 2" xfId="34076" xr:uid="{00000000-0005-0000-0000-0000CC5A0000}"/>
    <cellStyle name="Normal 4 2 2 6 3 5 3" xfId="25046" xr:uid="{00000000-0005-0000-0000-0000CD5A0000}"/>
    <cellStyle name="Normal 4 2 2 6 3 6" xfId="9542" xr:uid="{00000000-0005-0000-0000-0000CE5A0000}"/>
    <cellStyle name="Normal 4 2 2 6 3 6 2" xfId="29594" xr:uid="{00000000-0005-0000-0000-0000CF5A0000}"/>
    <cellStyle name="Normal 4 2 2 6 3 7" xfId="20564" xr:uid="{00000000-0005-0000-0000-0000D05A0000}"/>
    <cellStyle name="Normal 4 2 2 6 4" xfId="698" xr:uid="{00000000-0005-0000-0000-0000D15A0000}"/>
    <cellStyle name="Normal 4 2 2 6 4 2" xfId="1445" xr:uid="{00000000-0005-0000-0000-0000D25A0000}"/>
    <cellStyle name="Normal 4 2 2 6 4 2 2" xfId="2939" xr:uid="{00000000-0005-0000-0000-0000D35A0000}"/>
    <cellStyle name="Normal 4 2 2 6 4 2 2 2" xfId="7421" xr:uid="{00000000-0005-0000-0000-0000D45A0000}"/>
    <cellStyle name="Normal 4 2 2 6 4 2 2 2 2" xfId="16451" xr:uid="{00000000-0005-0000-0000-0000D55A0000}"/>
    <cellStyle name="Normal 4 2 2 6 4 2 2 2 2 2" xfId="36503" xr:uid="{00000000-0005-0000-0000-0000D65A0000}"/>
    <cellStyle name="Normal 4 2 2 6 4 2 2 2 3" xfId="27473" xr:uid="{00000000-0005-0000-0000-0000D75A0000}"/>
    <cellStyle name="Normal 4 2 2 6 4 2 2 3" xfId="11969" xr:uid="{00000000-0005-0000-0000-0000D85A0000}"/>
    <cellStyle name="Normal 4 2 2 6 4 2 2 3 2" xfId="32021" xr:uid="{00000000-0005-0000-0000-0000D95A0000}"/>
    <cellStyle name="Normal 4 2 2 6 4 2 2 4" xfId="22991" xr:uid="{00000000-0005-0000-0000-0000DA5A0000}"/>
    <cellStyle name="Normal 4 2 2 6 4 2 3" xfId="4433" xr:uid="{00000000-0005-0000-0000-0000DB5A0000}"/>
    <cellStyle name="Normal 4 2 2 6 4 2 3 2" xfId="8915" xr:uid="{00000000-0005-0000-0000-0000DC5A0000}"/>
    <cellStyle name="Normal 4 2 2 6 4 2 3 2 2" xfId="17945" xr:uid="{00000000-0005-0000-0000-0000DD5A0000}"/>
    <cellStyle name="Normal 4 2 2 6 4 2 3 2 2 2" xfId="37997" xr:uid="{00000000-0005-0000-0000-0000DE5A0000}"/>
    <cellStyle name="Normal 4 2 2 6 4 2 3 2 3" xfId="28967" xr:uid="{00000000-0005-0000-0000-0000DF5A0000}"/>
    <cellStyle name="Normal 4 2 2 6 4 2 3 3" xfId="13463" xr:uid="{00000000-0005-0000-0000-0000E05A0000}"/>
    <cellStyle name="Normal 4 2 2 6 4 2 3 3 2" xfId="33515" xr:uid="{00000000-0005-0000-0000-0000E15A0000}"/>
    <cellStyle name="Normal 4 2 2 6 4 2 3 4" xfId="24485" xr:uid="{00000000-0005-0000-0000-0000E25A0000}"/>
    <cellStyle name="Normal 4 2 2 6 4 2 4" xfId="5927" xr:uid="{00000000-0005-0000-0000-0000E35A0000}"/>
    <cellStyle name="Normal 4 2 2 6 4 2 4 2" xfId="14957" xr:uid="{00000000-0005-0000-0000-0000E45A0000}"/>
    <cellStyle name="Normal 4 2 2 6 4 2 4 2 2" xfId="35009" xr:uid="{00000000-0005-0000-0000-0000E55A0000}"/>
    <cellStyle name="Normal 4 2 2 6 4 2 4 3" xfId="25979" xr:uid="{00000000-0005-0000-0000-0000E65A0000}"/>
    <cellStyle name="Normal 4 2 2 6 4 2 5" xfId="10475" xr:uid="{00000000-0005-0000-0000-0000E75A0000}"/>
    <cellStyle name="Normal 4 2 2 6 4 2 5 2" xfId="30527" xr:uid="{00000000-0005-0000-0000-0000E85A0000}"/>
    <cellStyle name="Normal 4 2 2 6 4 2 6" xfId="21497" xr:uid="{00000000-0005-0000-0000-0000E95A0000}"/>
    <cellStyle name="Normal 4 2 2 6 4 3" xfId="2192" xr:uid="{00000000-0005-0000-0000-0000EA5A0000}"/>
    <cellStyle name="Normal 4 2 2 6 4 3 2" xfId="6674" xr:uid="{00000000-0005-0000-0000-0000EB5A0000}"/>
    <cellStyle name="Normal 4 2 2 6 4 3 2 2" xfId="15704" xr:uid="{00000000-0005-0000-0000-0000EC5A0000}"/>
    <cellStyle name="Normal 4 2 2 6 4 3 2 2 2" xfId="35756" xr:uid="{00000000-0005-0000-0000-0000ED5A0000}"/>
    <cellStyle name="Normal 4 2 2 6 4 3 2 3" xfId="26726" xr:uid="{00000000-0005-0000-0000-0000EE5A0000}"/>
    <cellStyle name="Normal 4 2 2 6 4 3 3" xfId="11222" xr:uid="{00000000-0005-0000-0000-0000EF5A0000}"/>
    <cellStyle name="Normal 4 2 2 6 4 3 3 2" xfId="31274" xr:uid="{00000000-0005-0000-0000-0000F05A0000}"/>
    <cellStyle name="Normal 4 2 2 6 4 3 4" xfId="22244" xr:uid="{00000000-0005-0000-0000-0000F15A0000}"/>
    <cellStyle name="Normal 4 2 2 6 4 4" xfId="3686" xr:uid="{00000000-0005-0000-0000-0000F25A0000}"/>
    <cellStyle name="Normal 4 2 2 6 4 4 2" xfId="8168" xr:uid="{00000000-0005-0000-0000-0000F35A0000}"/>
    <cellStyle name="Normal 4 2 2 6 4 4 2 2" xfId="17198" xr:uid="{00000000-0005-0000-0000-0000F45A0000}"/>
    <cellStyle name="Normal 4 2 2 6 4 4 2 2 2" xfId="37250" xr:uid="{00000000-0005-0000-0000-0000F55A0000}"/>
    <cellStyle name="Normal 4 2 2 6 4 4 2 3" xfId="28220" xr:uid="{00000000-0005-0000-0000-0000F65A0000}"/>
    <cellStyle name="Normal 4 2 2 6 4 4 3" xfId="12716" xr:uid="{00000000-0005-0000-0000-0000F75A0000}"/>
    <cellStyle name="Normal 4 2 2 6 4 4 3 2" xfId="32768" xr:uid="{00000000-0005-0000-0000-0000F85A0000}"/>
    <cellStyle name="Normal 4 2 2 6 4 4 4" xfId="23738" xr:uid="{00000000-0005-0000-0000-0000F95A0000}"/>
    <cellStyle name="Normal 4 2 2 6 4 5" xfId="5180" xr:uid="{00000000-0005-0000-0000-0000FA5A0000}"/>
    <cellStyle name="Normal 4 2 2 6 4 5 2" xfId="14210" xr:uid="{00000000-0005-0000-0000-0000FB5A0000}"/>
    <cellStyle name="Normal 4 2 2 6 4 5 2 2" xfId="34262" xr:uid="{00000000-0005-0000-0000-0000FC5A0000}"/>
    <cellStyle name="Normal 4 2 2 6 4 5 3" xfId="25232" xr:uid="{00000000-0005-0000-0000-0000FD5A0000}"/>
    <cellStyle name="Normal 4 2 2 6 4 6" xfId="9728" xr:uid="{00000000-0005-0000-0000-0000FE5A0000}"/>
    <cellStyle name="Normal 4 2 2 6 4 6 2" xfId="29780" xr:uid="{00000000-0005-0000-0000-0000FF5A0000}"/>
    <cellStyle name="Normal 4 2 2 6 4 7" xfId="20750" xr:uid="{00000000-0005-0000-0000-0000005B0000}"/>
    <cellStyle name="Normal 4 2 2 6 5" xfId="885" xr:uid="{00000000-0005-0000-0000-0000015B0000}"/>
    <cellStyle name="Normal 4 2 2 6 5 2" xfId="2379" xr:uid="{00000000-0005-0000-0000-0000025B0000}"/>
    <cellStyle name="Normal 4 2 2 6 5 2 2" xfId="6861" xr:uid="{00000000-0005-0000-0000-0000035B0000}"/>
    <cellStyle name="Normal 4 2 2 6 5 2 2 2" xfId="15891" xr:uid="{00000000-0005-0000-0000-0000045B0000}"/>
    <cellStyle name="Normal 4 2 2 6 5 2 2 2 2" xfId="35943" xr:uid="{00000000-0005-0000-0000-0000055B0000}"/>
    <cellStyle name="Normal 4 2 2 6 5 2 2 3" xfId="26913" xr:uid="{00000000-0005-0000-0000-0000065B0000}"/>
    <cellStyle name="Normal 4 2 2 6 5 2 3" xfId="11409" xr:uid="{00000000-0005-0000-0000-0000075B0000}"/>
    <cellStyle name="Normal 4 2 2 6 5 2 3 2" xfId="31461" xr:uid="{00000000-0005-0000-0000-0000085B0000}"/>
    <cellStyle name="Normal 4 2 2 6 5 2 4" xfId="22431" xr:uid="{00000000-0005-0000-0000-0000095B0000}"/>
    <cellStyle name="Normal 4 2 2 6 5 3" xfId="3873" xr:uid="{00000000-0005-0000-0000-00000A5B0000}"/>
    <cellStyle name="Normal 4 2 2 6 5 3 2" xfId="8355" xr:uid="{00000000-0005-0000-0000-00000B5B0000}"/>
    <cellStyle name="Normal 4 2 2 6 5 3 2 2" xfId="17385" xr:uid="{00000000-0005-0000-0000-00000C5B0000}"/>
    <cellStyle name="Normal 4 2 2 6 5 3 2 2 2" xfId="37437" xr:uid="{00000000-0005-0000-0000-00000D5B0000}"/>
    <cellStyle name="Normal 4 2 2 6 5 3 2 3" xfId="28407" xr:uid="{00000000-0005-0000-0000-00000E5B0000}"/>
    <cellStyle name="Normal 4 2 2 6 5 3 3" xfId="12903" xr:uid="{00000000-0005-0000-0000-00000F5B0000}"/>
    <cellStyle name="Normal 4 2 2 6 5 3 3 2" xfId="32955" xr:uid="{00000000-0005-0000-0000-0000105B0000}"/>
    <cellStyle name="Normal 4 2 2 6 5 3 4" xfId="23925" xr:uid="{00000000-0005-0000-0000-0000115B0000}"/>
    <cellStyle name="Normal 4 2 2 6 5 4" xfId="5367" xr:uid="{00000000-0005-0000-0000-0000125B0000}"/>
    <cellStyle name="Normal 4 2 2 6 5 4 2" xfId="14397" xr:uid="{00000000-0005-0000-0000-0000135B0000}"/>
    <cellStyle name="Normal 4 2 2 6 5 4 2 2" xfId="34449" xr:uid="{00000000-0005-0000-0000-0000145B0000}"/>
    <cellStyle name="Normal 4 2 2 6 5 4 3" xfId="25419" xr:uid="{00000000-0005-0000-0000-0000155B0000}"/>
    <cellStyle name="Normal 4 2 2 6 5 5" xfId="9915" xr:uid="{00000000-0005-0000-0000-0000165B0000}"/>
    <cellStyle name="Normal 4 2 2 6 5 5 2" xfId="29967" xr:uid="{00000000-0005-0000-0000-0000175B0000}"/>
    <cellStyle name="Normal 4 2 2 6 5 6" xfId="20937" xr:uid="{00000000-0005-0000-0000-0000185B0000}"/>
    <cellStyle name="Normal 4 2 2 6 6" xfId="1634" xr:uid="{00000000-0005-0000-0000-0000195B0000}"/>
    <cellStyle name="Normal 4 2 2 6 6 2" xfId="6116" xr:uid="{00000000-0005-0000-0000-00001A5B0000}"/>
    <cellStyle name="Normal 4 2 2 6 6 2 2" xfId="15146" xr:uid="{00000000-0005-0000-0000-00001B5B0000}"/>
    <cellStyle name="Normal 4 2 2 6 6 2 2 2" xfId="35198" xr:uid="{00000000-0005-0000-0000-00001C5B0000}"/>
    <cellStyle name="Normal 4 2 2 6 6 2 3" xfId="26168" xr:uid="{00000000-0005-0000-0000-00001D5B0000}"/>
    <cellStyle name="Normal 4 2 2 6 6 3" xfId="10664" xr:uid="{00000000-0005-0000-0000-00001E5B0000}"/>
    <cellStyle name="Normal 4 2 2 6 6 3 2" xfId="30716" xr:uid="{00000000-0005-0000-0000-00001F5B0000}"/>
    <cellStyle name="Normal 4 2 2 6 6 4" xfId="21686" xr:uid="{00000000-0005-0000-0000-0000205B0000}"/>
    <cellStyle name="Normal 4 2 2 6 7" xfId="3128" xr:uid="{00000000-0005-0000-0000-0000215B0000}"/>
    <cellStyle name="Normal 4 2 2 6 7 2" xfId="7610" xr:uid="{00000000-0005-0000-0000-0000225B0000}"/>
    <cellStyle name="Normal 4 2 2 6 7 2 2" xfId="16640" xr:uid="{00000000-0005-0000-0000-0000235B0000}"/>
    <cellStyle name="Normal 4 2 2 6 7 2 2 2" xfId="36692" xr:uid="{00000000-0005-0000-0000-0000245B0000}"/>
    <cellStyle name="Normal 4 2 2 6 7 2 3" xfId="27662" xr:uid="{00000000-0005-0000-0000-0000255B0000}"/>
    <cellStyle name="Normal 4 2 2 6 7 3" xfId="12158" xr:uid="{00000000-0005-0000-0000-0000265B0000}"/>
    <cellStyle name="Normal 4 2 2 6 7 3 2" xfId="32210" xr:uid="{00000000-0005-0000-0000-0000275B0000}"/>
    <cellStyle name="Normal 4 2 2 6 7 4" xfId="23180" xr:uid="{00000000-0005-0000-0000-0000285B0000}"/>
    <cellStyle name="Normal 4 2 2 6 8" xfId="4622" xr:uid="{00000000-0005-0000-0000-0000295B0000}"/>
    <cellStyle name="Normal 4 2 2 6 8 2" xfId="13652" xr:uid="{00000000-0005-0000-0000-00002A5B0000}"/>
    <cellStyle name="Normal 4 2 2 6 8 2 2" xfId="33704" xr:uid="{00000000-0005-0000-0000-00002B5B0000}"/>
    <cellStyle name="Normal 4 2 2 6 8 3" xfId="24674" xr:uid="{00000000-0005-0000-0000-00002C5B0000}"/>
    <cellStyle name="Normal 4 2 2 6 9" xfId="9170" xr:uid="{00000000-0005-0000-0000-00002D5B0000}"/>
    <cellStyle name="Normal 4 2 2 6 9 2" xfId="29222" xr:uid="{00000000-0005-0000-0000-00002E5B0000}"/>
    <cellStyle name="Normal 4 2 2 7" xfId="163" xr:uid="{00000000-0005-0000-0000-00002F5B0000}"/>
    <cellStyle name="Normal 4 2 2 7 10" xfId="20215" xr:uid="{00000000-0005-0000-0000-0000305B0000}"/>
    <cellStyle name="Normal 4 2 2 7 2" xfId="349" xr:uid="{00000000-0005-0000-0000-0000315B0000}"/>
    <cellStyle name="Normal 4 2 2 7 2 2" xfId="1092" xr:uid="{00000000-0005-0000-0000-0000325B0000}"/>
    <cellStyle name="Normal 4 2 2 7 2 2 2" xfId="2586" xr:uid="{00000000-0005-0000-0000-0000335B0000}"/>
    <cellStyle name="Normal 4 2 2 7 2 2 2 2" xfId="7068" xr:uid="{00000000-0005-0000-0000-0000345B0000}"/>
    <cellStyle name="Normal 4 2 2 7 2 2 2 2 2" xfId="16098" xr:uid="{00000000-0005-0000-0000-0000355B0000}"/>
    <cellStyle name="Normal 4 2 2 7 2 2 2 2 2 2" xfId="36150" xr:uid="{00000000-0005-0000-0000-0000365B0000}"/>
    <cellStyle name="Normal 4 2 2 7 2 2 2 2 3" xfId="27120" xr:uid="{00000000-0005-0000-0000-0000375B0000}"/>
    <cellStyle name="Normal 4 2 2 7 2 2 2 3" xfId="11616" xr:uid="{00000000-0005-0000-0000-0000385B0000}"/>
    <cellStyle name="Normal 4 2 2 7 2 2 2 3 2" xfId="31668" xr:uid="{00000000-0005-0000-0000-0000395B0000}"/>
    <cellStyle name="Normal 4 2 2 7 2 2 2 4" xfId="22638" xr:uid="{00000000-0005-0000-0000-00003A5B0000}"/>
    <cellStyle name="Normal 4 2 2 7 2 2 3" xfId="4080" xr:uid="{00000000-0005-0000-0000-00003B5B0000}"/>
    <cellStyle name="Normal 4 2 2 7 2 2 3 2" xfId="8562" xr:uid="{00000000-0005-0000-0000-00003C5B0000}"/>
    <cellStyle name="Normal 4 2 2 7 2 2 3 2 2" xfId="17592" xr:uid="{00000000-0005-0000-0000-00003D5B0000}"/>
    <cellStyle name="Normal 4 2 2 7 2 2 3 2 2 2" xfId="37644" xr:uid="{00000000-0005-0000-0000-00003E5B0000}"/>
    <cellStyle name="Normal 4 2 2 7 2 2 3 2 3" xfId="28614" xr:uid="{00000000-0005-0000-0000-00003F5B0000}"/>
    <cellStyle name="Normal 4 2 2 7 2 2 3 3" xfId="13110" xr:uid="{00000000-0005-0000-0000-0000405B0000}"/>
    <cellStyle name="Normal 4 2 2 7 2 2 3 3 2" xfId="33162" xr:uid="{00000000-0005-0000-0000-0000415B0000}"/>
    <cellStyle name="Normal 4 2 2 7 2 2 3 4" xfId="24132" xr:uid="{00000000-0005-0000-0000-0000425B0000}"/>
    <cellStyle name="Normal 4 2 2 7 2 2 4" xfId="5574" xr:uid="{00000000-0005-0000-0000-0000435B0000}"/>
    <cellStyle name="Normal 4 2 2 7 2 2 4 2" xfId="14604" xr:uid="{00000000-0005-0000-0000-0000445B0000}"/>
    <cellStyle name="Normal 4 2 2 7 2 2 4 2 2" xfId="34656" xr:uid="{00000000-0005-0000-0000-0000455B0000}"/>
    <cellStyle name="Normal 4 2 2 7 2 2 4 3" xfId="25626" xr:uid="{00000000-0005-0000-0000-0000465B0000}"/>
    <cellStyle name="Normal 4 2 2 7 2 2 5" xfId="10122" xr:uid="{00000000-0005-0000-0000-0000475B0000}"/>
    <cellStyle name="Normal 4 2 2 7 2 2 5 2" xfId="30174" xr:uid="{00000000-0005-0000-0000-0000485B0000}"/>
    <cellStyle name="Normal 4 2 2 7 2 2 6" xfId="21144" xr:uid="{00000000-0005-0000-0000-0000495B0000}"/>
    <cellStyle name="Normal 4 2 2 7 2 3" xfId="1843" xr:uid="{00000000-0005-0000-0000-00004A5B0000}"/>
    <cellStyle name="Normal 4 2 2 7 2 3 2" xfId="6325" xr:uid="{00000000-0005-0000-0000-00004B5B0000}"/>
    <cellStyle name="Normal 4 2 2 7 2 3 2 2" xfId="15355" xr:uid="{00000000-0005-0000-0000-00004C5B0000}"/>
    <cellStyle name="Normal 4 2 2 7 2 3 2 2 2" xfId="35407" xr:uid="{00000000-0005-0000-0000-00004D5B0000}"/>
    <cellStyle name="Normal 4 2 2 7 2 3 2 3" xfId="26377" xr:uid="{00000000-0005-0000-0000-00004E5B0000}"/>
    <cellStyle name="Normal 4 2 2 7 2 3 3" xfId="10873" xr:uid="{00000000-0005-0000-0000-00004F5B0000}"/>
    <cellStyle name="Normal 4 2 2 7 2 3 3 2" xfId="30925" xr:uid="{00000000-0005-0000-0000-0000505B0000}"/>
    <cellStyle name="Normal 4 2 2 7 2 3 4" xfId="21895" xr:uid="{00000000-0005-0000-0000-0000515B0000}"/>
    <cellStyle name="Normal 4 2 2 7 2 4" xfId="3337" xr:uid="{00000000-0005-0000-0000-0000525B0000}"/>
    <cellStyle name="Normal 4 2 2 7 2 4 2" xfId="7819" xr:uid="{00000000-0005-0000-0000-0000535B0000}"/>
    <cellStyle name="Normal 4 2 2 7 2 4 2 2" xfId="16849" xr:uid="{00000000-0005-0000-0000-0000545B0000}"/>
    <cellStyle name="Normal 4 2 2 7 2 4 2 2 2" xfId="36901" xr:uid="{00000000-0005-0000-0000-0000555B0000}"/>
    <cellStyle name="Normal 4 2 2 7 2 4 2 3" xfId="27871" xr:uid="{00000000-0005-0000-0000-0000565B0000}"/>
    <cellStyle name="Normal 4 2 2 7 2 4 3" xfId="12367" xr:uid="{00000000-0005-0000-0000-0000575B0000}"/>
    <cellStyle name="Normal 4 2 2 7 2 4 3 2" xfId="32419" xr:uid="{00000000-0005-0000-0000-0000585B0000}"/>
    <cellStyle name="Normal 4 2 2 7 2 4 4" xfId="23389" xr:uid="{00000000-0005-0000-0000-0000595B0000}"/>
    <cellStyle name="Normal 4 2 2 7 2 5" xfId="4831" xr:uid="{00000000-0005-0000-0000-00005A5B0000}"/>
    <cellStyle name="Normal 4 2 2 7 2 5 2" xfId="13861" xr:uid="{00000000-0005-0000-0000-00005B5B0000}"/>
    <cellStyle name="Normal 4 2 2 7 2 5 2 2" xfId="33913" xr:uid="{00000000-0005-0000-0000-00005C5B0000}"/>
    <cellStyle name="Normal 4 2 2 7 2 5 3" xfId="24883" xr:uid="{00000000-0005-0000-0000-00005D5B0000}"/>
    <cellStyle name="Normal 4 2 2 7 2 6" xfId="9379" xr:uid="{00000000-0005-0000-0000-00005E5B0000}"/>
    <cellStyle name="Normal 4 2 2 7 2 6 2" xfId="29431" xr:uid="{00000000-0005-0000-0000-00005F5B0000}"/>
    <cellStyle name="Normal 4 2 2 7 2 7" xfId="20401" xr:uid="{00000000-0005-0000-0000-0000605B0000}"/>
    <cellStyle name="Normal 4 2 2 7 3" xfId="535" xr:uid="{00000000-0005-0000-0000-0000615B0000}"/>
    <cellStyle name="Normal 4 2 2 7 3 2" xfId="1282" xr:uid="{00000000-0005-0000-0000-0000625B0000}"/>
    <cellStyle name="Normal 4 2 2 7 3 2 2" xfId="2776" xr:uid="{00000000-0005-0000-0000-0000635B0000}"/>
    <cellStyle name="Normal 4 2 2 7 3 2 2 2" xfId="7258" xr:uid="{00000000-0005-0000-0000-0000645B0000}"/>
    <cellStyle name="Normal 4 2 2 7 3 2 2 2 2" xfId="16288" xr:uid="{00000000-0005-0000-0000-0000655B0000}"/>
    <cellStyle name="Normal 4 2 2 7 3 2 2 2 2 2" xfId="36340" xr:uid="{00000000-0005-0000-0000-0000665B0000}"/>
    <cellStyle name="Normal 4 2 2 7 3 2 2 2 3" xfId="27310" xr:uid="{00000000-0005-0000-0000-0000675B0000}"/>
    <cellStyle name="Normal 4 2 2 7 3 2 2 3" xfId="11806" xr:uid="{00000000-0005-0000-0000-0000685B0000}"/>
    <cellStyle name="Normal 4 2 2 7 3 2 2 3 2" xfId="31858" xr:uid="{00000000-0005-0000-0000-0000695B0000}"/>
    <cellStyle name="Normal 4 2 2 7 3 2 2 4" xfId="22828" xr:uid="{00000000-0005-0000-0000-00006A5B0000}"/>
    <cellStyle name="Normal 4 2 2 7 3 2 3" xfId="4270" xr:uid="{00000000-0005-0000-0000-00006B5B0000}"/>
    <cellStyle name="Normal 4 2 2 7 3 2 3 2" xfId="8752" xr:uid="{00000000-0005-0000-0000-00006C5B0000}"/>
    <cellStyle name="Normal 4 2 2 7 3 2 3 2 2" xfId="17782" xr:uid="{00000000-0005-0000-0000-00006D5B0000}"/>
    <cellStyle name="Normal 4 2 2 7 3 2 3 2 2 2" xfId="37834" xr:uid="{00000000-0005-0000-0000-00006E5B0000}"/>
    <cellStyle name="Normal 4 2 2 7 3 2 3 2 3" xfId="28804" xr:uid="{00000000-0005-0000-0000-00006F5B0000}"/>
    <cellStyle name="Normal 4 2 2 7 3 2 3 3" xfId="13300" xr:uid="{00000000-0005-0000-0000-0000705B0000}"/>
    <cellStyle name="Normal 4 2 2 7 3 2 3 3 2" xfId="33352" xr:uid="{00000000-0005-0000-0000-0000715B0000}"/>
    <cellStyle name="Normal 4 2 2 7 3 2 3 4" xfId="24322" xr:uid="{00000000-0005-0000-0000-0000725B0000}"/>
    <cellStyle name="Normal 4 2 2 7 3 2 4" xfId="5764" xr:uid="{00000000-0005-0000-0000-0000735B0000}"/>
    <cellStyle name="Normal 4 2 2 7 3 2 4 2" xfId="14794" xr:uid="{00000000-0005-0000-0000-0000745B0000}"/>
    <cellStyle name="Normal 4 2 2 7 3 2 4 2 2" xfId="34846" xr:uid="{00000000-0005-0000-0000-0000755B0000}"/>
    <cellStyle name="Normal 4 2 2 7 3 2 4 3" xfId="25816" xr:uid="{00000000-0005-0000-0000-0000765B0000}"/>
    <cellStyle name="Normal 4 2 2 7 3 2 5" xfId="10312" xr:uid="{00000000-0005-0000-0000-0000775B0000}"/>
    <cellStyle name="Normal 4 2 2 7 3 2 5 2" xfId="30364" xr:uid="{00000000-0005-0000-0000-0000785B0000}"/>
    <cellStyle name="Normal 4 2 2 7 3 2 6" xfId="21334" xr:uid="{00000000-0005-0000-0000-0000795B0000}"/>
    <cellStyle name="Normal 4 2 2 7 3 3" xfId="2029" xr:uid="{00000000-0005-0000-0000-00007A5B0000}"/>
    <cellStyle name="Normal 4 2 2 7 3 3 2" xfId="6511" xr:uid="{00000000-0005-0000-0000-00007B5B0000}"/>
    <cellStyle name="Normal 4 2 2 7 3 3 2 2" xfId="15541" xr:uid="{00000000-0005-0000-0000-00007C5B0000}"/>
    <cellStyle name="Normal 4 2 2 7 3 3 2 2 2" xfId="35593" xr:uid="{00000000-0005-0000-0000-00007D5B0000}"/>
    <cellStyle name="Normal 4 2 2 7 3 3 2 3" xfId="26563" xr:uid="{00000000-0005-0000-0000-00007E5B0000}"/>
    <cellStyle name="Normal 4 2 2 7 3 3 3" xfId="11059" xr:uid="{00000000-0005-0000-0000-00007F5B0000}"/>
    <cellStyle name="Normal 4 2 2 7 3 3 3 2" xfId="31111" xr:uid="{00000000-0005-0000-0000-0000805B0000}"/>
    <cellStyle name="Normal 4 2 2 7 3 3 4" xfId="22081" xr:uid="{00000000-0005-0000-0000-0000815B0000}"/>
    <cellStyle name="Normal 4 2 2 7 3 4" xfId="3523" xr:uid="{00000000-0005-0000-0000-0000825B0000}"/>
    <cellStyle name="Normal 4 2 2 7 3 4 2" xfId="8005" xr:uid="{00000000-0005-0000-0000-0000835B0000}"/>
    <cellStyle name="Normal 4 2 2 7 3 4 2 2" xfId="17035" xr:uid="{00000000-0005-0000-0000-0000845B0000}"/>
    <cellStyle name="Normal 4 2 2 7 3 4 2 2 2" xfId="37087" xr:uid="{00000000-0005-0000-0000-0000855B0000}"/>
    <cellStyle name="Normal 4 2 2 7 3 4 2 3" xfId="28057" xr:uid="{00000000-0005-0000-0000-0000865B0000}"/>
    <cellStyle name="Normal 4 2 2 7 3 4 3" xfId="12553" xr:uid="{00000000-0005-0000-0000-0000875B0000}"/>
    <cellStyle name="Normal 4 2 2 7 3 4 3 2" xfId="32605" xr:uid="{00000000-0005-0000-0000-0000885B0000}"/>
    <cellStyle name="Normal 4 2 2 7 3 4 4" xfId="23575" xr:uid="{00000000-0005-0000-0000-0000895B0000}"/>
    <cellStyle name="Normal 4 2 2 7 3 5" xfId="5017" xr:uid="{00000000-0005-0000-0000-00008A5B0000}"/>
    <cellStyle name="Normal 4 2 2 7 3 5 2" xfId="14047" xr:uid="{00000000-0005-0000-0000-00008B5B0000}"/>
    <cellStyle name="Normal 4 2 2 7 3 5 2 2" xfId="34099" xr:uid="{00000000-0005-0000-0000-00008C5B0000}"/>
    <cellStyle name="Normal 4 2 2 7 3 5 3" xfId="25069" xr:uid="{00000000-0005-0000-0000-00008D5B0000}"/>
    <cellStyle name="Normal 4 2 2 7 3 6" xfId="9565" xr:uid="{00000000-0005-0000-0000-00008E5B0000}"/>
    <cellStyle name="Normal 4 2 2 7 3 6 2" xfId="29617" xr:uid="{00000000-0005-0000-0000-00008F5B0000}"/>
    <cellStyle name="Normal 4 2 2 7 3 7" xfId="20587" xr:uid="{00000000-0005-0000-0000-0000905B0000}"/>
    <cellStyle name="Normal 4 2 2 7 4" xfId="721" xr:uid="{00000000-0005-0000-0000-0000915B0000}"/>
    <cellStyle name="Normal 4 2 2 7 4 2" xfId="1468" xr:uid="{00000000-0005-0000-0000-0000925B0000}"/>
    <cellStyle name="Normal 4 2 2 7 4 2 2" xfId="2962" xr:uid="{00000000-0005-0000-0000-0000935B0000}"/>
    <cellStyle name="Normal 4 2 2 7 4 2 2 2" xfId="7444" xr:uid="{00000000-0005-0000-0000-0000945B0000}"/>
    <cellStyle name="Normal 4 2 2 7 4 2 2 2 2" xfId="16474" xr:uid="{00000000-0005-0000-0000-0000955B0000}"/>
    <cellStyle name="Normal 4 2 2 7 4 2 2 2 2 2" xfId="36526" xr:uid="{00000000-0005-0000-0000-0000965B0000}"/>
    <cellStyle name="Normal 4 2 2 7 4 2 2 2 3" xfId="27496" xr:uid="{00000000-0005-0000-0000-0000975B0000}"/>
    <cellStyle name="Normal 4 2 2 7 4 2 2 3" xfId="11992" xr:uid="{00000000-0005-0000-0000-0000985B0000}"/>
    <cellStyle name="Normal 4 2 2 7 4 2 2 3 2" xfId="32044" xr:uid="{00000000-0005-0000-0000-0000995B0000}"/>
    <cellStyle name="Normal 4 2 2 7 4 2 2 4" xfId="23014" xr:uid="{00000000-0005-0000-0000-00009A5B0000}"/>
    <cellStyle name="Normal 4 2 2 7 4 2 3" xfId="4456" xr:uid="{00000000-0005-0000-0000-00009B5B0000}"/>
    <cellStyle name="Normal 4 2 2 7 4 2 3 2" xfId="8938" xr:uid="{00000000-0005-0000-0000-00009C5B0000}"/>
    <cellStyle name="Normal 4 2 2 7 4 2 3 2 2" xfId="17968" xr:uid="{00000000-0005-0000-0000-00009D5B0000}"/>
    <cellStyle name="Normal 4 2 2 7 4 2 3 2 2 2" xfId="38020" xr:uid="{00000000-0005-0000-0000-00009E5B0000}"/>
    <cellStyle name="Normal 4 2 2 7 4 2 3 2 3" xfId="28990" xr:uid="{00000000-0005-0000-0000-00009F5B0000}"/>
    <cellStyle name="Normal 4 2 2 7 4 2 3 3" xfId="13486" xr:uid="{00000000-0005-0000-0000-0000A05B0000}"/>
    <cellStyle name="Normal 4 2 2 7 4 2 3 3 2" xfId="33538" xr:uid="{00000000-0005-0000-0000-0000A15B0000}"/>
    <cellStyle name="Normal 4 2 2 7 4 2 3 4" xfId="24508" xr:uid="{00000000-0005-0000-0000-0000A25B0000}"/>
    <cellStyle name="Normal 4 2 2 7 4 2 4" xfId="5950" xr:uid="{00000000-0005-0000-0000-0000A35B0000}"/>
    <cellStyle name="Normal 4 2 2 7 4 2 4 2" xfId="14980" xr:uid="{00000000-0005-0000-0000-0000A45B0000}"/>
    <cellStyle name="Normal 4 2 2 7 4 2 4 2 2" xfId="35032" xr:uid="{00000000-0005-0000-0000-0000A55B0000}"/>
    <cellStyle name="Normal 4 2 2 7 4 2 4 3" xfId="26002" xr:uid="{00000000-0005-0000-0000-0000A65B0000}"/>
    <cellStyle name="Normal 4 2 2 7 4 2 5" xfId="10498" xr:uid="{00000000-0005-0000-0000-0000A75B0000}"/>
    <cellStyle name="Normal 4 2 2 7 4 2 5 2" xfId="30550" xr:uid="{00000000-0005-0000-0000-0000A85B0000}"/>
    <cellStyle name="Normal 4 2 2 7 4 2 6" xfId="21520" xr:uid="{00000000-0005-0000-0000-0000A95B0000}"/>
    <cellStyle name="Normal 4 2 2 7 4 3" xfId="2215" xr:uid="{00000000-0005-0000-0000-0000AA5B0000}"/>
    <cellStyle name="Normal 4 2 2 7 4 3 2" xfId="6697" xr:uid="{00000000-0005-0000-0000-0000AB5B0000}"/>
    <cellStyle name="Normal 4 2 2 7 4 3 2 2" xfId="15727" xr:uid="{00000000-0005-0000-0000-0000AC5B0000}"/>
    <cellStyle name="Normal 4 2 2 7 4 3 2 2 2" xfId="35779" xr:uid="{00000000-0005-0000-0000-0000AD5B0000}"/>
    <cellStyle name="Normal 4 2 2 7 4 3 2 3" xfId="26749" xr:uid="{00000000-0005-0000-0000-0000AE5B0000}"/>
    <cellStyle name="Normal 4 2 2 7 4 3 3" xfId="11245" xr:uid="{00000000-0005-0000-0000-0000AF5B0000}"/>
    <cellStyle name="Normal 4 2 2 7 4 3 3 2" xfId="31297" xr:uid="{00000000-0005-0000-0000-0000B05B0000}"/>
    <cellStyle name="Normal 4 2 2 7 4 3 4" xfId="22267" xr:uid="{00000000-0005-0000-0000-0000B15B0000}"/>
    <cellStyle name="Normal 4 2 2 7 4 4" xfId="3709" xr:uid="{00000000-0005-0000-0000-0000B25B0000}"/>
    <cellStyle name="Normal 4 2 2 7 4 4 2" xfId="8191" xr:uid="{00000000-0005-0000-0000-0000B35B0000}"/>
    <cellStyle name="Normal 4 2 2 7 4 4 2 2" xfId="17221" xr:uid="{00000000-0005-0000-0000-0000B45B0000}"/>
    <cellStyle name="Normal 4 2 2 7 4 4 2 2 2" xfId="37273" xr:uid="{00000000-0005-0000-0000-0000B55B0000}"/>
    <cellStyle name="Normal 4 2 2 7 4 4 2 3" xfId="28243" xr:uid="{00000000-0005-0000-0000-0000B65B0000}"/>
    <cellStyle name="Normal 4 2 2 7 4 4 3" xfId="12739" xr:uid="{00000000-0005-0000-0000-0000B75B0000}"/>
    <cellStyle name="Normal 4 2 2 7 4 4 3 2" xfId="32791" xr:uid="{00000000-0005-0000-0000-0000B85B0000}"/>
    <cellStyle name="Normal 4 2 2 7 4 4 4" xfId="23761" xr:uid="{00000000-0005-0000-0000-0000B95B0000}"/>
    <cellStyle name="Normal 4 2 2 7 4 5" xfId="5203" xr:uid="{00000000-0005-0000-0000-0000BA5B0000}"/>
    <cellStyle name="Normal 4 2 2 7 4 5 2" xfId="14233" xr:uid="{00000000-0005-0000-0000-0000BB5B0000}"/>
    <cellStyle name="Normal 4 2 2 7 4 5 2 2" xfId="34285" xr:uid="{00000000-0005-0000-0000-0000BC5B0000}"/>
    <cellStyle name="Normal 4 2 2 7 4 5 3" xfId="25255" xr:uid="{00000000-0005-0000-0000-0000BD5B0000}"/>
    <cellStyle name="Normal 4 2 2 7 4 6" xfId="9751" xr:uid="{00000000-0005-0000-0000-0000BE5B0000}"/>
    <cellStyle name="Normal 4 2 2 7 4 6 2" xfId="29803" xr:uid="{00000000-0005-0000-0000-0000BF5B0000}"/>
    <cellStyle name="Normal 4 2 2 7 4 7" xfId="20773" xr:uid="{00000000-0005-0000-0000-0000C05B0000}"/>
    <cellStyle name="Normal 4 2 2 7 5" xfId="908" xr:uid="{00000000-0005-0000-0000-0000C15B0000}"/>
    <cellStyle name="Normal 4 2 2 7 5 2" xfId="2402" xr:uid="{00000000-0005-0000-0000-0000C25B0000}"/>
    <cellStyle name="Normal 4 2 2 7 5 2 2" xfId="6884" xr:uid="{00000000-0005-0000-0000-0000C35B0000}"/>
    <cellStyle name="Normal 4 2 2 7 5 2 2 2" xfId="15914" xr:uid="{00000000-0005-0000-0000-0000C45B0000}"/>
    <cellStyle name="Normal 4 2 2 7 5 2 2 2 2" xfId="35966" xr:uid="{00000000-0005-0000-0000-0000C55B0000}"/>
    <cellStyle name="Normal 4 2 2 7 5 2 2 3" xfId="26936" xr:uid="{00000000-0005-0000-0000-0000C65B0000}"/>
    <cellStyle name="Normal 4 2 2 7 5 2 3" xfId="11432" xr:uid="{00000000-0005-0000-0000-0000C75B0000}"/>
    <cellStyle name="Normal 4 2 2 7 5 2 3 2" xfId="31484" xr:uid="{00000000-0005-0000-0000-0000C85B0000}"/>
    <cellStyle name="Normal 4 2 2 7 5 2 4" xfId="22454" xr:uid="{00000000-0005-0000-0000-0000C95B0000}"/>
    <cellStyle name="Normal 4 2 2 7 5 3" xfId="3896" xr:uid="{00000000-0005-0000-0000-0000CA5B0000}"/>
    <cellStyle name="Normal 4 2 2 7 5 3 2" xfId="8378" xr:uid="{00000000-0005-0000-0000-0000CB5B0000}"/>
    <cellStyle name="Normal 4 2 2 7 5 3 2 2" xfId="17408" xr:uid="{00000000-0005-0000-0000-0000CC5B0000}"/>
    <cellStyle name="Normal 4 2 2 7 5 3 2 2 2" xfId="37460" xr:uid="{00000000-0005-0000-0000-0000CD5B0000}"/>
    <cellStyle name="Normal 4 2 2 7 5 3 2 3" xfId="28430" xr:uid="{00000000-0005-0000-0000-0000CE5B0000}"/>
    <cellStyle name="Normal 4 2 2 7 5 3 3" xfId="12926" xr:uid="{00000000-0005-0000-0000-0000CF5B0000}"/>
    <cellStyle name="Normal 4 2 2 7 5 3 3 2" xfId="32978" xr:uid="{00000000-0005-0000-0000-0000D05B0000}"/>
    <cellStyle name="Normal 4 2 2 7 5 3 4" xfId="23948" xr:uid="{00000000-0005-0000-0000-0000D15B0000}"/>
    <cellStyle name="Normal 4 2 2 7 5 4" xfId="5390" xr:uid="{00000000-0005-0000-0000-0000D25B0000}"/>
    <cellStyle name="Normal 4 2 2 7 5 4 2" xfId="14420" xr:uid="{00000000-0005-0000-0000-0000D35B0000}"/>
    <cellStyle name="Normal 4 2 2 7 5 4 2 2" xfId="34472" xr:uid="{00000000-0005-0000-0000-0000D45B0000}"/>
    <cellStyle name="Normal 4 2 2 7 5 4 3" xfId="25442" xr:uid="{00000000-0005-0000-0000-0000D55B0000}"/>
    <cellStyle name="Normal 4 2 2 7 5 5" xfId="9938" xr:uid="{00000000-0005-0000-0000-0000D65B0000}"/>
    <cellStyle name="Normal 4 2 2 7 5 5 2" xfId="29990" xr:uid="{00000000-0005-0000-0000-0000D75B0000}"/>
    <cellStyle name="Normal 4 2 2 7 5 6" xfId="20960" xr:uid="{00000000-0005-0000-0000-0000D85B0000}"/>
    <cellStyle name="Normal 4 2 2 7 6" xfId="1657" xr:uid="{00000000-0005-0000-0000-0000D95B0000}"/>
    <cellStyle name="Normal 4 2 2 7 6 2" xfId="6139" xr:uid="{00000000-0005-0000-0000-0000DA5B0000}"/>
    <cellStyle name="Normal 4 2 2 7 6 2 2" xfId="15169" xr:uid="{00000000-0005-0000-0000-0000DB5B0000}"/>
    <cellStyle name="Normal 4 2 2 7 6 2 2 2" xfId="35221" xr:uid="{00000000-0005-0000-0000-0000DC5B0000}"/>
    <cellStyle name="Normal 4 2 2 7 6 2 3" xfId="26191" xr:uid="{00000000-0005-0000-0000-0000DD5B0000}"/>
    <cellStyle name="Normal 4 2 2 7 6 3" xfId="10687" xr:uid="{00000000-0005-0000-0000-0000DE5B0000}"/>
    <cellStyle name="Normal 4 2 2 7 6 3 2" xfId="30739" xr:uid="{00000000-0005-0000-0000-0000DF5B0000}"/>
    <cellStyle name="Normal 4 2 2 7 6 4" xfId="21709" xr:uid="{00000000-0005-0000-0000-0000E05B0000}"/>
    <cellStyle name="Normal 4 2 2 7 7" xfId="3151" xr:uid="{00000000-0005-0000-0000-0000E15B0000}"/>
    <cellStyle name="Normal 4 2 2 7 7 2" xfId="7633" xr:uid="{00000000-0005-0000-0000-0000E25B0000}"/>
    <cellStyle name="Normal 4 2 2 7 7 2 2" xfId="16663" xr:uid="{00000000-0005-0000-0000-0000E35B0000}"/>
    <cellStyle name="Normal 4 2 2 7 7 2 2 2" xfId="36715" xr:uid="{00000000-0005-0000-0000-0000E45B0000}"/>
    <cellStyle name="Normal 4 2 2 7 7 2 3" xfId="27685" xr:uid="{00000000-0005-0000-0000-0000E55B0000}"/>
    <cellStyle name="Normal 4 2 2 7 7 3" xfId="12181" xr:uid="{00000000-0005-0000-0000-0000E65B0000}"/>
    <cellStyle name="Normal 4 2 2 7 7 3 2" xfId="32233" xr:uid="{00000000-0005-0000-0000-0000E75B0000}"/>
    <cellStyle name="Normal 4 2 2 7 7 4" xfId="23203" xr:uid="{00000000-0005-0000-0000-0000E85B0000}"/>
    <cellStyle name="Normal 4 2 2 7 8" xfId="4645" xr:uid="{00000000-0005-0000-0000-0000E95B0000}"/>
    <cellStyle name="Normal 4 2 2 7 8 2" xfId="13675" xr:uid="{00000000-0005-0000-0000-0000EA5B0000}"/>
    <cellStyle name="Normal 4 2 2 7 8 2 2" xfId="33727" xr:uid="{00000000-0005-0000-0000-0000EB5B0000}"/>
    <cellStyle name="Normal 4 2 2 7 8 3" xfId="24697" xr:uid="{00000000-0005-0000-0000-0000EC5B0000}"/>
    <cellStyle name="Normal 4 2 2 7 9" xfId="9193" xr:uid="{00000000-0005-0000-0000-0000ED5B0000}"/>
    <cellStyle name="Normal 4 2 2 7 9 2" xfId="29245" xr:uid="{00000000-0005-0000-0000-0000EE5B0000}"/>
    <cellStyle name="Normal 4 2 2 8" xfId="186" xr:uid="{00000000-0005-0000-0000-0000EF5B0000}"/>
    <cellStyle name="Normal 4 2 2 8 10" xfId="20238" xr:uid="{00000000-0005-0000-0000-0000F05B0000}"/>
    <cellStyle name="Normal 4 2 2 8 2" xfId="372" xr:uid="{00000000-0005-0000-0000-0000F15B0000}"/>
    <cellStyle name="Normal 4 2 2 8 2 2" xfId="1115" xr:uid="{00000000-0005-0000-0000-0000F25B0000}"/>
    <cellStyle name="Normal 4 2 2 8 2 2 2" xfId="2609" xr:uid="{00000000-0005-0000-0000-0000F35B0000}"/>
    <cellStyle name="Normal 4 2 2 8 2 2 2 2" xfId="7091" xr:uid="{00000000-0005-0000-0000-0000F45B0000}"/>
    <cellStyle name="Normal 4 2 2 8 2 2 2 2 2" xfId="16121" xr:uid="{00000000-0005-0000-0000-0000F55B0000}"/>
    <cellStyle name="Normal 4 2 2 8 2 2 2 2 2 2" xfId="36173" xr:uid="{00000000-0005-0000-0000-0000F65B0000}"/>
    <cellStyle name="Normal 4 2 2 8 2 2 2 2 3" xfId="27143" xr:uid="{00000000-0005-0000-0000-0000F75B0000}"/>
    <cellStyle name="Normal 4 2 2 8 2 2 2 3" xfId="11639" xr:uid="{00000000-0005-0000-0000-0000F85B0000}"/>
    <cellStyle name="Normal 4 2 2 8 2 2 2 3 2" xfId="31691" xr:uid="{00000000-0005-0000-0000-0000F95B0000}"/>
    <cellStyle name="Normal 4 2 2 8 2 2 2 4" xfId="22661" xr:uid="{00000000-0005-0000-0000-0000FA5B0000}"/>
    <cellStyle name="Normal 4 2 2 8 2 2 3" xfId="4103" xr:uid="{00000000-0005-0000-0000-0000FB5B0000}"/>
    <cellStyle name="Normal 4 2 2 8 2 2 3 2" xfId="8585" xr:uid="{00000000-0005-0000-0000-0000FC5B0000}"/>
    <cellStyle name="Normal 4 2 2 8 2 2 3 2 2" xfId="17615" xr:uid="{00000000-0005-0000-0000-0000FD5B0000}"/>
    <cellStyle name="Normal 4 2 2 8 2 2 3 2 2 2" xfId="37667" xr:uid="{00000000-0005-0000-0000-0000FE5B0000}"/>
    <cellStyle name="Normal 4 2 2 8 2 2 3 2 3" xfId="28637" xr:uid="{00000000-0005-0000-0000-0000FF5B0000}"/>
    <cellStyle name="Normal 4 2 2 8 2 2 3 3" xfId="13133" xr:uid="{00000000-0005-0000-0000-0000005C0000}"/>
    <cellStyle name="Normal 4 2 2 8 2 2 3 3 2" xfId="33185" xr:uid="{00000000-0005-0000-0000-0000015C0000}"/>
    <cellStyle name="Normal 4 2 2 8 2 2 3 4" xfId="24155" xr:uid="{00000000-0005-0000-0000-0000025C0000}"/>
    <cellStyle name="Normal 4 2 2 8 2 2 4" xfId="5597" xr:uid="{00000000-0005-0000-0000-0000035C0000}"/>
    <cellStyle name="Normal 4 2 2 8 2 2 4 2" xfId="14627" xr:uid="{00000000-0005-0000-0000-0000045C0000}"/>
    <cellStyle name="Normal 4 2 2 8 2 2 4 2 2" xfId="34679" xr:uid="{00000000-0005-0000-0000-0000055C0000}"/>
    <cellStyle name="Normal 4 2 2 8 2 2 4 3" xfId="25649" xr:uid="{00000000-0005-0000-0000-0000065C0000}"/>
    <cellStyle name="Normal 4 2 2 8 2 2 5" xfId="10145" xr:uid="{00000000-0005-0000-0000-0000075C0000}"/>
    <cellStyle name="Normal 4 2 2 8 2 2 5 2" xfId="30197" xr:uid="{00000000-0005-0000-0000-0000085C0000}"/>
    <cellStyle name="Normal 4 2 2 8 2 2 6" xfId="21167" xr:uid="{00000000-0005-0000-0000-0000095C0000}"/>
    <cellStyle name="Normal 4 2 2 8 2 3" xfId="1866" xr:uid="{00000000-0005-0000-0000-00000A5C0000}"/>
    <cellStyle name="Normal 4 2 2 8 2 3 2" xfId="6348" xr:uid="{00000000-0005-0000-0000-00000B5C0000}"/>
    <cellStyle name="Normal 4 2 2 8 2 3 2 2" xfId="15378" xr:uid="{00000000-0005-0000-0000-00000C5C0000}"/>
    <cellStyle name="Normal 4 2 2 8 2 3 2 2 2" xfId="35430" xr:uid="{00000000-0005-0000-0000-00000D5C0000}"/>
    <cellStyle name="Normal 4 2 2 8 2 3 2 3" xfId="26400" xr:uid="{00000000-0005-0000-0000-00000E5C0000}"/>
    <cellStyle name="Normal 4 2 2 8 2 3 3" xfId="10896" xr:uid="{00000000-0005-0000-0000-00000F5C0000}"/>
    <cellStyle name="Normal 4 2 2 8 2 3 3 2" xfId="30948" xr:uid="{00000000-0005-0000-0000-0000105C0000}"/>
    <cellStyle name="Normal 4 2 2 8 2 3 4" xfId="21918" xr:uid="{00000000-0005-0000-0000-0000115C0000}"/>
    <cellStyle name="Normal 4 2 2 8 2 4" xfId="3360" xr:uid="{00000000-0005-0000-0000-0000125C0000}"/>
    <cellStyle name="Normal 4 2 2 8 2 4 2" xfId="7842" xr:uid="{00000000-0005-0000-0000-0000135C0000}"/>
    <cellStyle name="Normal 4 2 2 8 2 4 2 2" xfId="16872" xr:uid="{00000000-0005-0000-0000-0000145C0000}"/>
    <cellStyle name="Normal 4 2 2 8 2 4 2 2 2" xfId="36924" xr:uid="{00000000-0005-0000-0000-0000155C0000}"/>
    <cellStyle name="Normal 4 2 2 8 2 4 2 3" xfId="27894" xr:uid="{00000000-0005-0000-0000-0000165C0000}"/>
    <cellStyle name="Normal 4 2 2 8 2 4 3" xfId="12390" xr:uid="{00000000-0005-0000-0000-0000175C0000}"/>
    <cellStyle name="Normal 4 2 2 8 2 4 3 2" xfId="32442" xr:uid="{00000000-0005-0000-0000-0000185C0000}"/>
    <cellStyle name="Normal 4 2 2 8 2 4 4" xfId="23412" xr:uid="{00000000-0005-0000-0000-0000195C0000}"/>
    <cellStyle name="Normal 4 2 2 8 2 5" xfId="4854" xr:uid="{00000000-0005-0000-0000-00001A5C0000}"/>
    <cellStyle name="Normal 4 2 2 8 2 5 2" xfId="13884" xr:uid="{00000000-0005-0000-0000-00001B5C0000}"/>
    <cellStyle name="Normal 4 2 2 8 2 5 2 2" xfId="33936" xr:uid="{00000000-0005-0000-0000-00001C5C0000}"/>
    <cellStyle name="Normal 4 2 2 8 2 5 3" xfId="24906" xr:uid="{00000000-0005-0000-0000-00001D5C0000}"/>
    <cellStyle name="Normal 4 2 2 8 2 6" xfId="9402" xr:uid="{00000000-0005-0000-0000-00001E5C0000}"/>
    <cellStyle name="Normal 4 2 2 8 2 6 2" xfId="29454" xr:uid="{00000000-0005-0000-0000-00001F5C0000}"/>
    <cellStyle name="Normal 4 2 2 8 2 7" xfId="20424" xr:uid="{00000000-0005-0000-0000-0000205C0000}"/>
    <cellStyle name="Normal 4 2 2 8 3" xfId="558" xr:uid="{00000000-0005-0000-0000-0000215C0000}"/>
    <cellStyle name="Normal 4 2 2 8 3 2" xfId="1305" xr:uid="{00000000-0005-0000-0000-0000225C0000}"/>
    <cellStyle name="Normal 4 2 2 8 3 2 2" xfId="2799" xr:uid="{00000000-0005-0000-0000-0000235C0000}"/>
    <cellStyle name="Normal 4 2 2 8 3 2 2 2" xfId="7281" xr:uid="{00000000-0005-0000-0000-0000245C0000}"/>
    <cellStyle name="Normal 4 2 2 8 3 2 2 2 2" xfId="16311" xr:uid="{00000000-0005-0000-0000-0000255C0000}"/>
    <cellStyle name="Normal 4 2 2 8 3 2 2 2 2 2" xfId="36363" xr:uid="{00000000-0005-0000-0000-0000265C0000}"/>
    <cellStyle name="Normal 4 2 2 8 3 2 2 2 3" xfId="27333" xr:uid="{00000000-0005-0000-0000-0000275C0000}"/>
    <cellStyle name="Normal 4 2 2 8 3 2 2 3" xfId="11829" xr:uid="{00000000-0005-0000-0000-0000285C0000}"/>
    <cellStyle name="Normal 4 2 2 8 3 2 2 3 2" xfId="31881" xr:uid="{00000000-0005-0000-0000-0000295C0000}"/>
    <cellStyle name="Normal 4 2 2 8 3 2 2 4" xfId="22851" xr:uid="{00000000-0005-0000-0000-00002A5C0000}"/>
    <cellStyle name="Normal 4 2 2 8 3 2 3" xfId="4293" xr:uid="{00000000-0005-0000-0000-00002B5C0000}"/>
    <cellStyle name="Normal 4 2 2 8 3 2 3 2" xfId="8775" xr:uid="{00000000-0005-0000-0000-00002C5C0000}"/>
    <cellStyle name="Normal 4 2 2 8 3 2 3 2 2" xfId="17805" xr:uid="{00000000-0005-0000-0000-00002D5C0000}"/>
    <cellStyle name="Normal 4 2 2 8 3 2 3 2 2 2" xfId="37857" xr:uid="{00000000-0005-0000-0000-00002E5C0000}"/>
    <cellStyle name="Normal 4 2 2 8 3 2 3 2 3" xfId="28827" xr:uid="{00000000-0005-0000-0000-00002F5C0000}"/>
    <cellStyle name="Normal 4 2 2 8 3 2 3 3" xfId="13323" xr:uid="{00000000-0005-0000-0000-0000305C0000}"/>
    <cellStyle name="Normal 4 2 2 8 3 2 3 3 2" xfId="33375" xr:uid="{00000000-0005-0000-0000-0000315C0000}"/>
    <cellStyle name="Normal 4 2 2 8 3 2 3 4" xfId="24345" xr:uid="{00000000-0005-0000-0000-0000325C0000}"/>
    <cellStyle name="Normal 4 2 2 8 3 2 4" xfId="5787" xr:uid="{00000000-0005-0000-0000-0000335C0000}"/>
    <cellStyle name="Normal 4 2 2 8 3 2 4 2" xfId="14817" xr:uid="{00000000-0005-0000-0000-0000345C0000}"/>
    <cellStyle name="Normal 4 2 2 8 3 2 4 2 2" xfId="34869" xr:uid="{00000000-0005-0000-0000-0000355C0000}"/>
    <cellStyle name="Normal 4 2 2 8 3 2 4 3" xfId="25839" xr:uid="{00000000-0005-0000-0000-0000365C0000}"/>
    <cellStyle name="Normal 4 2 2 8 3 2 5" xfId="10335" xr:uid="{00000000-0005-0000-0000-0000375C0000}"/>
    <cellStyle name="Normal 4 2 2 8 3 2 5 2" xfId="30387" xr:uid="{00000000-0005-0000-0000-0000385C0000}"/>
    <cellStyle name="Normal 4 2 2 8 3 2 6" xfId="21357" xr:uid="{00000000-0005-0000-0000-0000395C0000}"/>
    <cellStyle name="Normal 4 2 2 8 3 3" xfId="2052" xr:uid="{00000000-0005-0000-0000-00003A5C0000}"/>
    <cellStyle name="Normal 4 2 2 8 3 3 2" xfId="6534" xr:uid="{00000000-0005-0000-0000-00003B5C0000}"/>
    <cellStyle name="Normal 4 2 2 8 3 3 2 2" xfId="15564" xr:uid="{00000000-0005-0000-0000-00003C5C0000}"/>
    <cellStyle name="Normal 4 2 2 8 3 3 2 2 2" xfId="35616" xr:uid="{00000000-0005-0000-0000-00003D5C0000}"/>
    <cellStyle name="Normal 4 2 2 8 3 3 2 3" xfId="26586" xr:uid="{00000000-0005-0000-0000-00003E5C0000}"/>
    <cellStyle name="Normal 4 2 2 8 3 3 3" xfId="11082" xr:uid="{00000000-0005-0000-0000-00003F5C0000}"/>
    <cellStyle name="Normal 4 2 2 8 3 3 3 2" xfId="31134" xr:uid="{00000000-0005-0000-0000-0000405C0000}"/>
    <cellStyle name="Normal 4 2 2 8 3 3 4" xfId="22104" xr:uid="{00000000-0005-0000-0000-0000415C0000}"/>
    <cellStyle name="Normal 4 2 2 8 3 4" xfId="3546" xr:uid="{00000000-0005-0000-0000-0000425C0000}"/>
    <cellStyle name="Normal 4 2 2 8 3 4 2" xfId="8028" xr:uid="{00000000-0005-0000-0000-0000435C0000}"/>
    <cellStyle name="Normal 4 2 2 8 3 4 2 2" xfId="17058" xr:uid="{00000000-0005-0000-0000-0000445C0000}"/>
    <cellStyle name="Normal 4 2 2 8 3 4 2 2 2" xfId="37110" xr:uid="{00000000-0005-0000-0000-0000455C0000}"/>
    <cellStyle name="Normal 4 2 2 8 3 4 2 3" xfId="28080" xr:uid="{00000000-0005-0000-0000-0000465C0000}"/>
    <cellStyle name="Normal 4 2 2 8 3 4 3" xfId="12576" xr:uid="{00000000-0005-0000-0000-0000475C0000}"/>
    <cellStyle name="Normal 4 2 2 8 3 4 3 2" xfId="32628" xr:uid="{00000000-0005-0000-0000-0000485C0000}"/>
    <cellStyle name="Normal 4 2 2 8 3 4 4" xfId="23598" xr:uid="{00000000-0005-0000-0000-0000495C0000}"/>
    <cellStyle name="Normal 4 2 2 8 3 5" xfId="5040" xr:uid="{00000000-0005-0000-0000-00004A5C0000}"/>
    <cellStyle name="Normal 4 2 2 8 3 5 2" xfId="14070" xr:uid="{00000000-0005-0000-0000-00004B5C0000}"/>
    <cellStyle name="Normal 4 2 2 8 3 5 2 2" xfId="34122" xr:uid="{00000000-0005-0000-0000-00004C5C0000}"/>
    <cellStyle name="Normal 4 2 2 8 3 5 3" xfId="25092" xr:uid="{00000000-0005-0000-0000-00004D5C0000}"/>
    <cellStyle name="Normal 4 2 2 8 3 6" xfId="9588" xr:uid="{00000000-0005-0000-0000-00004E5C0000}"/>
    <cellStyle name="Normal 4 2 2 8 3 6 2" xfId="29640" xr:uid="{00000000-0005-0000-0000-00004F5C0000}"/>
    <cellStyle name="Normal 4 2 2 8 3 7" xfId="20610" xr:uid="{00000000-0005-0000-0000-0000505C0000}"/>
    <cellStyle name="Normal 4 2 2 8 4" xfId="744" xr:uid="{00000000-0005-0000-0000-0000515C0000}"/>
    <cellStyle name="Normal 4 2 2 8 4 2" xfId="1491" xr:uid="{00000000-0005-0000-0000-0000525C0000}"/>
    <cellStyle name="Normal 4 2 2 8 4 2 2" xfId="2985" xr:uid="{00000000-0005-0000-0000-0000535C0000}"/>
    <cellStyle name="Normal 4 2 2 8 4 2 2 2" xfId="7467" xr:uid="{00000000-0005-0000-0000-0000545C0000}"/>
    <cellStyle name="Normal 4 2 2 8 4 2 2 2 2" xfId="16497" xr:uid="{00000000-0005-0000-0000-0000555C0000}"/>
    <cellStyle name="Normal 4 2 2 8 4 2 2 2 2 2" xfId="36549" xr:uid="{00000000-0005-0000-0000-0000565C0000}"/>
    <cellStyle name="Normal 4 2 2 8 4 2 2 2 3" xfId="27519" xr:uid="{00000000-0005-0000-0000-0000575C0000}"/>
    <cellStyle name="Normal 4 2 2 8 4 2 2 3" xfId="12015" xr:uid="{00000000-0005-0000-0000-0000585C0000}"/>
    <cellStyle name="Normal 4 2 2 8 4 2 2 3 2" xfId="32067" xr:uid="{00000000-0005-0000-0000-0000595C0000}"/>
    <cellStyle name="Normal 4 2 2 8 4 2 2 4" xfId="23037" xr:uid="{00000000-0005-0000-0000-00005A5C0000}"/>
    <cellStyle name="Normal 4 2 2 8 4 2 3" xfId="4479" xr:uid="{00000000-0005-0000-0000-00005B5C0000}"/>
    <cellStyle name="Normal 4 2 2 8 4 2 3 2" xfId="8961" xr:uid="{00000000-0005-0000-0000-00005C5C0000}"/>
    <cellStyle name="Normal 4 2 2 8 4 2 3 2 2" xfId="17991" xr:uid="{00000000-0005-0000-0000-00005D5C0000}"/>
    <cellStyle name="Normal 4 2 2 8 4 2 3 2 2 2" xfId="38043" xr:uid="{00000000-0005-0000-0000-00005E5C0000}"/>
    <cellStyle name="Normal 4 2 2 8 4 2 3 2 3" xfId="29013" xr:uid="{00000000-0005-0000-0000-00005F5C0000}"/>
    <cellStyle name="Normal 4 2 2 8 4 2 3 3" xfId="13509" xr:uid="{00000000-0005-0000-0000-0000605C0000}"/>
    <cellStyle name="Normal 4 2 2 8 4 2 3 3 2" xfId="33561" xr:uid="{00000000-0005-0000-0000-0000615C0000}"/>
    <cellStyle name="Normal 4 2 2 8 4 2 3 4" xfId="24531" xr:uid="{00000000-0005-0000-0000-0000625C0000}"/>
    <cellStyle name="Normal 4 2 2 8 4 2 4" xfId="5973" xr:uid="{00000000-0005-0000-0000-0000635C0000}"/>
    <cellStyle name="Normal 4 2 2 8 4 2 4 2" xfId="15003" xr:uid="{00000000-0005-0000-0000-0000645C0000}"/>
    <cellStyle name="Normal 4 2 2 8 4 2 4 2 2" xfId="35055" xr:uid="{00000000-0005-0000-0000-0000655C0000}"/>
    <cellStyle name="Normal 4 2 2 8 4 2 4 3" xfId="26025" xr:uid="{00000000-0005-0000-0000-0000665C0000}"/>
    <cellStyle name="Normal 4 2 2 8 4 2 5" xfId="10521" xr:uid="{00000000-0005-0000-0000-0000675C0000}"/>
    <cellStyle name="Normal 4 2 2 8 4 2 5 2" xfId="30573" xr:uid="{00000000-0005-0000-0000-0000685C0000}"/>
    <cellStyle name="Normal 4 2 2 8 4 2 6" xfId="21543" xr:uid="{00000000-0005-0000-0000-0000695C0000}"/>
    <cellStyle name="Normal 4 2 2 8 4 3" xfId="2238" xr:uid="{00000000-0005-0000-0000-00006A5C0000}"/>
    <cellStyle name="Normal 4 2 2 8 4 3 2" xfId="6720" xr:uid="{00000000-0005-0000-0000-00006B5C0000}"/>
    <cellStyle name="Normal 4 2 2 8 4 3 2 2" xfId="15750" xr:uid="{00000000-0005-0000-0000-00006C5C0000}"/>
    <cellStyle name="Normal 4 2 2 8 4 3 2 2 2" xfId="35802" xr:uid="{00000000-0005-0000-0000-00006D5C0000}"/>
    <cellStyle name="Normal 4 2 2 8 4 3 2 3" xfId="26772" xr:uid="{00000000-0005-0000-0000-00006E5C0000}"/>
    <cellStyle name="Normal 4 2 2 8 4 3 3" xfId="11268" xr:uid="{00000000-0005-0000-0000-00006F5C0000}"/>
    <cellStyle name="Normal 4 2 2 8 4 3 3 2" xfId="31320" xr:uid="{00000000-0005-0000-0000-0000705C0000}"/>
    <cellStyle name="Normal 4 2 2 8 4 3 4" xfId="22290" xr:uid="{00000000-0005-0000-0000-0000715C0000}"/>
    <cellStyle name="Normal 4 2 2 8 4 4" xfId="3732" xr:uid="{00000000-0005-0000-0000-0000725C0000}"/>
    <cellStyle name="Normal 4 2 2 8 4 4 2" xfId="8214" xr:uid="{00000000-0005-0000-0000-0000735C0000}"/>
    <cellStyle name="Normal 4 2 2 8 4 4 2 2" xfId="17244" xr:uid="{00000000-0005-0000-0000-0000745C0000}"/>
    <cellStyle name="Normal 4 2 2 8 4 4 2 2 2" xfId="37296" xr:uid="{00000000-0005-0000-0000-0000755C0000}"/>
    <cellStyle name="Normal 4 2 2 8 4 4 2 3" xfId="28266" xr:uid="{00000000-0005-0000-0000-0000765C0000}"/>
    <cellStyle name="Normal 4 2 2 8 4 4 3" xfId="12762" xr:uid="{00000000-0005-0000-0000-0000775C0000}"/>
    <cellStyle name="Normal 4 2 2 8 4 4 3 2" xfId="32814" xr:uid="{00000000-0005-0000-0000-0000785C0000}"/>
    <cellStyle name="Normal 4 2 2 8 4 4 4" xfId="23784" xr:uid="{00000000-0005-0000-0000-0000795C0000}"/>
    <cellStyle name="Normal 4 2 2 8 4 5" xfId="5226" xr:uid="{00000000-0005-0000-0000-00007A5C0000}"/>
    <cellStyle name="Normal 4 2 2 8 4 5 2" xfId="14256" xr:uid="{00000000-0005-0000-0000-00007B5C0000}"/>
    <cellStyle name="Normal 4 2 2 8 4 5 2 2" xfId="34308" xr:uid="{00000000-0005-0000-0000-00007C5C0000}"/>
    <cellStyle name="Normal 4 2 2 8 4 5 3" xfId="25278" xr:uid="{00000000-0005-0000-0000-00007D5C0000}"/>
    <cellStyle name="Normal 4 2 2 8 4 6" xfId="9774" xr:uid="{00000000-0005-0000-0000-00007E5C0000}"/>
    <cellStyle name="Normal 4 2 2 8 4 6 2" xfId="29826" xr:uid="{00000000-0005-0000-0000-00007F5C0000}"/>
    <cellStyle name="Normal 4 2 2 8 4 7" xfId="20796" xr:uid="{00000000-0005-0000-0000-0000805C0000}"/>
    <cellStyle name="Normal 4 2 2 8 5" xfId="931" xr:uid="{00000000-0005-0000-0000-0000815C0000}"/>
    <cellStyle name="Normal 4 2 2 8 5 2" xfId="2425" xr:uid="{00000000-0005-0000-0000-0000825C0000}"/>
    <cellStyle name="Normal 4 2 2 8 5 2 2" xfId="6907" xr:uid="{00000000-0005-0000-0000-0000835C0000}"/>
    <cellStyle name="Normal 4 2 2 8 5 2 2 2" xfId="15937" xr:uid="{00000000-0005-0000-0000-0000845C0000}"/>
    <cellStyle name="Normal 4 2 2 8 5 2 2 2 2" xfId="35989" xr:uid="{00000000-0005-0000-0000-0000855C0000}"/>
    <cellStyle name="Normal 4 2 2 8 5 2 2 3" xfId="26959" xr:uid="{00000000-0005-0000-0000-0000865C0000}"/>
    <cellStyle name="Normal 4 2 2 8 5 2 3" xfId="11455" xr:uid="{00000000-0005-0000-0000-0000875C0000}"/>
    <cellStyle name="Normal 4 2 2 8 5 2 3 2" xfId="31507" xr:uid="{00000000-0005-0000-0000-0000885C0000}"/>
    <cellStyle name="Normal 4 2 2 8 5 2 4" xfId="22477" xr:uid="{00000000-0005-0000-0000-0000895C0000}"/>
    <cellStyle name="Normal 4 2 2 8 5 3" xfId="3919" xr:uid="{00000000-0005-0000-0000-00008A5C0000}"/>
    <cellStyle name="Normal 4 2 2 8 5 3 2" xfId="8401" xr:uid="{00000000-0005-0000-0000-00008B5C0000}"/>
    <cellStyle name="Normal 4 2 2 8 5 3 2 2" xfId="17431" xr:uid="{00000000-0005-0000-0000-00008C5C0000}"/>
    <cellStyle name="Normal 4 2 2 8 5 3 2 2 2" xfId="37483" xr:uid="{00000000-0005-0000-0000-00008D5C0000}"/>
    <cellStyle name="Normal 4 2 2 8 5 3 2 3" xfId="28453" xr:uid="{00000000-0005-0000-0000-00008E5C0000}"/>
    <cellStyle name="Normal 4 2 2 8 5 3 3" xfId="12949" xr:uid="{00000000-0005-0000-0000-00008F5C0000}"/>
    <cellStyle name="Normal 4 2 2 8 5 3 3 2" xfId="33001" xr:uid="{00000000-0005-0000-0000-0000905C0000}"/>
    <cellStyle name="Normal 4 2 2 8 5 3 4" xfId="23971" xr:uid="{00000000-0005-0000-0000-0000915C0000}"/>
    <cellStyle name="Normal 4 2 2 8 5 4" xfId="5413" xr:uid="{00000000-0005-0000-0000-0000925C0000}"/>
    <cellStyle name="Normal 4 2 2 8 5 4 2" xfId="14443" xr:uid="{00000000-0005-0000-0000-0000935C0000}"/>
    <cellStyle name="Normal 4 2 2 8 5 4 2 2" xfId="34495" xr:uid="{00000000-0005-0000-0000-0000945C0000}"/>
    <cellStyle name="Normal 4 2 2 8 5 4 3" xfId="25465" xr:uid="{00000000-0005-0000-0000-0000955C0000}"/>
    <cellStyle name="Normal 4 2 2 8 5 5" xfId="9961" xr:uid="{00000000-0005-0000-0000-0000965C0000}"/>
    <cellStyle name="Normal 4 2 2 8 5 5 2" xfId="30013" xr:uid="{00000000-0005-0000-0000-0000975C0000}"/>
    <cellStyle name="Normal 4 2 2 8 5 6" xfId="20983" xr:uid="{00000000-0005-0000-0000-0000985C0000}"/>
    <cellStyle name="Normal 4 2 2 8 6" xfId="1680" xr:uid="{00000000-0005-0000-0000-0000995C0000}"/>
    <cellStyle name="Normal 4 2 2 8 6 2" xfId="6162" xr:uid="{00000000-0005-0000-0000-00009A5C0000}"/>
    <cellStyle name="Normal 4 2 2 8 6 2 2" xfId="15192" xr:uid="{00000000-0005-0000-0000-00009B5C0000}"/>
    <cellStyle name="Normal 4 2 2 8 6 2 2 2" xfId="35244" xr:uid="{00000000-0005-0000-0000-00009C5C0000}"/>
    <cellStyle name="Normal 4 2 2 8 6 2 3" xfId="26214" xr:uid="{00000000-0005-0000-0000-00009D5C0000}"/>
    <cellStyle name="Normal 4 2 2 8 6 3" xfId="10710" xr:uid="{00000000-0005-0000-0000-00009E5C0000}"/>
    <cellStyle name="Normal 4 2 2 8 6 3 2" xfId="30762" xr:uid="{00000000-0005-0000-0000-00009F5C0000}"/>
    <cellStyle name="Normal 4 2 2 8 6 4" xfId="21732" xr:uid="{00000000-0005-0000-0000-0000A05C0000}"/>
    <cellStyle name="Normal 4 2 2 8 7" xfId="3174" xr:uid="{00000000-0005-0000-0000-0000A15C0000}"/>
    <cellStyle name="Normal 4 2 2 8 7 2" xfId="7656" xr:uid="{00000000-0005-0000-0000-0000A25C0000}"/>
    <cellStyle name="Normal 4 2 2 8 7 2 2" xfId="16686" xr:uid="{00000000-0005-0000-0000-0000A35C0000}"/>
    <cellStyle name="Normal 4 2 2 8 7 2 2 2" xfId="36738" xr:uid="{00000000-0005-0000-0000-0000A45C0000}"/>
    <cellStyle name="Normal 4 2 2 8 7 2 3" xfId="27708" xr:uid="{00000000-0005-0000-0000-0000A55C0000}"/>
    <cellStyle name="Normal 4 2 2 8 7 3" xfId="12204" xr:uid="{00000000-0005-0000-0000-0000A65C0000}"/>
    <cellStyle name="Normal 4 2 2 8 7 3 2" xfId="32256" xr:uid="{00000000-0005-0000-0000-0000A75C0000}"/>
    <cellStyle name="Normal 4 2 2 8 7 4" xfId="23226" xr:uid="{00000000-0005-0000-0000-0000A85C0000}"/>
    <cellStyle name="Normal 4 2 2 8 8" xfId="4668" xr:uid="{00000000-0005-0000-0000-0000A95C0000}"/>
    <cellStyle name="Normal 4 2 2 8 8 2" xfId="13698" xr:uid="{00000000-0005-0000-0000-0000AA5C0000}"/>
    <cellStyle name="Normal 4 2 2 8 8 2 2" xfId="33750" xr:uid="{00000000-0005-0000-0000-0000AB5C0000}"/>
    <cellStyle name="Normal 4 2 2 8 8 3" xfId="24720" xr:uid="{00000000-0005-0000-0000-0000AC5C0000}"/>
    <cellStyle name="Normal 4 2 2 8 9" xfId="9216" xr:uid="{00000000-0005-0000-0000-0000AD5C0000}"/>
    <cellStyle name="Normal 4 2 2 8 9 2" xfId="29268" xr:uid="{00000000-0005-0000-0000-0000AE5C0000}"/>
    <cellStyle name="Normal 4 2 2 9" xfId="209" xr:uid="{00000000-0005-0000-0000-0000AF5C0000}"/>
    <cellStyle name="Normal 4 2 2 9 2" xfId="954" xr:uid="{00000000-0005-0000-0000-0000B05C0000}"/>
    <cellStyle name="Normal 4 2 2 9 2 2" xfId="2448" xr:uid="{00000000-0005-0000-0000-0000B15C0000}"/>
    <cellStyle name="Normal 4 2 2 9 2 2 2" xfId="6930" xr:uid="{00000000-0005-0000-0000-0000B25C0000}"/>
    <cellStyle name="Normal 4 2 2 9 2 2 2 2" xfId="15960" xr:uid="{00000000-0005-0000-0000-0000B35C0000}"/>
    <cellStyle name="Normal 4 2 2 9 2 2 2 2 2" xfId="36012" xr:uid="{00000000-0005-0000-0000-0000B45C0000}"/>
    <cellStyle name="Normal 4 2 2 9 2 2 2 3" xfId="26982" xr:uid="{00000000-0005-0000-0000-0000B55C0000}"/>
    <cellStyle name="Normal 4 2 2 9 2 2 3" xfId="11478" xr:uid="{00000000-0005-0000-0000-0000B65C0000}"/>
    <cellStyle name="Normal 4 2 2 9 2 2 3 2" xfId="31530" xr:uid="{00000000-0005-0000-0000-0000B75C0000}"/>
    <cellStyle name="Normal 4 2 2 9 2 2 4" xfId="22500" xr:uid="{00000000-0005-0000-0000-0000B85C0000}"/>
    <cellStyle name="Normal 4 2 2 9 2 3" xfId="3942" xr:uid="{00000000-0005-0000-0000-0000B95C0000}"/>
    <cellStyle name="Normal 4 2 2 9 2 3 2" xfId="8424" xr:uid="{00000000-0005-0000-0000-0000BA5C0000}"/>
    <cellStyle name="Normal 4 2 2 9 2 3 2 2" xfId="17454" xr:uid="{00000000-0005-0000-0000-0000BB5C0000}"/>
    <cellStyle name="Normal 4 2 2 9 2 3 2 2 2" xfId="37506" xr:uid="{00000000-0005-0000-0000-0000BC5C0000}"/>
    <cellStyle name="Normal 4 2 2 9 2 3 2 3" xfId="28476" xr:uid="{00000000-0005-0000-0000-0000BD5C0000}"/>
    <cellStyle name="Normal 4 2 2 9 2 3 3" xfId="12972" xr:uid="{00000000-0005-0000-0000-0000BE5C0000}"/>
    <cellStyle name="Normal 4 2 2 9 2 3 3 2" xfId="33024" xr:uid="{00000000-0005-0000-0000-0000BF5C0000}"/>
    <cellStyle name="Normal 4 2 2 9 2 3 4" xfId="23994" xr:uid="{00000000-0005-0000-0000-0000C05C0000}"/>
    <cellStyle name="Normal 4 2 2 9 2 4" xfId="5436" xr:uid="{00000000-0005-0000-0000-0000C15C0000}"/>
    <cellStyle name="Normal 4 2 2 9 2 4 2" xfId="14466" xr:uid="{00000000-0005-0000-0000-0000C25C0000}"/>
    <cellStyle name="Normal 4 2 2 9 2 4 2 2" xfId="34518" xr:uid="{00000000-0005-0000-0000-0000C35C0000}"/>
    <cellStyle name="Normal 4 2 2 9 2 4 3" xfId="25488" xr:uid="{00000000-0005-0000-0000-0000C45C0000}"/>
    <cellStyle name="Normal 4 2 2 9 2 5" xfId="9984" xr:uid="{00000000-0005-0000-0000-0000C55C0000}"/>
    <cellStyle name="Normal 4 2 2 9 2 5 2" xfId="30036" xr:uid="{00000000-0005-0000-0000-0000C65C0000}"/>
    <cellStyle name="Normal 4 2 2 9 2 6" xfId="21006" xr:uid="{00000000-0005-0000-0000-0000C75C0000}"/>
    <cellStyle name="Normal 4 2 2 9 3" xfId="1703" xr:uid="{00000000-0005-0000-0000-0000C85C0000}"/>
    <cellStyle name="Normal 4 2 2 9 3 2" xfId="6185" xr:uid="{00000000-0005-0000-0000-0000C95C0000}"/>
    <cellStyle name="Normal 4 2 2 9 3 2 2" xfId="15215" xr:uid="{00000000-0005-0000-0000-0000CA5C0000}"/>
    <cellStyle name="Normal 4 2 2 9 3 2 2 2" xfId="35267" xr:uid="{00000000-0005-0000-0000-0000CB5C0000}"/>
    <cellStyle name="Normal 4 2 2 9 3 2 3" xfId="26237" xr:uid="{00000000-0005-0000-0000-0000CC5C0000}"/>
    <cellStyle name="Normal 4 2 2 9 3 3" xfId="10733" xr:uid="{00000000-0005-0000-0000-0000CD5C0000}"/>
    <cellStyle name="Normal 4 2 2 9 3 3 2" xfId="30785" xr:uid="{00000000-0005-0000-0000-0000CE5C0000}"/>
    <cellStyle name="Normal 4 2 2 9 3 4" xfId="21755" xr:uid="{00000000-0005-0000-0000-0000CF5C0000}"/>
    <cellStyle name="Normal 4 2 2 9 4" xfId="3197" xr:uid="{00000000-0005-0000-0000-0000D05C0000}"/>
    <cellStyle name="Normal 4 2 2 9 4 2" xfId="7679" xr:uid="{00000000-0005-0000-0000-0000D15C0000}"/>
    <cellStyle name="Normal 4 2 2 9 4 2 2" xfId="16709" xr:uid="{00000000-0005-0000-0000-0000D25C0000}"/>
    <cellStyle name="Normal 4 2 2 9 4 2 2 2" xfId="36761" xr:uid="{00000000-0005-0000-0000-0000D35C0000}"/>
    <cellStyle name="Normal 4 2 2 9 4 2 3" xfId="27731" xr:uid="{00000000-0005-0000-0000-0000D45C0000}"/>
    <cellStyle name="Normal 4 2 2 9 4 3" xfId="12227" xr:uid="{00000000-0005-0000-0000-0000D55C0000}"/>
    <cellStyle name="Normal 4 2 2 9 4 3 2" xfId="32279" xr:uid="{00000000-0005-0000-0000-0000D65C0000}"/>
    <cellStyle name="Normal 4 2 2 9 4 4" xfId="23249" xr:uid="{00000000-0005-0000-0000-0000D75C0000}"/>
    <cellStyle name="Normal 4 2 2 9 5" xfId="4691" xr:uid="{00000000-0005-0000-0000-0000D85C0000}"/>
    <cellStyle name="Normal 4 2 2 9 5 2" xfId="13721" xr:uid="{00000000-0005-0000-0000-0000D95C0000}"/>
    <cellStyle name="Normal 4 2 2 9 5 2 2" xfId="33773" xr:uid="{00000000-0005-0000-0000-0000DA5C0000}"/>
    <cellStyle name="Normal 4 2 2 9 5 3" xfId="24743" xr:uid="{00000000-0005-0000-0000-0000DB5C0000}"/>
    <cellStyle name="Normal 4 2 2 9 6" xfId="9239" xr:uid="{00000000-0005-0000-0000-0000DC5C0000}"/>
    <cellStyle name="Normal 4 2 2 9 6 2" xfId="29291" xr:uid="{00000000-0005-0000-0000-0000DD5C0000}"/>
    <cellStyle name="Normal 4 2 2 9 7" xfId="20261" xr:uid="{00000000-0005-0000-0000-0000DE5C0000}"/>
    <cellStyle name="Normal 4 2 3" xfId="36" xr:uid="{00000000-0005-0000-0000-0000DF5C0000}"/>
    <cellStyle name="Normal 4 2 3 10" xfId="20088" xr:uid="{00000000-0005-0000-0000-0000E05C0000}"/>
    <cellStyle name="Normal 4 2 3 2" xfId="222" xr:uid="{00000000-0005-0000-0000-0000E15C0000}"/>
    <cellStyle name="Normal 4 2 3 2 2" xfId="967" xr:uid="{00000000-0005-0000-0000-0000E25C0000}"/>
    <cellStyle name="Normal 4 2 3 2 2 2" xfId="2461" xr:uid="{00000000-0005-0000-0000-0000E35C0000}"/>
    <cellStyle name="Normal 4 2 3 2 2 2 2" xfId="6943" xr:uid="{00000000-0005-0000-0000-0000E45C0000}"/>
    <cellStyle name="Normal 4 2 3 2 2 2 2 2" xfId="15973" xr:uid="{00000000-0005-0000-0000-0000E55C0000}"/>
    <cellStyle name="Normal 4 2 3 2 2 2 2 2 2" xfId="36025" xr:uid="{00000000-0005-0000-0000-0000E65C0000}"/>
    <cellStyle name="Normal 4 2 3 2 2 2 2 3" xfId="26995" xr:uid="{00000000-0005-0000-0000-0000E75C0000}"/>
    <cellStyle name="Normal 4 2 3 2 2 2 3" xfId="11491" xr:uid="{00000000-0005-0000-0000-0000E85C0000}"/>
    <cellStyle name="Normal 4 2 3 2 2 2 3 2" xfId="31543" xr:uid="{00000000-0005-0000-0000-0000E95C0000}"/>
    <cellStyle name="Normal 4 2 3 2 2 2 4" xfId="22513" xr:uid="{00000000-0005-0000-0000-0000EA5C0000}"/>
    <cellStyle name="Normal 4 2 3 2 2 3" xfId="3955" xr:uid="{00000000-0005-0000-0000-0000EB5C0000}"/>
    <cellStyle name="Normal 4 2 3 2 2 3 2" xfId="8437" xr:uid="{00000000-0005-0000-0000-0000EC5C0000}"/>
    <cellStyle name="Normal 4 2 3 2 2 3 2 2" xfId="17467" xr:uid="{00000000-0005-0000-0000-0000ED5C0000}"/>
    <cellStyle name="Normal 4 2 3 2 2 3 2 2 2" xfId="37519" xr:uid="{00000000-0005-0000-0000-0000EE5C0000}"/>
    <cellStyle name="Normal 4 2 3 2 2 3 2 3" xfId="28489" xr:uid="{00000000-0005-0000-0000-0000EF5C0000}"/>
    <cellStyle name="Normal 4 2 3 2 2 3 3" xfId="12985" xr:uid="{00000000-0005-0000-0000-0000F05C0000}"/>
    <cellStyle name="Normal 4 2 3 2 2 3 3 2" xfId="33037" xr:uid="{00000000-0005-0000-0000-0000F15C0000}"/>
    <cellStyle name="Normal 4 2 3 2 2 3 4" xfId="24007" xr:uid="{00000000-0005-0000-0000-0000F25C0000}"/>
    <cellStyle name="Normal 4 2 3 2 2 4" xfId="5449" xr:uid="{00000000-0005-0000-0000-0000F35C0000}"/>
    <cellStyle name="Normal 4 2 3 2 2 4 2" xfId="14479" xr:uid="{00000000-0005-0000-0000-0000F45C0000}"/>
    <cellStyle name="Normal 4 2 3 2 2 4 2 2" xfId="34531" xr:uid="{00000000-0005-0000-0000-0000F55C0000}"/>
    <cellStyle name="Normal 4 2 3 2 2 4 3" xfId="25501" xr:uid="{00000000-0005-0000-0000-0000F65C0000}"/>
    <cellStyle name="Normal 4 2 3 2 2 5" xfId="9997" xr:uid="{00000000-0005-0000-0000-0000F75C0000}"/>
    <cellStyle name="Normal 4 2 3 2 2 5 2" xfId="30049" xr:uid="{00000000-0005-0000-0000-0000F85C0000}"/>
    <cellStyle name="Normal 4 2 3 2 2 6" xfId="21019" xr:uid="{00000000-0005-0000-0000-0000F95C0000}"/>
    <cellStyle name="Normal 4 2 3 2 3" xfId="1716" xr:uid="{00000000-0005-0000-0000-0000FA5C0000}"/>
    <cellStyle name="Normal 4 2 3 2 3 2" xfId="6198" xr:uid="{00000000-0005-0000-0000-0000FB5C0000}"/>
    <cellStyle name="Normal 4 2 3 2 3 2 2" xfId="15228" xr:uid="{00000000-0005-0000-0000-0000FC5C0000}"/>
    <cellStyle name="Normal 4 2 3 2 3 2 2 2" xfId="35280" xr:uid="{00000000-0005-0000-0000-0000FD5C0000}"/>
    <cellStyle name="Normal 4 2 3 2 3 2 3" xfId="26250" xr:uid="{00000000-0005-0000-0000-0000FE5C0000}"/>
    <cellStyle name="Normal 4 2 3 2 3 3" xfId="10746" xr:uid="{00000000-0005-0000-0000-0000FF5C0000}"/>
    <cellStyle name="Normal 4 2 3 2 3 3 2" xfId="30798" xr:uid="{00000000-0005-0000-0000-0000005D0000}"/>
    <cellStyle name="Normal 4 2 3 2 3 4" xfId="21768" xr:uid="{00000000-0005-0000-0000-0000015D0000}"/>
    <cellStyle name="Normal 4 2 3 2 4" xfId="3210" xr:uid="{00000000-0005-0000-0000-0000025D0000}"/>
    <cellStyle name="Normal 4 2 3 2 4 2" xfId="7692" xr:uid="{00000000-0005-0000-0000-0000035D0000}"/>
    <cellStyle name="Normal 4 2 3 2 4 2 2" xfId="16722" xr:uid="{00000000-0005-0000-0000-0000045D0000}"/>
    <cellStyle name="Normal 4 2 3 2 4 2 2 2" xfId="36774" xr:uid="{00000000-0005-0000-0000-0000055D0000}"/>
    <cellStyle name="Normal 4 2 3 2 4 2 3" xfId="27744" xr:uid="{00000000-0005-0000-0000-0000065D0000}"/>
    <cellStyle name="Normal 4 2 3 2 4 3" xfId="12240" xr:uid="{00000000-0005-0000-0000-0000075D0000}"/>
    <cellStyle name="Normal 4 2 3 2 4 3 2" xfId="32292" xr:uid="{00000000-0005-0000-0000-0000085D0000}"/>
    <cellStyle name="Normal 4 2 3 2 4 4" xfId="23262" xr:uid="{00000000-0005-0000-0000-0000095D0000}"/>
    <cellStyle name="Normal 4 2 3 2 5" xfId="4704" xr:uid="{00000000-0005-0000-0000-00000A5D0000}"/>
    <cellStyle name="Normal 4 2 3 2 5 2" xfId="13734" xr:uid="{00000000-0005-0000-0000-00000B5D0000}"/>
    <cellStyle name="Normal 4 2 3 2 5 2 2" xfId="33786" xr:uid="{00000000-0005-0000-0000-00000C5D0000}"/>
    <cellStyle name="Normal 4 2 3 2 5 3" xfId="24756" xr:uid="{00000000-0005-0000-0000-00000D5D0000}"/>
    <cellStyle name="Normal 4 2 3 2 6" xfId="9252" xr:uid="{00000000-0005-0000-0000-00000E5D0000}"/>
    <cellStyle name="Normal 4 2 3 2 6 2" xfId="29304" xr:uid="{00000000-0005-0000-0000-00000F5D0000}"/>
    <cellStyle name="Normal 4 2 3 2 7" xfId="20274" xr:uid="{00000000-0005-0000-0000-0000105D0000}"/>
    <cellStyle name="Normal 4 2 3 3" xfId="408" xr:uid="{00000000-0005-0000-0000-0000115D0000}"/>
    <cellStyle name="Normal 4 2 3 3 2" xfId="1155" xr:uid="{00000000-0005-0000-0000-0000125D0000}"/>
    <cellStyle name="Normal 4 2 3 3 2 2" xfId="2649" xr:uid="{00000000-0005-0000-0000-0000135D0000}"/>
    <cellStyle name="Normal 4 2 3 3 2 2 2" xfId="7131" xr:uid="{00000000-0005-0000-0000-0000145D0000}"/>
    <cellStyle name="Normal 4 2 3 3 2 2 2 2" xfId="16161" xr:uid="{00000000-0005-0000-0000-0000155D0000}"/>
    <cellStyle name="Normal 4 2 3 3 2 2 2 2 2" xfId="36213" xr:uid="{00000000-0005-0000-0000-0000165D0000}"/>
    <cellStyle name="Normal 4 2 3 3 2 2 2 3" xfId="27183" xr:uid="{00000000-0005-0000-0000-0000175D0000}"/>
    <cellStyle name="Normal 4 2 3 3 2 2 3" xfId="11679" xr:uid="{00000000-0005-0000-0000-0000185D0000}"/>
    <cellStyle name="Normal 4 2 3 3 2 2 3 2" xfId="31731" xr:uid="{00000000-0005-0000-0000-0000195D0000}"/>
    <cellStyle name="Normal 4 2 3 3 2 2 4" xfId="22701" xr:uid="{00000000-0005-0000-0000-00001A5D0000}"/>
    <cellStyle name="Normal 4 2 3 3 2 3" xfId="4143" xr:uid="{00000000-0005-0000-0000-00001B5D0000}"/>
    <cellStyle name="Normal 4 2 3 3 2 3 2" xfId="8625" xr:uid="{00000000-0005-0000-0000-00001C5D0000}"/>
    <cellStyle name="Normal 4 2 3 3 2 3 2 2" xfId="17655" xr:uid="{00000000-0005-0000-0000-00001D5D0000}"/>
    <cellStyle name="Normal 4 2 3 3 2 3 2 2 2" xfId="37707" xr:uid="{00000000-0005-0000-0000-00001E5D0000}"/>
    <cellStyle name="Normal 4 2 3 3 2 3 2 3" xfId="28677" xr:uid="{00000000-0005-0000-0000-00001F5D0000}"/>
    <cellStyle name="Normal 4 2 3 3 2 3 3" xfId="13173" xr:uid="{00000000-0005-0000-0000-0000205D0000}"/>
    <cellStyle name="Normal 4 2 3 3 2 3 3 2" xfId="33225" xr:uid="{00000000-0005-0000-0000-0000215D0000}"/>
    <cellStyle name="Normal 4 2 3 3 2 3 4" xfId="24195" xr:uid="{00000000-0005-0000-0000-0000225D0000}"/>
    <cellStyle name="Normal 4 2 3 3 2 4" xfId="5637" xr:uid="{00000000-0005-0000-0000-0000235D0000}"/>
    <cellStyle name="Normal 4 2 3 3 2 4 2" xfId="14667" xr:uid="{00000000-0005-0000-0000-0000245D0000}"/>
    <cellStyle name="Normal 4 2 3 3 2 4 2 2" xfId="34719" xr:uid="{00000000-0005-0000-0000-0000255D0000}"/>
    <cellStyle name="Normal 4 2 3 3 2 4 3" xfId="25689" xr:uid="{00000000-0005-0000-0000-0000265D0000}"/>
    <cellStyle name="Normal 4 2 3 3 2 5" xfId="10185" xr:uid="{00000000-0005-0000-0000-0000275D0000}"/>
    <cellStyle name="Normal 4 2 3 3 2 5 2" xfId="30237" xr:uid="{00000000-0005-0000-0000-0000285D0000}"/>
    <cellStyle name="Normal 4 2 3 3 2 6" xfId="21207" xr:uid="{00000000-0005-0000-0000-0000295D0000}"/>
    <cellStyle name="Normal 4 2 3 3 3" xfId="1902" xr:uid="{00000000-0005-0000-0000-00002A5D0000}"/>
    <cellStyle name="Normal 4 2 3 3 3 2" xfId="6384" xr:uid="{00000000-0005-0000-0000-00002B5D0000}"/>
    <cellStyle name="Normal 4 2 3 3 3 2 2" xfId="15414" xr:uid="{00000000-0005-0000-0000-00002C5D0000}"/>
    <cellStyle name="Normal 4 2 3 3 3 2 2 2" xfId="35466" xr:uid="{00000000-0005-0000-0000-00002D5D0000}"/>
    <cellStyle name="Normal 4 2 3 3 3 2 3" xfId="26436" xr:uid="{00000000-0005-0000-0000-00002E5D0000}"/>
    <cellStyle name="Normal 4 2 3 3 3 3" xfId="10932" xr:uid="{00000000-0005-0000-0000-00002F5D0000}"/>
    <cellStyle name="Normal 4 2 3 3 3 3 2" xfId="30984" xr:uid="{00000000-0005-0000-0000-0000305D0000}"/>
    <cellStyle name="Normal 4 2 3 3 3 4" xfId="21954" xr:uid="{00000000-0005-0000-0000-0000315D0000}"/>
    <cellStyle name="Normal 4 2 3 3 4" xfId="3396" xr:uid="{00000000-0005-0000-0000-0000325D0000}"/>
    <cellStyle name="Normal 4 2 3 3 4 2" xfId="7878" xr:uid="{00000000-0005-0000-0000-0000335D0000}"/>
    <cellStyle name="Normal 4 2 3 3 4 2 2" xfId="16908" xr:uid="{00000000-0005-0000-0000-0000345D0000}"/>
    <cellStyle name="Normal 4 2 3 3 4 2 2 2" xfId="36960" xr:uid="{00000000-0005-0000-0000-0000355D0000}"/>
    <cellStyle name="Normal 4 2 3 3 4 2 3" xfId="27930" xr:uid="{00000000-0005-0000-0000-0000365D0000}"/>
    <cellStyle name="Normal 4 2 3 3 4 3" xfId="12426" xr:uid="{00000000-0005-0000-0000-0000375D0000}"/>
    <cellStyle name="Normal 4 2 3 3 4 3 2" xfId="32478" xr:uid="{00000000-0005-0000-0000-0000385D0000}"/>
    <cellStyle name="Normal 4 2 3 3 4 4" xfId="23448" xr:uid="{00000000-0005-0000-0000-0000395D0000}"/>
    <cellStyle name="Normal 4 2 3 3 5" xfId="4890" xr:uid="{00000000-0005-0000-0000-00003A5D0000}"/>
    <cellStyle name="Normal 4 2 3 3 5 2" xfId="13920" xr:uid="{00000000-0005-0000-0000-00003B5D0000}"/>
    <cellStyle name="Normal 4 2 3 3 5 2 2" xfId="33972" xr:uid="{00000000-0005-0000-0000-00003C5D0000}"/>
    <cellStyle name="Normal 4 2 3 3 5 3" xfId="24942" xr:uid="{00000000-0005-0000-0000-00003D5D0000}"/>
    <cellStyle name="Normal 4 2 3 3 6" xfId="9438" xr:uid="{00000000-0005-0000-0000-00003E5D0000}"/>
    <cellStyle name="Normal 4 2 3 3 6 2" xfId="29490" xr:uid="{00000000-0005-0000-0000-00003F5D0000}"/>
    <cellStyle name="Normal 4 2 3 3 7" xfId="20460" xr:uid="{00000000-0005-0000-0000-0000405D0000}"/>
    <cellStyle name="Normal 4 2 3 4" xfId="594" xr:uid="{00000000-0005-0000-0000-0000415D0000}"/>
    <cellStyle name="Normal 4 2 3 4 2" xfId="1341" xr:uid="{00000000-0005-0000-0000-0000425D0000}"/>
    <cellStyle name="Normal 4 2 3 4 2 2" xfId="2835" xr:uid="{00000000-0005-0000-0000-0000435D0000}"/>
    <cellStyle name="Normal 4 2 3 4 2 2 2" xfId="7317" xr:uid="{00000000-0005-0000-0000-0000445D0000}"/>
    <cellStyle name="Normal 4 2 3 4 2 2 2 2" xfId="16347" xr:uid="{00000000-0005-0000-0000-0000455D0000}"/>
    <cellStyle name="Normal 4 2 3 4 2 2 2 2 2" xfId="36399" xr:uid="{00000000-0005-0000-0000-0000465D0000}"/>
    <cellStyle name="Normal 4 2 3 4 2 2 2 3" xfId="27369" xr:uid="{00000000-0005-0000-0000-0000475D0000}"/>
    <cellStyle name="Normal 4 2 3 4 2 2 3" xfId="11865" xr:uid="{00000000-0005-0000-0000-0000485D0000}"/>
    <cellStyle name="Normal 4 2 3 4 2 2 3 2" xfId="31917" xr:uid="{00000000-0005-0000-0000-0000495D0000}"/>
    <cellStyle name="Normal 4 2 3 4 2 2 4" xfId="22887" xr:uid="{00000000-0005-0000-0000-00004A5D0000}"/>
    <cellStyle name="Normal 4 2 3 4 2 3" xfId="4329" xr:uid="{00000000-0005-0000-0000-00004B5D0000}"/>
    <cellStyle name="Normal 4 2 3 4 2 3 2" xfId="8811" xr:uid="{00000000-0005-0000-0000-00004C5D0000}"/>
    <cellStyle name="Normal 4 2 3 4 2 3 2 2" xfId="17841" xr:uid="{00000000-0005-0000-0000-00004D5D0000}"/>
    <cellStyle name="Normal 4 2 3 4 2 3 2 2 2" xfId="37893" xr:uid="{00000000-0005-0000-0000-00004E5D0000}"/>
    <cellStyle name="Normal 4 2 3 4 2 3 2 3" xfId="28863" xr:uid="{00000000-0005-0000-0000-00004F5D0000}"/>
    <cellStyle name="Normal 4 2 3 4 2 3 3" xfId="13359" xr:uid="{00000000-0005-0000-0000-0000505D0000}"/>
    <cellStyle name="Normal 4 2 3 4 2 3 3 2" xfId="33411" xr:uid="{00000000-0005-0000-0000-0000515D0000}"/>
    <cellStyle name="Normal 4 2 3 4 2 3 4" xfId="24381" xr:uid="{00000000-0005-0000-0000-0000525D0000}"/>
    <cellStyle name="Normal 4 2 3 4 2 4" xfId="5823" xr:uid="{00000000-0005-0000-0000-0000535D0000}"/>
    <cellStyle name="Normal 4 2 3 4 2 4 2" xfId="14853" xr:uid="{00000000-0005-0000-0000-0000545D0000}"/>
    <cellStyle name="Normal 4 2 3 4 2 4 2 2" xfId="34905" xr:uid="{00000000-0005-0000-0000-0000555D0000}"/>
    <cellStyle name="Normal 4 2 3 4 2 4 3" xfId="25875" xr:uid="{00000000-0005-0000-0000-0000565D0000}"/>
    <cellStyle name="Normal 4 2 3 4 2 5" xfId="10371" xr:uid="{00000000-0005-0000-0000-0000575D0000}"/>
    <cellStyle name="Normal 4 2 3 4 2 5 2" xfId="30423" xr:uid="{00000000-0005-0000-0000-0000585D0000}"/>
    <cellStyle name="Normal 4 2 3 4 2 6" xfId="21393" xr:uid="{00000000-0005-0000-0000-0000595D0000}"/>
    <cellStyle name="Normal 4 2 3 4 3" xfId="2088" xr:uid="{00000000-0005-0000-0000-00005A5D0000}"/>
    <cellStyle name="Normal 4 2 3 4 3 2" xfId="6570" xr:uid="{00000000-0005-0000-0000-00005B5D0000}"/>
    <cellStyle name="Normal 4 2 3 4 3 2 2" xfId="15600" xr:uid="{00000000-0005-0000-0000-00005C5D0000}"/>
    <cellStyle name="Normal 4 2 3 4 3 2 2 2" xfId="35652" xr:uid="{00000000-0005-0000-0000-00005D5D0000}"/>
    <cellStyle name="Normal 4 2 3 4 3 2 3" xfId="26622" xr:uid="{00000000-0005-0000-0000-00005E5D0000}"/>
    <cellStyle name="Normal 4 2 3 4 3 3" xfId="11118" xr:uid="{00000000-0005-0000-0000-00005F5D0000}"/>
    <cellStyle name="Normal 4 2 3 4 3 3 2" xfId="31170" xr:uid="{00000000-0005-0000-0000-0000605D0000}"/>
    <cellStyle name="Normal 4 2 3 4 3 4" xfId="22140" xr:uid="{00000000-0005-0000-0000-0000615D0000}"/>
    <cellStyle name="Normal 4 2 3 4 4" xfId="3582" xr:uid="{00000000-0005-0000-0000-0000625D0000}"/>
    <cellStyle name="Normal 4 2 3 4 4 2" xfId="8064" xr:uid="{00000000-0005-0000-0000-0000635D0000}"/>
    <cellStyle name="Normal 4 2 3 4 4 2 2" xfId="17094" xr:uid="{00000000-0005-0000-0000-0000645D0000}"/>
    <cellStyle name="Normal 4 2 3 4 4 2 2 2" xfId="37146" xr:uid="{00000000-0005-0000-0000-0000655D0000}"/>
    <cellStyle name="Normal 4 2 3 4 4 2 3" xfId="28116" xr:uid="{00000000-0005-0000-0000-0000665D0000}"/>
    <cellStyle name="Normal 4 2 3 4 4 3" xfId="12612" xr:uid="{00000000-0005-0000-0000-0000675D0000}"/>
    <cellStyle name="Normal 4 2 3 4 4 3 2" xfId="32664" xr:uid="{00000000-0005-0000-0000-0000685D0000}"/>
    <cellStyle name="Normal 4 2 3 4 4 4" xfId="23634" xr:uid="{00000000-0005-0000-0000-0000695D0000}"/>
    <cellStyle name="Normal 4 2 3 4 5" xfId="5076" xr:uid="{00000000-0005-0000-0000-00006A5D0000}"/>
    <cellStyle name="Normal 4 2 3 4 5 2" xfId="14106" xr:uid="{00000000-0005-0000-0000-00006B5D0000}"/>
    <cellStyle name="Normal 4 2 3 4 5 2 2" xfId="34158" xr:uid="{00000000-0005-0000-0000-00006C5D0000}"/>
    <cellStyle name="Normal 4 2 3 4 5 3" xfId="25128" xr:uid="{00000000-0005-0000-0000-00006D5D0000}"/>
    <cellStyle name="Normal 4 2 3 4 6" xfId="9624" xr:uid="{00000000-0005-0000-0000-00006E5D0000}"/>
    <cellStyle name="Normal 4 2 3 4 6 2" xfId="29676" xr:uid="{00000000-0005-0000-0000-00006F5D0000}"/>
    <cellStyle name="Normal 4 2 3 4 7" xfId="20646" xr:uid="{00000000-0005-0000-0000-0000705D0000}"/>
    <cellStyle name="Normal 4 2 3 5" xfId="781" xr:uid="{00000000-0005-0000-0000-0000715D0000}"/>
    <cellStyle name="Normal 4 2 3 5 2" xfId="2275" xr:uid="{00000000-0005-0000-0000-0000725D0000}"/>
    <cellStyle name="Normal 4 2 3 5 2 2" xfId="6757" xr:uid="{00000000-0005-0000-0000-0000735D0000}"/>
    <cellStyle name="Normal 4 2 3 5 2 2 2" xfId="15787" xr:uid="{00000000-0005-0000-0000-0000745D0000}"/>
    <cellStyle name="Normal 4 2 3 5 2 2 2 2" xfId="35839" xr:uid="{00000000-0005-0000-0000-0000755D0000}"/>
    <cellStyle name="Normal 4 2 3 5 2 2 3" xfId="26809" xr:uid="{00000000-0005-0000-0000-0000765D0000}"/>
    <cellStyle name="Normal 4 2 3 5 2 3" xfId="11305" xr:uid="{00000000-0005-0000-0000-0000775D0000}"/>
    <cellStyle name="Normal 4 2 3 5 2 3 2" xfId="31357" xr:uid="{00000000-0005-0000-0000-0000785D0000}"/>
    <cellStyle name="Normal 4 2 3 5 2 4" xfId="22327" xr:uid="{00000000-0005-0000-0000-0000795D0000}"/>
    <cellStyle name="Normal 4 2 3 5 3" xfId="3769" xr:uid="{00000000-0005-0000-0000-00007A5D0000}"/>
    <cellStyle name="Normal 4 2 3 5 3 2" xfId="8251" xr:uid="{00000000-0005-0000-0000-00007B5D0000}"/>
    <cellStyle name="Normal 4 2 3 5 3 2 2" xfId="17281" xr:uid="{00000000-0005-0000-0000-00007C5D0000}"/>
    <cellStyle name="Normal 4 2 3 5 3 2 2 2" xfId="37333" xr:uid="{00000000-0005-0000-0000-00007D5D0000}"/>
    <cellStyle name="Normal 4 2 3 5 3 2 3" xfId="28303" xr:uid="{00000000-0005-0000-0000-00007E5D0000}"/>
    <cellStyle name="Normal 4 2 3 5 3 3" xfId="12799" xr:uid="{00000000-0005-0000-0000-00007F5D0000}"/>
    <cellStyle name="Normal 4 2 3 5 3 3 2" xfId="32851" xr:uid="{00000000-0005-0000-0000-0000805D0000}"/>
    <cellStyle name="Normal 4 2 3 5 3 4" xfId="23821" xr:uid="{00000000-0005-0000-0000-0000815D0000}"/>
    <cellStyle name="Normal 4 2 3 5 4" xfId="5263" xr:uid="{00000000-0005-0000-0000-0000825D0000}"/>
    <cellStyle name="Normal 4 2 3 5 4 2" xfId="14293" xr:uid="{00000000-0005-0000-0000-0000835D0000}"/>
    <cellStyle name="Normal 4 2 3 5 4 2 2" xfId="34345" xr:uid="{00000000-0005-0000-0000-0000845D0000}"/>
    <cellStyle name="Normal 4 2 3 5 4 3" xfId="25315" xr:uid="{00000000-0005-0000-0000-0000855D0000}"/>
    <cellStyle name="Normal 4 2 3 5 5" xfId="9811" xr:uid="{00000000-0005-0000-0000-0000865D0000}"/>
    <cellStyle name="Normal 4 2 3 5 5 2" xfId="29863" xr:uid="{00000000-0005-0000-0000-0000875D0000}"/>
    <cellStyle name="Normal 4 2 3 5 6" xfId="20833" xr:uid="{00000000-0005-0000-0000-0000885D0000}"/>
    <cellStyle name="Normal 4 2 3 6" xfId="1530" xr:uid="{00000000-0005-0000-0000-0000895D0000}"/>
    <cellStyle name="Normal 4 2 3 6 2" xfId="6012" xr:uid="{00000000-0005-0000-0000-00008A5D0000}"/>
    <cellStyle name="Normal 4 2 3 6 2 2" xfId="15042" xr:uid="{00000000-0005-0000-0000-00008B5D0000}"/>
    <cellStyle name="Normal 4 2 3 6 2 2 2" xfId="35094" xr:uid="{00000000-0005-0000-0000-00008C5D0000}"/>
    <cellStyle name="Normal 4 2 3 6 2 3" xfId="26064" xr:uid="{00000000-0005-0000-0000-00008D5D0000}"/>
    <cellStyle name="Normal 4 2 3 6 3" xfId="10560" xr:uid="{00000000-0005-0000-0000-00008E5D0000}"/>
    <cellStyle name="Normal 4 2 3 6 3 2" xfId="30612" xr:uid="{00000000-0005-0000-0000-00008F5D0000}"/>
    <cellStyle name="Normal 4 2 3 6 4" xfId="21582" xr:uid="{00000000-0005-0000-0000-0000905D0000}"/>
    <cellStyle name="Normal 4 2 3 7" xfId="3024" xr:uid="{00000000-0005-0000-0000-0000915D0000}"/>
    <cellStyle name="Normal 4 2 3 7 2" xfId="7506" xr:uid="{00000000-0005-0000-0000-0000925D0000}"/>
    <cellStyle name="Normal 4 2 3 7 2 2" xfId="16536" xr:uid="{00000000-0005-0000-0000-0000935D0000}"/>
    <cellStyle name="Normal 4 2 3 7 2 2 2" xfId="36588" xr:uid="{00000000-0005-0000-0000-0000945D0000}"/>
    <cellStyle name="Normal 4 2 3 7 2 3" xfId="27558" xr:uid="{00000000-0005-0000-0000-0000955D0000}"/>
    <cellStyle name="Normal 4 2 3 7 3" xfId="12054" xr:uid="{00000000-0005-0000-0000-0000965D0000}"/>
    <cellStyle name="Normal 4 2 3 7 3 2" xfId="32106" xr:uid="{00000000-0005-0000-0000-0000975D0000}"/>
    <cellStyle name="Normal 4 2 3 7 4" xfId="23076" xr:uid="{00000000-0005-0000-0000-0000985D0000}"/>
    <cellStyle name="Normal 4 2 3 8" xfId="4518" xr:uid="{00000000-0005-0000-0000-0000995D0000}"/>
    <cellStyle name="Normal 4 2 3 8 2" xfId="13548" xr:uid="{00000000-0005-0000-0000-00009A5D0000}"/>
    <cellStyle name="Normal 4 2 3 8 2 2" xfId="33600" xr:uid="{00000000-0005-0000-0000-00009B5D0000}"/>
    <cellStyle name="Normal 4 2 3 8 3" xfId="24570" xr:uid="{00000000-0005-0000-0000-00009C5D0000}"/>
    <cellStyle name="Normal 4 2 3 9" xfId="9066" xr:uid="{00000000-0005-0000-0000-00009D5D0000}"/>
    <cellStyle name="Normal 4 2 3 9 2" xfId="29118" xr:uid="{00000000-0005-0000-0000-00009E5D0000}"/>
    <cellStyle name="Normal 4 2 4" xfId="59" xr:uid="{00000000-0005-0000-0000-00009F5D0000}"/>
    <cellStyle name="Normal 4 2 4 10" xfId="20111" xr:uid="{00000000-0005-0000-0000-0000A05D0000}"/>
    <cellStyle name="Normal 4 2 4 2" xfId="245" xr:uid="{00000000-0005-0000-0000-0000A15D0000}"/>
    <cellStyle name="Normal 4 2 4 2 2" xfId="990" xr:uid="{00000000-0005-0000-0000-0000A25D0000}"/>
    <cellStyle name="Normal 4 2 4 2 2 2" xfId="2484" xr:uid="{00000000-0005-0000-0000-0000A35D0000}"/>
    <cellStyle name="Normal 4 2 4 2 2 2 2" xfId="6966" xr:uid="{00000000-0005-0000-0000-0000A45D0000}"/>
    <cellStyle name="Normal 4 2 4 2 2 2 2 2" xfId="15996" xr:uid="{00000000-0005-0000-0000-0000A55D0000}"/>
    <cellStyle name="Normal 4 2 4 2 2 2 2 2 2" xfId="36048" xr:uid="{00000000-0005-0000-0000-0000A65D0000}"/>
    <cellStyle name="Normal 4 2 4 2 2 2 2 3" xfId="27018" xr:uid="{00000000-0005-0000-0000-0000A75D0000}"/>
    <cellStyle name="Normal 4 2 4 2 2 2 3" xfId="11514" xr:uid="{00000000-0005-0000-0000-0000A85D0000}"/>
    <cellStyle name="Normal 4 2 4 2 2 2 3 2" xfId="31566" xr:uid="{00000000-0005-0000-0000-0000A95D0000}"/>
    <cellStyle name="Normal 4 2 4 2 2 2 4" xfId="22536" xr:uid="{00000000-0005-0000-0000-0000AA5D0000}"/>
    <cellStyle name="Normal 4 2 4 2 2 3" xfId="3978" xr:uid="{00000000-0005-0000-0000-0000AB5D0000}"/>
    <cellStyle name="Normal 4 2 4 2 2 3 2" xfId="8460" xr:uid="{00000000-0005-0000-0000-0000AC5D0000}"/>
    <cellStyle name="Normal 4 2 4 2 2 3 2 2" xfId="17490" xr:uid="{00000000-0005-0000-0000-0000AD5D0000}"/>
    <cellStyle name="Normal 4 2 4 2 2 3 2 2 2" xfId="37542" xr:uid="{00000000-0005-0000-0000-0000AE5D0000}"/>
    <cellStyle name="Normal 4 2 4 2 2 3 2 3" xfId="28512" xr:uid="{00000000-0005-0000-0000-0000AF5D0000}"/>
    <cellStyle name="Normal 4 2 4 2 2 3 3" xfId="13008" xr:uid="{00000000-0005-0000-0000-0000B05D0000}"/>
    <cellStyle name="Normal 4 2 4 2 2 3 3 2" xfId="33060" xr:uid="{00000000-0005-0000-0000-0000B15D0000}"/>
    <cellStyle name="Normal 4 2 4 2 2 3 4" xfId="24030" xr:uid="{00000000-0005-0000-0000-0000B25D0000}"/>
    <cellStyle name="Normal 4 2 4 2 2 4" xfId="5472" xr:uid="{00000000-0005-0000-0000-0000B35D0000}"/>
    <cellStyle name="Normal 4 2 4 2 2 4 2" xfId="14502" xr:uid="{00000000-0005-0000-0000-0000B45D0000}"/>
    <cellStyle name="Normal 4 2 4 2 2 4 2 2" xfId="34554" xr:uid="{00000000-0005-0000-0000-0000B55D0000}"/>
    <cellStyle name="Normal 4 2 4 2 2 4 3" xfId="25524" xr:uid="{00000000-0005-0000-0000-0000B65D0000}"/>
    <cellStyle name="Normal 4 2 4 2 2 5" xfId="10020" xr:uid="{00000000-0005-0000-0000-0000B75D0000}"/>
    <cellStyle name="Normal 4 2 4 2 2 5 2" xfId="30072" xr:uid="{00000000-0005-0000-0000-0000B85D0000}"/>
    <cellStyle name="Normal 4 2 4 2 2 6" xfId="21042" xr:uid="{00000000-0005-0000-0000-0000B95D0000}"/>
    <cellStyle name="Normal 4 2 4 2 3" xfId="1739" xr:uid="{00000000-0005-0000-0000-0000BA5D0000}"/>
    <cellStyle name="Normal 4 2 4 2 3 2" xfId="6221" xr:uid="{00000000-0005-0000-0000-0000BB5D0000}"/>
    <cellStyle name="Normal 4 2 4 2 3 2 2" xfId="15251" xr:uid="{00000000-0005-0000-0000-0000BC5D0000}"/>
    <cellStyle name="Normal 4 2 4 2 3 2 2 2" xfId="35303" xr:uid="{00000000-0005-0000-0000-0000BD5D0000}"/>
    <cellStyle name="Normal 4 2 4 2 3 2 3" xfId="26273" xr:uid="{00000000-0005-0000-0000-0000BE5D0000}"/>
    <cellStyle name="Normal 4 2 4 2 3 3" xfId="10769" xr:uid="{00000000-0005-0000-0000-0000BF5D0000}"/>
    <cellStyle name="Normal 4 2 4 2 3 3 2" xfId="30821" xr:uid="{00000000-0005-0000-0000-0000C05D0000}"/>
    <cellStyle name="Normal 4 2 4 2 3 4" xfId="21791" xr:uid="{00000000-0005-0000-0000-0000C15D0000}"/>
    <cellStyle name="Normal 4 2 4 2 4" xfId="3233" xr:uid="{00000000-0005-0000-0000-0000C25D0000}"/>
    <cellStyle name="Normal 4 2 4 2 4 2" xfId="7715" xr:uid="{00000000-0005-0000-0000-0000C35D0000}"/>
    <cellStyle name="Normal 4 2 4 2 4 2 2" xfId="16745" xr:uid="{00000000-0005-0000-0000-0000C45D0000}"/>
    <cellStyle name="Normal 4 2 4 2 4 2 2 2" xfId="36797" xr:uid="{00000000-0005-0000-0000-0000C55D0000}"/>
    <cellStyle name="Normal 4 2 4 2 4 2 3" xfId="27767" xr:uid="{00000000-0005-0000-0000-0000C65D0000}"/>
    <cellStyle name="Normal 4 2 4 2 4 3" xfId="12263" xr:uid="{00000000-0005-0000-0000-0000C75D0000}"/>
    <cellStyle name="Normal 4 2 4 2 4 3 2" xfId="32315" xr:uid="{00000000-0005-0000-0000-0000C85D0000}"/>
    <cellStyle name="Normal 4 2 4 2 4 4" xfId="23285" xr:uid="{00000000-0005-0000-0000-0000C95D0000}"/>
    <cellStyle name="Normal 4 2 4 2 5" xfId="4727" xr:uid="{00000000-0005-0000-0000-0000CA5D0000}"/>
    <cellStyle name="Normal 4 2 4 2 5 2" xfId="13757" xr:uid="{00000000-0005-0000-0000-0000CB5D0000}"/>
    <cellStyle name="Normal 4 2 4 2 5 2 2" xfId="33809" xr:uid="{00000000-0005-0000-0000-0000CC5D0000}"/>
    <cellStyle name="Normal 4 2 4 2 5 3" xfId="24779" xr:uid="{00000000-0005-0000-0000-0000CD5D0000}"/>
    <cellStyle name="Normal 4 2 4 2 6" xfId="9275" xr:uid="{00000000-0005-0000-0000-0000CE5D0000}"/>
    <cellStyle name="Normal 4 2 4 2 6 2" xfId="29327" xr:uid="{00000000-0005-0000-0000-0000CF5D0000}"/>
    <cellStyle name="Normal 4 2 4 2 7" xfId="20297" xr:uid="{00000000-0005-0000-0000-0000D05D0000}"/>
    <cellStyle name="Normal 4 2 4 3" xfId="431" xr:uid="{00000000-0005-0000-0000-0000D15D0000}"/>
    <cellStyle name="Normal 4 2 4 3 2" xfId="1178" xr:uid="{00000000-0005-0000-0000-0000D25D0000}"/>
    <cellStyle name="Normal 4 2 4 3 2 2" xfId="2672" xr:uid="{00000000-0005-0000-0000-0000D35D0000}"/>
    <cellStyle name="Normal 4 2 4 3 2 2 2" xfId="7154" xr:uid="{00000000-0005-0000-0000-0000D45D0000}"/>
    <cellStyle name="Normal 4 2 4 3 2 2 2 2" xfId="16184" xr:uid="{00000000-0005-0000-0000-0000D55D0000}"/>
    <cellStyle name="Normal 4 2 4 3 2 2 2 2 2" xfId="36236" xr:uid="{00000000-0005-0000-0000-0000D65D0000}"/>
    <cellStyle name="Normal 4 2 4 3 2 2 2 3" xfId="27206" xr:uid="{00000000-0005-0000-0000-0000D75D0000}"/>
    <cellStyle name="Normal 4 2 4 3 2 2 3" xfId="11702" xr:uid="{00000000-0005-0000-0000-0000D85D0000}"/>
    <cellStyle name="Normal 4 2 4 3 2 2 3 2" xfId="31754" xr:uid="{00000000-0005-0000-0000-0000D95D0000}"/>
    <cellStyle name="Normal 4 2 4 3 2 2 4" xfId="22724" xr:uid="{00000000-0005-0000-0000-0000DA5D0000}"/>
    <cellStyle name="Normal 4 2 4 3 2 3" xfId="4166" xr:uid="{00000000-0005-0000-0000-0000DB5D0000}"/>
    <cellStyle name="Normal 4 2 4 3 2 3 2" xfId="8648" xr:uid="{00000000-0005-0000-0000-0000DC5D0000}"/>
    <cellStyle name="Normal 4 2 4 3 2 3 2 2" xfId="17678" xr:uid="{00000000-0005-0000-0000-0000DD5D0000}"/>
    <cellStyle name="Normal 4 2 4 3 2 3 2 2 2" xfId="37730" xr:uid="{00000000-0005-0000-0000-0000DE5D0000}"/>
    <cellStyle name="Normal 4 2 4 3 2 3 2 3" xfId="28700" xr:uid="{00000000-0005-0000-0000-0000DF5D0000}"/>
    <cellStyle name="Normal 4 2 4 3 2 3 3" xfId="13196" xr:uid="{00000000-0005-0000-0000-0000E05D0000}"/>
    <cellStyle name="Normal 4 2 4 3 2 3 3 2" xfId="33248" xr:uid="{00000000-0005-0000-0000-0000E15D0000}"/>
    <cellStyle name="Normal 4 2 4 3 2 3 4" xfId="24218" xr:uid="{00000000-0005-0000-0000-0000E25D0000}"/>
    <cellStyle name="Normal 4 2 4 3 2 4" xfId="5660" xr:uid="{00000000-0005-0000-0000-0000E35D0000}"/>
    <cellStyle name="Normal 4 2 4 3 2 4 2" xfId="14690" xr:uid="{00000000-0005-0000-0000-0000E45D0000}"/>
    <cellStyle name="Normal 4 2 4 3 2 4 2 2" xfId="34742" xr:uid="{00000000-0005-0000-0000-0000E55D0000}"/>
    <cellStyle name="Normal 4 2 4 3 2 4 3" xfId="25712" xr:uid="{00000000-0005-0000-0000-0000E65D0000}"/>
    <cellStyle name="Normal 4 2 4 3 2 5" xfId="10208" xr:uid="{00000000-0005-0000-0000-0000E75D0000}"/>
    <cellStyle name="Normal 4 2 4 3 2 5 2" xfId="30260" xr:uid="{00000000-0005-0000-0000-0000E85D0000}"/>
    <cellStyle name="Normal 4 2 4 3 2 6" xfId="21230" xr:uid="{00000000-0005-0000-0000-0000E95D0000}"/>
    <cellStyle name="Normal 4 2 4 3 3" xfId="1925" xr:uid="{00000000-0005-0000-0000-0000EA5D0000}"/>
    <cellStyle name="Normal 4 2 4 3 3 2" xfId="6407" xr:uid="{00000000-0005-0000-0000-0000EB5D0000}"/>
    <cellStyle name="Normal 4 2 4 3 3 2 2" xfId="15437" xr:uid="{00000000-0005-0000-0000-0000EC5D0000}"/>
    <cellStyle name="Normal 4 2 4 3 3 2 2 2" xfId="35489" xr:uid="{00000000-0005-0000-0000-0000ED5D0000}"/>
    <cellStyle name="Normal 4 2 4 3 3 2 3" xfId="26459" xr:uid="{00000000-0005-0000-0000-0000EE5D0000}"/>
    <cellStyle name="Normal 4 2 4 3 3 3" xfId="10955" xr:uid="{00000000-0005-0000-0000-0000EF5D0000}"/>
    <cellStyle name="Normal 4 2 4 3 3 3 2" xfId="31007" xr:uid="{00000000-0005-0000-0000-0000F05D0000}"/>
    <cellStyle name="Normal 4 2 4 3 3 4" xfId="21977" xr:uid="{00000000-0005-0000-0000-0000F15D0000}"/>
    <cellStyle name="Normal 4 2 4 3 4" xfId="3419" xr:uid="{00000000-0005-0000-0000-0000F25D0000}"/>
    <cellStyle name="Normal 4 2 4 3 4 2" xfId="7901" xr:uid="{00000000-0005-0000-0000-0000F35D0000}"/>
    <cellStyle name="Normal 4 2 4 3 4 2 2" xfId="16931" xr:uid="{00000000-0005-0000-0000-0000F45D0000}"/>
    <cellStyle name="Normal 4 2 4 3 4 2 2 2" xfId="36983" xr:uid="{00000000-0005-0000-0000-0000F55D0000}"/>
    <cellStyle name="Normal 4 2 4 3 4 2 3" xfId="27953" xr:uid="{00000000-0005-0000-0000-0000F65D0000}"/>
    <cellStyle name="Normal 4 2 4 3 4 3" xfId="12449" xr:uid="{00000000-0005-0000-0000-0000F75D0000}"/>
    <cellStyle name="Normal 4 2 4 3 4 3 2" xfId="32501" xr:uid="{00000000-0005-0000-0000-0000F85D0000}"/>
    <cellStyle name="Normal 4 2 4 3 4 4" xfId="23471" xr:uid="{00000000-0005-0000-0000-0000F95D0000}"/>
    <cellStyle name="Normal 4 2 4 3 5" xfId="4913" xr:uid="{00000000-0005-0000-0000-0000FA5D0000}"/>
    <cellStyle name="Normal 4 2 4 3 5 2" xfId="13943" xr:uid="{00000000-0005-0000-0000-0000FB5D0000}"/>
    <cellStyle name="Normal 4 2 4 3 5 2 2" xfId="33995" xr:uid="{00000000-0005-0000-0000-0000FC5D0000}"/>
    <cellStyle name="Normal 4 2 4 3 5 3" xfId="24965" xr:uid="{00000000-0005-0000-0000-0000FD5D0000}"/>
    <cellStyle name="Normal 4 2 4 3 6" xfId="9461" xr:uid="{00000000-0005-0000-0000-0000FE5D0000}"/>
    <cellStyle name="Normal 4 2 4 3 6 2" xfId="29513" xr:uid="{00000000-0005-0000-0000-0000FF5D0000}"/>
    <cellStyle name="Normal 4 2 4 3 7" xfId="20483" xr:uid="{00000000-0005-0000-0000-0000005E0000}"/>
    <cellStyle name="Normal 4 2 4 4" xfId="617" xr:uid="{00000000-0005-0000-0000-0000015E0000}"/>
    <cellStyle name="Normal 4 2 4 4 2" xfId="1364" xr:uid="{00000000-0005-0000-0000-0000025E0000}"/>
    <cellStyle name="Normal 4 2 4 4 2 2" xfId="2858" xr:uid="{00000000-0005-0000-0000-0000035E0000}"/>
    <cellStyle name="Normal 4 2 4 4 2 2 2" xfId="7340" xr:uid="{00000000-0005-0000-0000-0000045E0000}"/>
    <cellStyle name="Normal 4 2 4 4 2 2 2 2" xfId="16370" xr:uid="{00000000-0005-0000-0000-0000055E0000}"/>
    <cellStyle name="Normal 4 2 4 4 2 2 2 2 2" xfId="36422" xr:uid="{00000000-0005-0000-0000-0000065E0000}"/>
    <cellStyle name="Normal 4 2 4 4 2 2 2 3" xfId="27392" xr:uid="{00000000-0005-0000-0000-0000075E0000}"/>
    <cellStyle name="Normal 4 2 4 4 2 2 3" xfId="11888" xr:uid="{00000000-0005-0000-0000-0000085E0000}"/>
    <cellStyle name="Normal 4 2 4 4 2 2 3 2" xfId="31940" xr:uid="{00000000-0005-0000-0000-0000095E0000}"/>
    <cellStyle name="Normal 4 2 4 4 2 2 4" xfId="22910" xr:uid="{00000000-0005-0000-0000-00000A5E0000}"/>
    <cellStyle name="Normal 4 2 4 4 2 3" xfId="4352" xr:uid="{00000000-0005-0000-0000-00000B5E0000}"/>
    <cellStyle name="Normal 4 2 4 4 2 3 2" xfId="8834" xr:uid="{00000000-0005-0000-0000-00000C5E0000}"/>
    <cellStyle name="Normal 4 2 4 4 2 3 2 2" xfId="17864" xr:uid="{00000000-0005-0000-0000-00000D5E0000}"/>
    <cellStyle name="Normal 4 2 4 4 2 3 2 2 2" xfId="37916" xr:uid="{00000000-0005-0000-0000-00000E5E0000}"/>
    <cellStyle name="Normal 4 2 4 4 2 3 2 3" xfId="28886" xr:uid="{00000000-0005-0000-0000-00000F5E0000}"/>
    <cellStyle name="Normal 4 2 4 4 2 3 3" xfId="13382" xr:uid="{00000000-0005-0000-0000-0000105E0000}"/>
    <cellStyle name="Normal 4 2 4 4 2 3 3 2" xfId="33434" xr:uid="{00000000-0005-0000-0000-0000115E0000}"/>
    <cellStyle name="Normal 4 2 4 4 2 3 4" xfId="24404" xr:uid="{00000000-0005-0000-0000-0000125E0000}"/>
    <cellStyle name="Normal 4 2 4 4 2 4" xfId="5846" xr:uid="{00000000-0005-0000-0000-0000135E0000}"/>
    <cellStyle name="Normal 4 2 4 4 2 4 2" xfId="14876" xr:uid="{00000000-0005-0000-0000-0000145E0000}"/>
    <cellStyle name="Normal 4 2 4 4 2 4 2 2" xfId="34928" xr:uid="{00000000-0005-0000-0000-0000155E0000}"/>
    <cellStyle name="Normal 4 2 4 4 2 4 3" xfId="25898" xr:uid="{00000000-0005-0000-0000-0000165E0000}"/>
    <cellStyle name="Normal 4 2 4 4 2 5" xfId="10394" xr:uid="{00000000-0005-0000-0000-0000175E0000}"/>
    <cellStyle name="Normal 4 2 4 4 2 5 2" xfId="30446" xr:uid="{00000000-0005-0000-0000-0000185E0000}"/>
    <cellStyle name="Normal 4 2 4 4 2 6" xfId="21416" xr:uid="{00000000-0005-0000-0000-0000195E0000}"/>
    <cellStyle name="Normal 4 2 4 4 3" xfId="2111" xr:uid="{00000000-0005-0000-0000-00001A5E0000}"/>
    <cellStyle name="Normal 4 2 4 4 3 2" xfId="6593" xr:uid="{00000000-0005-0000-0000-00001B5E0000}"/>
    <cellStyle name="Normal 4 2 4 4 3 2 2" xfId="15623" xr:uid="{00000000-0005-0000-0000-00001C5E0000}"/>
    <cellStyle name="Normal 4 2 4 4 3 2 2 2" xfId="35675" xr:uid="{00000000-0005-0000-0000-00001D5E0000}"/>
    <cellStyle name="Normal 4 2 4 4 3 2 3" xfId="26645" xr:uid="{00000000-0005-0000-0000-00001E5E0000}"/>
    <cellStyle name="Normal 4 2 4 4 3 3" xfId="11141" xr:uid="{00000000-0005-0000-0000-00001F5E0000}"/>
    <cellStyle name="Normal 4 2 4 4 3 3 2" xfId="31193" xr:uid="{00000000-0005-0000-0000-0000205E0000}"/>
    <cellStyle name="Normal 4 2 4 4 3 4" xfId="22163" xr:uid="{00000000-0005-0000-0000-0000215E0000}"/>
    <cellStyle name="Normal 4 2 4 4 4" xfId="3605" xr:uid="{00000000-0005-0000-0000-0000225E0000}"/>
    <cellStyle name="Normal 4 2 4 4 4 2" xfId="8087" xr:uid="{00000000-0005-0000-0000-0000235E0000}"/>
    <cellStyle name="Normal 4 2 4 4 4 2 2" xfId="17117" xr:uid="{00000000-0005-0000-0000-0000245E0000}"/>
    <cellStyle name="Normal 4 2 4 4 4 2 2 2" xfId="37169" xr:uid="{00000000-0005-0000-0000-0000255E0000}"/>
    <cellStyle name="Normal 4 2 4 4 4 2 3" xfId="28139" xr:uid="{00000000-0005-0000-0000-0000265E0000}"/>
    <cellStyle name="Normal 4 2 4 4 4 3" xfId="12635" xr:uid="{00000000-0005-0000-0000-0000275E0000}"/>
    <cellStyle name="Normal 4 2 4 4 4 3 2" xfId="32687" xr:uid="{00000000-0005-0000-0000-0000285E0000}"/>
    <cellStyle name="Normal 4 2 4 4 4 4" xfId="23657" xr:uid="{00000000-0005-0000-0000-0000295E0000}"/>
    <cellStyle name="Normal 4 2 4 4 5" xfId="5099" xr:uid="{00000000-0005-0000-0000-00002A5E0000}"/>
    <cellStyle name="Normal 4 2 4 4 5 2" xfId="14129" xr:uid="{00000000-0005-0000-0000-00002B5E0000}"/>
    <cellStyle name="Normal 4 2 4 4 5 2 2" xfId="34181" xr:uid="{00000000-0005-0000-0000-00002C5E0000}"/>
    <cellStyle name="Normal 4 2 4 4 5 3" xfId="25151" xr:uid="{00000000-0005-0000-0000-00002D5E0000}"/>
    <cellStyle name="Normal 4 2 4 4 6" xfId="9647" xr:uid="{00000000-0005-0000-0000-00002E5E0000}"/>
    <cellStyle name="Normal 4 2 4 4 6 2" xfId="29699" xr:uid="{00000000-0005-0000-0000-00002F5E0000}"/>
    <cellStyle name="Normal 4 2 4 4 7" xfId="20669" xr:uid="{00000000-0005-0000-0000-0000305E0000}"/>
    <cellStyle name="Normal 4 2 4 5" xfId="804" xr:uid="{00000000-0005-0000-0000-0000315E0000}"/>
    <cellStyle name="Normal 4 2 4 5 2" xfId="2298" xr:uid="{00000000-0005-0000-0000-0000325E0000}"/>
    <cellStyle name="Normal 4 2 4 5 2 2" xfId="6780" xr:uid="{00000000-0005-0000-0000-0000335E0000}"/>
    <cellStyle name="Normal 4 2 4 5 2 2 2" xfId="15810" xr:uid="{00000000-0005-0000-0000-0000345E0000}"/>
    <cellStyle name="Normal 4 2 4 5 2 2 2 2" xfId="35862" xr:uid="{00000000-0005-0000-0000-0000355E0000}"/>
    <cellStyle name="Normal 4 2 4 5 2 2 3" xfId="26832" xr:uid="{00000000-0005-0000-0000-0000365E0000}"/>
    <cellStyle name="Normal 4 2 4 5 2 3" xfId="11328" xr:uid="{00000000-0005-0000-0000-0000375E0000}"/>
    <cellStyle name="Normal 4 2 4 5 2 3 2" xfId="31380" xr:uid="{00000000-0005-0000-0000-0000385E0000}"/>
    <cellStyle name="Normal 4 2 4 5 2 4" xfId="22350" xr:uid="{00000000-0005-0000-0000-0000395E0000}"/>
    <cellStyle name="Normal 4 2 4 5 3" xfId="3792" xr:uid="{00000000-0005-0000-0000-00003A5E0000}"/>
    <cellStyle name="Normal 4 2 4 5 3 2" xfId="8274" xr:uid="{00000000-0005-0000-0000-00003B5E0000}"/>
    <cellStyle name="Normal 4 2 4 5 3 2 2" xfId="17304" xr:uid="{00000000-0005-0000-0000-00003C5E0000}"/>
    <cellStyle name="Normal 4 2 4 5 3 2 2 2" xfId="37356" xr:uid="{00000000-0005-0000-0000-00003D5E0000}"/>
    <cellStyle name="Normal 4 2 4 5 3 2 3" xfId="28326" xr:uid="{00000000-0005-0000-0000-00003E5E0000}"/>
    <cellStyle name="Normal 4 2 4 5 3 3" xfId="12822" xr:uid="{00000000-0005-0000-0000-00003F5E0000}"/>
    <cellStyle name="Normal 4 2 4 5 3 3 2" xfId="32874" xr:uid="{00000000-0005-0000-0000-0000405E0000}"/>
    <cellStyle name="Normal 4 2 4 5 3 4" xfId="23844" xr:uid="{00000000-0005-0000-0000-0000415E0000}"/>
    <cellStyle name="Normal 4 2 4 5 4" xfId="5286" xr:uid="{00000000-0005-0000-0000-0000425E0000}"/>
    <cellStyle name="Normal 4 2 4 5 4 2" xfId="14316" xr:uid="{00000000-0005-0000-0000-0000435E0000}"/>
    <cellStyle name="Normal 4 2 4 5 4 2 2" xfId="34368" xr:uid="{00000000-0005-0000-0000-0000445E0000}"/>
    <cellStyle name="Normal 4 2 4 5 4 3" xfId="25338" xr:uid="{00000000-0005-0000-0000-0000455E0000}"/>
    <cellStyle name="Normal 4 2 4 5 5" xfId="9834" xr:uid="{00000000-0005-0000-0000-0000465E0000}"/>
    <cellStyle name="Normal 4 2 4 5 5 2" xfId="29886" xr:uid="{00000000-0005-0000-0000-0000475E0000}"/>
    <cellStyle name="Normal 4 2 4 5 6" xfId="20856" xr:uid="{00000000-0005-0000-0000-0000485E0000}"/>
    <cellStyle name="Normal 4 2 4 6" xfId="1553" xr:uid="{00000000-0005-0000-0000-0000495E0000}"/>
    <cellStyle name="Normal 4 2 4 6 2" xfId="6035" xr:uid="{00000000-0005-0000-0000-00004A5E0000}"/>
    <cellStyle name="Normal 4 2 4 6 2 2" xfId="15065" xr:uid="{00000000-0005-0000-0000-00004B5E0000}"/>
    <cellStyle name="Normal 4 2 4 6 2 2 2" xfId="35117" xr:uid="{00000000-0005-0000-0000-00004C5E0000}"/>
    <cellStyle name="Normal 4 2 4 6 2 3" xfId="26087" xr:uid="{00000000-0005-0000-0000-00004D5E0000}"/>
    <cellStyle name="Normal 4 2 4 6 3" xfId="10583" xr:uid="{00000000-0005-0000-0000-00004E5E0000}"/>
    <cellStyle name="Normal 4 2 4 6 3 2" xfId="30635" xr:uid="{00000000-0005-0000-0000-00004F5E0000}"/>
    <cellStyle name="Normal 4 2 4 6 4" xfId="21605" xr:uid="{00000000-0005-0000-0000-0000505E0000}"/>
    <cellStyle name="Normal 4 2 4 7" xfId="3047" xr:uid="{00000000-0005-0000-0000-0000515E0000}"/>
    <cellStyle name="Normal 4 2 4 7 2" xfId="7529" xr:uid="{00000000-0005-0000-0000-0000525E0000}"/>
    <cellStyle name="Normal 4 2 4 7 2 2" xfId="16559" xr:uid="{00000000-0005-0000-0000-0000535E0000}"/>
    <cellStyle name="Normal 4 2 4 7 2 2 2" xfId="36611" xr:uid="{00000000-0005-0000-0000-0000545E0000}"/>
    <cellStyle name="Normal 4 2 4 7 2 3" xfId="27581" xr:uid="{00000000-0005-0000-0000-0000555E0000}"/>
    <cellStyle name="Normal 4 2 4 7 3" xfId="12077" xr:uid="{00000000-0005-0000-0000-0000565E0000}"/>
    <cellStyle name="Normal 4 2 4 7 3 2" xfId="32129" xr:uid="{00000000-0005-0000-0000-0000575E0000}"/>
    <cellStyle name="Normal 4 2 4 7 4" xfId="23099" xr:uid="{00000000-0005-0000-0000-0000585E0000}"/>
    <cellStyle name="Normal 4 2 4 8" xfId="4541" xr:uid="{00000000-0005-0000-0000-0000595E0000}"/>
    <cellStyle name="Normal 4 2 4 8 2" xfId="13571" xr:uid="{00000000-0005-0000-0000-00005A5E0000}"/>
    <cellStyle name="Normal 4 2 4 8 2 2" xfId="33623" xr:uid="{00000000-0005-0000-0000-00005B5E0000}"/>
    <cellStyle name="Normal 4 2 4 8 3" xfId="24593" xr:uid="{00000000-0005-0000-0000-00005C5E0000}"/>
    <cellStyle name="Normal 4 2 4 9" xfId="9089" xr:uid="{00000000-0005-0000-0000-00005D5E0000}"/>
    <cellStyle name="Normal 4 2 4 9 2" xfId="29141" xr:uid="{00000000-0005-0000-0000-00005E5E0000}"/>
    <cellStyle name="Normal 4 2 5" xfId="83" xr:uid="{00000000-0005-0000-0000-00005F5E0000}"/>
    <cellStyle name="Normal 4 2 5 10" xfId="20135" xr:uid="{00000000-0005-0000-0000-0000605E0000}"/>
    <cellStyle name="Normal 4 2 5 2" xfId="269" xr:uid="{00000000-0005-0000-0000-0000615E0000}"/>
    <cellStyle name="Normal 4 2 5 2 2" xfId="1013" xr:uid="{00000000-0005-0000-0000-0000625E0000}"/>
    <cellStyle name="Normal 4 2 5 2 2 2" xfId="2507" xr:uid="{00000000-0005-0000-0000-0000635E0000}"/>
    <cellStyle name="Normal 4 2 5 2 2 2 2" xfId="6989" xr:uid="{00000000-0005-0000-0000-0000645E0000}"/>
    <cellStyle name="Normal 4 2 5 2 2 2 2 2" xfId="16019" xr:uid="{00000000-0005-0000-0000-0000655E0000}"/>
    <cellStyle name="Normal 4 2 5 2 2 2 2 2 2" xfId="36071" xr:uid="{00000000-0005-0000-0000-0000665E0000}"/>
    <cellStyle name="Normal 4 2 5 2 2 2 2 3" xfId="27041" xr:uid="{00000000-0005-0000-0000-0000675E0000}"/>
    <cellStyle name="Normal 4 2 5 2 2 2 3" xfId="11537" xr:uid="{00000000-0005-0000-0000-0000685E0000}"/>
    <cellStyle name="Normal 4 2 5 2 2 2 3 2" xfId="31589" xr:uid="{00000000-0005-0000-0000-0000695E0000}"/>
    <cellStyle name="Normal 4 2 5 2 2 2 4" xfId="22559" xr:uid="{00000000-0005-0000-0000-00006A5E0000}"/>
    <cellStyle name="Normal 4 2 5 2 2 3" xfId="4001" xr:uid="{00000000-0005-0000-0000-00006B5E0000}"/>
    <cellStyle name="Normal 4 2 5 2 2 3 2" xfId="8483" xr:uid="{00000000-0005-0000-0000-00006C5E0000}"/>
    <cellStyle name="Normal 4 2 5 2 2 3 2 2" xfId="17513" xr:uid="{00000000-0005-0000-0000-00006D5E0000}"/>
    <cellStyle name="Normal 4 2 5 2 2 3 2 2 2" xfId="37565" xr:uid="{00000000-0005-0000-0000-00006E5E0000}"/>
    <cellStyle name="Normal 4 2 5 2 2 3 2 3" xfId="28535" xr:uid="{00000000-0005-0000-0000-00006F5E0000}"/>
    <cellStyle name="Normal 4 2 5 2 2 3 3" xfId="13031" xr:uid="{00000000-0005-0000-0000-0000705E0000}"/>
    <cellStyle name="Normal 4 2 5 2 2 3 3 2" xfId="33083" xr:uid="{00000000-0005-0000-0000-0000715E0000}"/>
    <cellStyle name="Normal 4 2 5 2 2 3 4" xfId="24053" xr:uid="{00000000-0005-0000-0000-0000725E0000}"/>
    <cellStyle name="Normal 4 2 5 2 2 4" xfId="5495" xr:uid="{00000000-0005-0000-0000-0000735E0000}"/>
    <cellStyle name="Normal 4 2 5 2 2 4 2" xfId="14525" xr:uid="{00000000-0005-0000-0000-0000745E0000}"/>
    <cellStyle name="Normal 4 2 5 2 2 4 2 2" xfId="34577" xr:uid="{00000000-0005-0000-0000-0000755E0000}"/>
    <cellStyle name="Normal 4 2 5 2 2 4 3" xfId="25547" xr:uid="{00000000-0005-0000-0000-0000765E0000}"/>
    <cellStyle name="Normal 4 2 5 2 2 5" xfId="10043" xr:uid="{00000000-0005-0000-0000-0000775E0000}"/>
    <cellStyle name="Normal 4 2 5 2 2 5 2" xfId="30095" xr:uid="{00000000-0005-0000-0000-0000785E0000}"/>
    <cellStyle name="Normal 4 2 5 2 2 6" xfId="21065" xr:uid="{00000000-0005-0000-0000-0000795E0000}"/>
    <cellStyle name="Normal 4 2 5 2 3" xfId="1763" xr:uid="{00000000-0005-0000-0000-00007A5E0000}"/>
    <cellStyle name="Normal 4 2 5 2 3 2" xfId="6245" xr:uid="{00000000-0005-0000-0000-00007B5E0000}"/>
    <cellStyle name="Normal 4 2 5 2 3 2 2" xfId="15275" xr:uid="{00000000-0005-0000-0000-00007C5E0000}"/>
    <cellStyle name="Normal 4 2 5 2 3 2 2 2" xfId="35327" xr:uid="{00000000-0005-0000-0000-00007D5E0000}"/>
    <cellStyle name="Normal 4 2 5 2 3 2 3" xfId="26297" xr:uid="{00000000-0005-0000-0000-00007E5E0000}"/>
    <cellStyle name="Normal 4 2 5 2 3 3" xfId="10793" xr:uid="{00000000-0005-0000-0000-00007F5E0000}"/>
    <cellStyle name="Normal 4 2 5 2 3 3 2" xfId="30845" xr:uid="{00000000-0005-0000-0000-0000805E0000}"/>
    <cellStyle name="Normal 4 2 5 2 3 4" xfId="21815" xr:uid="{00000000-0005-0000-0000-0000815E0000}"/>
    <cellStyle name="Normal 4 2 5 2 4" xfId="3257" xr:uid="{00000000-0005-0000-0000-0000825E0000}"/>
    <cellStyle name="Normal 4 2 5 2 4 2" xfId="7739" xr:uid="{00000000-0005-0000-0000-0000835E0000}"/>
    <cellStyle name="Normal 4 2 5 2 4 2 2" xfId="16769" xr:uid="{00000000-0005-0000-0000-0000845E0000}"/>
    <cellStyle name="Normal 4 2 5 2 4 2 2 2" xfId="36821" xr:uid="{00000000-0005-0000-0000-0000855E0000}"/>
    <cellStyle name="Normal 4 2 5 2 4 2 3" xfId="27791" xr:uid="{00000000-0005-0000-0000-0000865E0000}"/>
    <cellStyle name="Normal 4 2 5 2 4 3" xfId="12287" xr:uid="{00000000-0005-0000-0000-0000875E0000}"/>
    <cellStyle name="Normal 4 2 5 2 4 3 2" xfId="32339" xr:uid="{00000000-0005-0000-0000-0000885E0000}"/>
    <cellStyle name="Normal 4 2 5 2 4 4" xfId="23309" xr:uid="{00000000-0005-0000-0000-0000895E0000}"/>
    <cellStyle name="Normal 4 2 5 2 5" xfId="4751" xr:uid="{00000000-0005-0000-0000-00008A5E0000}"/>
    <cellStyle name="Normal 4 2 5 2 5 2" xfId="13781" xr:uid="{00000000-0005-0000-0000-00008B5E0000}"/>
    <cellStyle name="Normal 4 2 5 2 5 2 2" xfId="33833" xr:uid="{00000000-0005-0000-0000-00008C5E0000}"/>
    <cellStyle name="Normal 4 2 5 2 5 3" xfId="24803" xr:uid="{00000000-0005-0000-0000-00008D5E0000}"/>
    <cellStyle name="Normal 4 2 5 2 6" xfId="9299" xr:uid="{00000000-0005-0000-0000-00008E5E0000}"/>
    <cellStyle name="Normal 4 2 5 2 6 2" xfId="29351" xr:uid="{00000000-0005-0000-0000-00008F5E0000}"/>
    <cellStyle name="Normal 4 2 5 2 7" xfId="20321" xr:uid="{00000000-0005-0000-0000-0000905E0000}"/>
    <cellStyle name="Normal 4 2 5 3" xfId="455" xr:uid="{00000000-0005-0000-0000-0000915E0000}"/>
    <cellStyle name="Normal 4 2 5 3 2" xfId="1202" xr:uid="{00000000-0005-0000-0000-0000925E0000}"/>
    <cellStyle name="Normal 4 2 5 3 2 2" xfId="2696" xr:uid="{00000000-0005-0000-0000-0000935E0000}"/>
    <cellStyle name="Normal 4 2 5 3 2 2 2" xfId="7178" xr:uid="{00000000-0005-0000-0000-0000945E0000}"/>
    <cellStyle name="Normal 4 2 5 3 2 2 2 2" xfId="16208" xr:uid="{00000000-0005-0000-0000-0000955E0000}"/>
    <cellStyle name="Normal 4 2 5 3 2 2 2 2 2" xfId="36260" xr:uid="{00000000-0005-0000-0000-0000965E0000}"/>
    <cellStyle name="Normal 4 2 5 3 2 2 2 3" xfId="27230" xr:uid="{00000000-0005-0000-0000-0000975E0000}"/>
    <cellStyle name="Normal 4 2 5 3 2 2 3" xfId="11726" xr:uid="{00000000-0005-0000-0000-0000985E0000}"/>
    <cellStyle name="Normal 4 2 5 3 2 2 3 2" xfId="31778" xr:uid="{00000000-0005-0000-0000-0000995E0000}"/>
    <cellStyle name="Normal 4 2 5 3 2 2 4" xfId="22748" xr:uid="{00000000-0005-0000-0000-00009A5E0000}"/>
    <cellStyle name="Normal 4 2 5 3 2 3" xfId="4190" xr:uid="{00000000-0005-0000-0000-00009B5E0000}"/>
    <cellStyle name="Normal 4 2 5 3 2 3 2" xfId="8672" xr:uid="{00000000-0005-0000-0000-00009C5E0000}"/>
    <cellStyle name="Normal 4 2 5 3 2 3 2 2" xfId="17702" xr:uid="{00000000-0005-0000-0000-00009D5E0000}"/>
    <cellStyle name="Normal 4 2 5 3 2 3 2 2 2" xfId="37754" xr:uid="{00000000-0005-0000-0000-00009E5E0000}"/>
    <cellStyle name="Normal 4 2 5 3 2 3 2 3" xfId="28724" xr:uid="{00000000-0005-0000-0000-00009F5E0000}"/>
    <cellStyle name="Normal 4 2 5 3 2 3 3" xfId="13220" xr:uid="{00000000-0005-0000-0000-0000A05E0000}"/>
    <cellStyle name="Normal 4 2 5 3 2 3 3 2" xfId="33272" xr:uid="{00000000-0005-0000-0000-0000A15E0000}"/>
    <cellStyle name="Normal 4 2 5 3 2 3 4" xfId="24242" xr:uid="{00000000-0005-0000-0000-0000A25E0000}"/>
    <cellStyle name="Normal 4 2 5 3 2 4" xfId="5684" xr:uid="{00000000-0005-0000-0000-0000A35E0000}"/>
    <cellStyle name="Normal 4 2 5 3 2 4 2" xfId="14714" xr:uid="{00000000-0005-0000-0000-0000A45E0000}"/>
    <cellStyle name="Normal 4 2 5 3 2 4 2 2" xfId="34766" xr:uid="{00000000-0005-0000-0000-0000A55E0000}"/>
    <cellStyle name="Normal 4 2 5 3 2 4 3" xfId="25736" xr:uid="{00000000-0005-0000-0000-0000A65E0000}"/>
    <cellStyle name="Normal 4 2 5 3 2 5" xfId="10232" xr:uid="{00000000-0005-0000-0000-0000A75E0000}"/>
    <cellStyle name="Normal 4 2 5 3 2 5 2" xfId="30284" xr:uid="{00000000-0005-0000-0000-0000A85E0000}"/>
    <cellStyle name="Normal 4 2 5 3 2 6" xfId="21254" xr:uid="{00000000-0005-0000-0000-0000A95E0000}"/>
    <cellStyle name="Normal 4 2 5 3 3" xfId="1949" xr:uid="{00000000-0005-0000-0000-0000AA5E0000}"/>
    <cellStyle name="Normal 4 2 5 3 3 2" xfId="6431" xr:uid="{00000000-0005-0000-0000-0000AB5E0000}"/>
    <cellStyle name="Normal 4 2 5 3 3 2 2" xfId="15461" xr:uid="{00000000-0005-0000-0000-0000AC5E0000}"/>
    <cellStyle name="Normal 4 2 5 3 3 2 2 2" xfId="35513" xr:uid="{00000000-0005-0000-0000-0000AD5E0000}"/>
    <cellStyle name="Normal 4 2 5 3 3 2 3" xfId="26483" xr:uid="{00000000-0005-0000-0000-0000AE5E0000}"/>
    <cellStyle name="Normal 4 2 5 3 3 3" xfId="10979" xr:uid="{00000000-0005-0000-0000-0000AF5E0000}"/>
    <cellStyle name="Normal 4 2 5 3 3 3 2" xfId="31031" xr:uid="{00000000-0005-0000-0000-0000B05E0000}"/>
    <cellStyle name="Normal 4 2 5 3 3 4" xfId="22001" xr:uid="{00000000-0005-0000-0000-0000B15E0000}"/>
    <cellStyle name="Normal 4 2 5 3 4" xfId="3443" xr:uid="{00000000-0005-0000-0000-0000B25E0000}"/>
    <cellStyle name="Normal 4 2 5 3 4 2" xfId="7925" xr:uid="{00000000-0005-0000-0000-0000B35E0000}"/>
    <cellStyle name="Normal 4 2 5 3 4 2 2" xfId="16955" xr:uid="{00000000-0005-0000-0000-0000B45E0000}"/>
    <cellStyle name="Normal 4 2 5 3 4 2 2 2" xfId="37007" xr:uid="{00000000-0005-0000-0000-0000B55E0000}"/>
    <cellStyle name="Normal 4 2 5 3 4 2 3" xfId="27977" xr:uid="{00000000-0005-0000-0000-0000B65E0000}"/>
    <cellStyle name="Normal 4 2 5 3 4 3" xfId="12473" xr:uid="{00000000-0005-0000-0000-0000B75E0000}"/>
    <cellStyle name="Normal 4 2 5 3 4 3 2" xfId="32525" xr:uid="{00000000-0005-0000-0000-0000B85E0000}"/>
    <cellStyle name="Normal 4 2 5 3 4 4" xfId="23495" xr:uid="{00000000-0005-0000-0000-0000B95E0000}"/>
    <cellStyle name="Normal 4 2 5 3 5" xfId="4937" xr:uid="{00000000-0005-0000-0000-0000BA5E0000}"/>
    <cellStyle name="Normal 4 2 5 3 5 2" xfId="13967" xr:uid="{00000000-0005-0000-0000-0000BB5E0000}"/>
    <cellStyle name="Normal 4 2 5 3 5 2 2" xfId="34019" xr:uid="{00000000-0005-0000-0000-0000BC5E0000}"/>
    <cellStyle name="Normal 4 2 5 3 5 3" xfId="24989" xr:uid="{00000000-0005-0000-0000-0000BD5E0000}"/>
    <cellStyle name="Normal 4 2 5 3 6" xfId="9485" xr:uid="{00000000-0005-0000-0000-0000BE5E0000}"/>
    <cellStyle name="Normal 4 2 5 3 6 2" xfId="29537" xr:uid="{00000000-0005-0000-0000-0000BF5E0000}"/>
    <cellStyle name="Normal 4 2 5 3 7" xfId="20507" xr:uid="{00000000-0005-0000-0000-0000C05E0000}"/>
    <cellStyle name="Normal 4 2 5 4" xfId="641" xr:uid="{00000000-0005-0000-0000-0000C15E0000}"/>
    <cellStyle name="Normal 4 2 5 4 2" xfId="1388" xr:uid="{00000000-0005-0000-0000-0000C25E0000}"/>
    <cellStyle name="Normal 4 2 5 4 2 2" xfId="2882" xr:uid="{00000000-0005-0000-0000-0000C35E0000}"/>
    <cellStyle name="Normal 4 2 5 4 2 2 2" xfId="7364" xr:uid="{00000000-0005-0000-0000-0000C45E0000}"/>
    <cellStyle name="Normal 4 2 5 4 2 2 2 2" xfId="16394" xr:uid="{00000000-0005-0000-0000-0000C55E0000}"/>
    <cellStyle name="Normal 4 2 5 4 2 2 2 2 2" xfId="36446" xr:uid="{00000000-0005-0000-0000-0000C65E0000}"/>
    <cellStyle name="Normal 4 2 5 4 2 2 2 3" xfId="27416" xr:uid="{00000000-0005-0000-0000-0000C75E0000}"/>
    <cellStyle name="Normal 4 2 5 4 2 2 3" xfId="11912" xr:uid="{00000000-0005-0000-0000-0000C85E0000}"/>
    <cellStyle name="Normal 4 2 5 4 2 2 3 2" xfId="31964" xr:uid="{00000000-0005-0000-0000-0000C95E0000}"/>
    <cellStyle name="Normal 4 2 5 4 2 2 4" xfId="22934" xr:uid="{00000000-0005-0000-0000-0000CA5E0000}"/>
    <cellStyle name="Normal 4 2 5 4 2 3" xfId="4376" xr:uid="{00000000-0005-0000-0000-0000CB5E0000}"/>
    <cellStyle name="Normal 4 2 5 4 2 3 2" xfId="8858" xr:uid="{00000000-0005-0000-0000-0000CC5E0000}"/>
    <cellStyle name="Normal 4 2 5 4 2 3 2 2" xfId="17888" xr:uid="{00000000-0005-0000-0000-0000CD5E0000}"/>
    <cellStyle name="Normal 4 2 5 4 2 3 2 2 2" xfId="37940" xr:uid="{00000000-0005-0000-0000-0000CE5E0000}"/>
    <cellStyle name="Normal 4 2 5 4 2 3 2 3" xfId="28910" xr:uid="{00000000-0005-0000-0000-0000CF5E0000}"/>
    <cellStyle name="Normal 4 2 5 4 2 3 3" xfId="13406" xr:uid="{00000000-0005-0000-0000-0000D05E0000}"/>
    <cellStyle name="Normal 4 2 5 4 2 3 3 2" xfId="33458" xr:uid="{00000000-0005-0000-0000-0000D15E0000}"/>
    <cellStyle name="Normal 4 2 5 4 2 3 4" xfId="24428" xr:uid="{00000000-0005-0000-0000-0000D25E0000}"/>
    <cellStyle name="Normal 4 2 5 4 2 4" xfId="5870" xr:uid="{00000000-0005-0000-0000-0000D35E0000}"/>
    <cellStyle name="Normal 4 2 5 4 2 4 2" xfId="14900" xr:uid="{00000000-0005-0000-0000-0000D45E0000}"/>
    <cellStyle name="Normal 4 2 5 4 2 4 2 2" xfId="34952" xr:uid="{00000000-0005-0000-0000-0000D55E0000}"/>
    <cellStyle name="Normal 4 2 5 4 2 4 3" xfId="25922" xr:uid="{00000000-0005-0000-0000-0000D65E0000}"/>
    <cellStyle name="Normal 4 2 5 4 2 5" xfId="10418" xr:uid="{00000000-0005-0000-0000-0000D75E0000}"/>
    <cellStyle name="Normal 4 2 5 4 2 5 2" xfId="30470" xr:uid="{00000000-0005-0000-0000-0000D85E0000}"/>
    <cellStyle name="Normal 4 2 5 4 2 6" xfId="21440" xr:uid="{00000000-0005-0000-0000-0000D95E0000}"/>
    <cellStyle name="Normal 4 2 5 4 3" xfId="2135" xr:uid="{00000000-0005-0000-0000-0000DA5E0000}"/>
    <cellStyle name="Normal 4 2 5 4 3 2" xfId="6617" xr:uid="{00000000-0005-0000-0000-0000DB5E0000}"/>
    <cellStyle name="Normal 4 2 5 4 3 2 2" xfId="15647" xr:uid="{00000000-0005-0000-0000-0000DC5E0000}"/>
    <cellStyle name="Normal 4 2 5 4 3 2 2 2" xfId="35699" xr:uid="{00000000-0005-0000-0000-0000DD5E0000}"/>
    <cellStyle name="Normal 4 2 5 4 3 2 3" xfId="26669" xr:uid="{00000000-0005-0000-0000-0000DE5E0000}"/>
    <cellStyle name="Normal 4 2 5 4 3 3" xfId="11165" xr:uid="{00000000-0005-0000-0000-0000DF5E0000}"/>
    <cellStyle name="Normal 4 2 5 4 3 3 2" xfId="31217" xr:uid="{00000000-0005-0000-0000-0000E05E0000}"/>
    <cellStyle name="Normal 4 2 5 4 3 4" xfId="22187" xr:uid="{00000000-0005-0000-0000-0000E15E0000}"/>
    <cellStyle name="Normal 4 2 5 4 4" xfId="3629" xr:uid="{00000000-0005-0000-0000-0000E25E0000}"/>
    <cellStyle name="Normal 4 2 5 4 4 2" xfId="8111" xr:uid="{00000000-0005-0000-0000-0000E35E0000}"/>
    <cellStyle name="Normal 4 2 5 4 4 2 2" xfId="17141" xr:uid="{00000000-0005-0000-0000-0000E45E0000}"/>
    <cellStyle name="Normal 4 2 5 4 4 2 2 2" xfId="37193" xr:uid="{00000000-0005-0000-0000-0000E55E0000}"/>
    <cellStyle name="Normal 4 2 5 4 4 2 3" xfId="28163" xr:uid="{00000000-0005-0000-0000-0000E65E0000}"/>
    <cellStyle name="Normal 4 2 5 4 4 3" xfId="12659" xr:uid="{00000000-0005-0000-0000-0000E75E0000}"/>
    <cellStyle name="Normal 4 2 5 4 4 3 2" xfId="32711" xr:uid="{00000000-0005-0000-0000-0000E85E0000}"/>
    <cellStyle name="Normal 4 2 5 4 4 4" xfId="23681" xr:uid="{00000000-0005-0000-0000-0000E95E0000}"/>
    <cellStyle name="Normal 4 2 5 4 5" xfId="5123" xr:uid="{00000000-0005-0000-0000-0000EA5E0000}"/>
    <cellStyle name="Normal 4 2 5 4 5 2" xfId="14153" xr:uid="{00000000-0005-0000-0000-0000EB5E0000}"/>
    <cellStyle name="Normal 4 2 5 4 5 2 2" xfId="34205" xr:uid="{00000000-0005-0000-0000-0000EC5E0000}"/>
    <cellStyle name="Normal 4 2 5 4 5 3" xfId="25175" xr:uid="{00000000-0005-0000-0000-0000ED5E0000}"/>
    <cellStyle name="Normal 4 2 5 4 6" xfId="9671" xr:uid="{00000000-0005-0000-0000-0000EE5E0000}"/>
    <cellStyle name="Normal 4 2 5 4 6 2" xfId="29723" xr:uid="{00000000-0005-0000-0000-0000EF5E0000}"/>
    <cellStyle name="Normal 4 2 5 4 7" xfId="20693" xr:uid="{00000000-0005-0000-0000-0000F05E0000}"/>
    <cellStyle name="Normal 4 2 5 5" xfId="828" xr:uid="{00000000-0005-0000-0000-0000F15E0000}"/>
    <cellStyle name="Normal 4 2 5 5 2" xfId="2322" xr:uid="{00000000-0005-0000-0000-0000F25E0000}"/>
    <cellStyle name="Normal 4 2 5 5 2 2" xfId="6804" xr:uid="{00000000-0005-0000-0000-0000F35E0000}"/>
    <cellStyle name="Normal 4 2 5 5 2 2 2" xfId="15834" xr:uid="{00000000-0005-0000-0000-0000F45E0000}"/>
    <cellStyle name="Normal 4 2 5 5 2 2 2 2" xfId="35886" xr:uid="{00000000-0005-0000-0000-0000F55E0000}"/>
    <cellStyle name="Normal 4 2 5 5 2 2 3" xfId="26856" xr:uid="{00000000-0005-0000-0000-0000F65E0000}"/>
    <cellStyle name="Normal 4 2 5 5 2 3" xfId="11352" xr:uid="{00000000-0005-0000-0000-0000F75E0000}"/>
    <cellStyle name="Normal 4 2 5 5 2 3 2" xfId="31404" xr:uid="{00000000-0005-0000-0000-0000F85E0000}"/>
    <cellStyle name="Normal 4 2 5 5 2 4" xfId="22374" xr:uid="{00000000-0005-0000-0000-0000F95E0000}"/>
    <cellStyle name="Normal 4 2 5 5 3" xfId="3816" xr:uid="{00000000-0005-0000-0000-0000FA5E0000}"/>
    <cellStyle name="Normal 4 2 5 5 3 2" xfId="8298" xr:uid="{00000000-0005-0000-0000-0000FB5E0000}"/>
    <cellStyle name="Normal 4 2 5 5 3 2 2" xfId="17328" xr:uid="{00000000-0005-0000-0000-0000FC5E0000}"/>
    <cellStyle name="Normal 4 2 5 5 3 2 2 2" xfId="37380" xr:uid="{00000000-0005-0000-0000-0000FD5E0000}"/>
    <cellStyle name="Normal 4 2 5 5 3 2 3" xfId="28350" xr:uid="{00000000-0005-0000-0000-0000FE5E0000}"/>
    <cellStyle name="Normal 4 2 5 5 3 3" xfId="12846" xr:uid="{00000000-0005-0000-0000-0000FF5E0000}"/>
    <cellStyle name="Normal 4 2 5 5 3 3 2" xfId="32898" xr:uid="{00000000-0005-0000-0000-0000005F0000}"/>
    <cellStyle name="Normal 4 2 5 5 3 4" xfId="23868" xr:uid="{00000000-0005-0000-0000-0000015F0000}"/>
    <cellStyle name="Normal 4 2 5 5 4" xfId="5310" xr:uid="{00000000-0005-0000-0000-0000025F0000}"/>
    <cellStyle name="Normal 4 2 5 5 4 2" xfId="14340" xr:uid="{00000000-0005-0000-0000-0000035F0000}"/>
    <cellStyle name="Normal 4 2 5 5 4 2 2" xfId="34392" xr:uid="{00000000-0005-0000-0000-0000045F0000}"/>
    <cellStyle name="Normal 4 2 5 5 4 3" xfId="25362" xr:uid="{00000000-0005-0000-0000-0000055F0000}"/>
    <cellStyle name="Normal 4 2 5 5 5" xfId="9858" xr:uid="{00000000-0005-0000-0000-0000065F0000}"/>
    <cellStyle name="Normal 4 2 5 5 5 2" xfId="29910" xr:uid="{00000000-0005-0000-0000-0000075F0000}"/>
    <cellStyle name="Normal 4 2 5 5 6" xfId="20880" xr:uid="{00000000-0005-0000-0000-0000085F0000}"/>
    <cellStyle name="Normal 4 2 5 6" xfId="1577" xr:uid="{00000000-0005-0000-0000-0000095F0000}"/>
    <cellStyle name="Normal 4 2 5 6 2" xfId="6059" xr:uid="{00000000-0005-0000-0000-00000A5F0000}"/>
    <cellStyle name="Normal 4 2 5 6 2 2" xfId="15089" xr:uid="{00000000-0005-0000-0000-00000B5F0000}"/>
    <cellStyle name="Normal 4 2 5 6 2 2 2" xfId="35141" xr:uid="{00000000-0005-0000-0000-00000C5F0000}"/>
    <cellStyle name="Normal 4 2 5 6 2 3" xfId="26111" xr:uid="{00000000-0005-0000-0000-00000D5F0000}"/>
    <cellStyle name="Normal 4 2 5 6 3" xfId="10607" xr:uid="{00000000-0005-0000-0000-00000E5F0000}"/>
    <cellStyle name="Normal 4 2 5 6 3 2" xfId="30659" xr:uid="{00000000-0005-0000-0000-00000F5F0000}"/>
    <cellStyle name="Normal 4 2 5 6 4" xfId="21629" xr:uid="{00000000-0005-0000-0000-0000105F0000}"/>
    <cellStyle name="Normal 4 2 5 7" xfId="3071" xr:uid="{00000000-0005-0000-0000-0000115F0000}"/>
    <cellStyle name="Normal 4 2 5 7 2" xfId="7553" xr:uid="{00000000-0005-0000-0000-0000125F0000}"/>
    <cellStyle name="Normal 4 2 5 7 2 2" xfId="16583" xr:uid="{00000000-0005-0000-0000-0000135F0000}"/>
    <cellStyle name="Normal 4 2 5 7 2 2 2" xfId="36635" xr:uid="{00000000-0005-0000-0000-0000145F0000}"/>
    <cellStyle name="Normal 4 2 5 7 2 3" xfId="27605" xr:uid="{00000000-0005-0000-0000-0000155F0000}"/>
    <cellStyle name="Normal 4 2 5 7 3" xfId="12101" xr:uid="{00000000-0005-0000-0000-0000165F0000}"/>
    <cellStyle name="Normal 4 2 5 7 3 2" xfId="32153" xr:uid="{00000000-0005-0000-0000-0000175F0000}"/>
    <cellStyle name="Normal 4 2 5 7 4" xfId="23123" xr:uid="{00000000-0005-0000-0000-0000185F0000}"/>
    <cellStyle name="Normal 4 2 5 8" xfId="4565" xr:uid="{00000000-0005-0000-0000-0000195F0000}"/>
    <cellStyle name="Normal 4 2 5 8 2" xfId="13595" xr:uid="{00000000-0005-0000-0000-00001A5F0000}"/>
    <cellStyle name="Normal 4 2 5 8 2 2" xfId="33647" xr:uid="{00000000-0005-0000-0000-00001B5F0000}"/>
    <cellStyle name="Normal 4 2 5 8 3" xfId="24617" xr:uid="{00000000-0005-0000-0000-00001C5F0000}"/>
    <cellStyle name="Normal 4 2 5 9" xfId="9113" xr:uid="{00000000-0005-0000-0000-00001D5F0000}"/>
    <cellStyle name="Normal 4 2 5 9 2" xfId="29165" xr:uid="{00000000-0005-0000-0000-00001E5F0000}"/>
    <cellStyle name="Normal 4 2 6" xfId="114" xr:uid="{00000000-0005-0000-0000-00001F5F0000}"/>
    <cellStyle name="Normal 4 2 6 10" xfId="20166" xr:uid="{00000000-0005-0000-0000-0000205F0000}"/>
    <cellStyle name="Normal 4 2 6 2" xfId="300" xr:uid="{00000000-0005-0000-0000-0000215F0000}"/>
    <cellStyle name="Normal 4 2 6 2 2" xfId="1043" xr:uid="{00000000-0005-0000-0000-0000225F0000}"/>
    <cellStyle name="Normal 4 2 6 2 2 2" xfId="2537" xr:uid="{00000000-0005-0000-0000-0000235F0000}"/>
    <cellStyle name="Normal 4 2 6 2 2 2 2" xfId="7019" xr:uid="{00000000-0005-0000-0000-0000245F0000}"/>
    <cellStyle name="Normal 4 2 6 2 2 2 2 2" xfId="16049" xr:uid="{00000000-0005-0000-0000-0000255F0000}"/>
    <cellStyle name="Normal 4 2 6 2 2 2 2 2 2" xfId="36101" xr:uid="{00000000-0005-0000-0000-0000265F0000}"/>
    <cellStyle name="Normal 4 2 6 2 2 2 2 3" xfId="27071" xr:uid="{00000000-0005-0000-0000-0000275F0000}"/>
    <cellStyle name="Normal 4 2 6 2 2 2 3" xfId="11567" xr:uid="{00000000-0005-0000-0000-0000285F0000}"/>
    <cellStyle name="Normal 4 2 6 2 2 2 3 2" xfId="31619" xr:uid="{00000000-0005-0000-0000-0000295F0000}"/>
    <cellStyle name="Normal 4 2 6 2 2 2 4" xfId="22589" xr:uid="{00000000-0005-0000-0000-00002A5F0000}"/>
    <cellStyle name="Normal 4 2 6 2 2 3" xfId="4031" xr:uid="{00000000-0005-0000-0000-00002B5F0000}"/>
    <cellStyle name="Normal 4 2 6 2 2 3 2" xfId="8513" xr:uid="{00000000-0005-0000-0000-00002C5F0000}"/>
    <cellStyle name="Normal 4 2 6 2 2 3 2 2" xfId="17543" xr:uid="{00000000-0005-0000-0000-00002D5F0000}"/>
    <cellStyle name="Normal 4 2 6 2 2 3 2 2 2" xfId="37595" xr:uid="{00000000-0005-0000-0000-00002E5F0000}"/>
    <cellStyle name="Normal 4 2 6 2 2 3 2 3" xfId="28565" xr:uid="{00000000-0005-0000-0000-00002F5F0000}"/>
    <cellStyle name="Normal 4 2 6 2 2 3 3" xfId="13061" xr:uid="{00000000-0005-0000-0000-0000305F0000}"/>
    <cellStyle name="Normal 4 2 6 2 2 3 3 2" xfId="33113" xr:uid="{00000000-0005-0000-0000-0000315F0000}"/>
    <cellStyle name="Normal 4 2 6 2 2 3 4" xfId="24083" xr:uid="{00000000-0005-0000-0000-0000325F0000}"/>
    <cellStyle name="Normal 4 2 6 2 2 4" xfId="5525" xr:uid="{00000000-0005-0000-0000-0000335F0000}"/>
    <cellStyle name="Normal 4 2 6 2 2 4 2" xfId="14555" xr:uid="{00000000-0005-0000-0000-0000345F0000}"/>
    <cellStyle name="Normal 4 2 6 2 2 4 2 2" xfId="34607" xr:uid="{00000000-0005-0000-0000-0000355F0000}"/>
    <cellStyle name="Normal 4 2 6 2 2 4 3" xfId="25577" xr:uid="{00000000-0005-0000-0000-0000365F0000}"/>
    <cellStyle name="Normal 4 2 6 2 2 5" xfId="10073" xr:uid="{00000000-0005-0000-0000-0000375F0000}"/>
    <cellStyle name="Normal 4 2 6 2 2 5 2" xfId="30125" xr:uid="{00000000-0005-0000-0000-0000385F0000}"/>
    <cellStyle name="Normal 4 2 6 2 2 6" xfId="21095" xr:uid="{00000000-0005-0000-0000-0000395F0000}"/>
    <cellStyle name="Normal 4 2 6 2 3" xfId="1794" xr:uid="{00000000-0005-0000-0000-00003A5F0000}"/>
    <cellStyle name="Normal 4 2 6 2 3 2" xfId="6276" xr:uid="{00000000-0005-0000-0000-00003B5F0000}"/>
    <cellStyle name="Normal 4 2 6 2 3 2 2" xfId="15306" xr:uid="{00000000-0005-0000-0000-00003C5F0000}"/>
    <cellStyle name="Normal 4 2 6 2 3 2 2 2" xfId="35358" xr:uid="{00000000-0005-0000-0000-00003D5F0000}"/>
    <cellStyle name="Normal 4 2 6 2 3 2 3" xfId="26328" xr:uid="{00000000-0005-0000-0000-00003E5F0000}"/>
    <cellStyle name="Normal 4 2 6 2 3 3" xfId="10824" xr:uid="{00000000-0005-0000-0000-00003F5F0000}"/>
    <cellStyle name="Normal 4 2 6 2 3 3 2" xfId="30876" xr:uid="{00000000-0005-0000-0000-0000405F0000}"/>
    <cellStyle name="Normal 4 2 6 2 3 4" xfId="21846" xr:uid="{00000000-0005-0000-0000-0000415F0000}"/>
    <cellStyle name="Normal 4 2 6 2 4" xfId="3288" xr:uid="{00000000-0005-0000-0000-0000425F0000}"/>
    <cellStyle name="Normal 4 2 6 2 4 2" xfId="7770" xr:uid="{00000000-0005-0000-0000-0000435F0000}"/>
    <cellStyle name="Normal 4 2 6 2 4 2 2" xfId="16800" xr:uid="{00000000-0005-0000-0000-0000445F0000}"/>
    <cellStyle name="Normal 4 2 6 2 4 2 2 2" xfId="36852" xr:uid="{00000000-0005-0000-0000-0000455F0000}"/>
    <cellStyle name="Normal 4 2 6 2 4 2 3" xfId="27822" xr:uid="{00000000-0005-0000-0000-0000465F0000}"/>
    <cellStyle name="Normal 4 2 6 2 4 3" xfId="12318" xr:uid="{00000000-0005-0000-0000-0000475F0000}"/>
    <cellStyle name="Normal 4 2 6 2 4 3 2" xfId="32370" xr:uid="{00000000-0005-0000-0000-0000485F0000}"/>
    <cellStyle name="Normal 4 2 6 2 4 4" xfId="23340" xr:uid="{00000000-0005-0000-0000-0000495F0000}"/>
    <cellStyle name="Normal 4 2 6 2 5" xfId="4782" xr:uid="{00000000-0005-0000-0000-00004A5F0000}"/>
    <cellStyle name="Normal 4 2 6 2 5 2" xfId="13812" xr:uid="{00000000-0005-0000-0000-00004B5F0000}"/>
    <cellStyle name="Normal 4 2 6 2 5 2 2" xfId="33864" xr:uid="{00000000-0005-0000-0000-00004C5F0000}"/>
    <cellStyle name="Normal 4 2 6 2 5 3" xfId="24834" xr:uid="{00000000-0005-0000-0000-00004D5F0000}"/>
    <cellStyle name="Normal 4 2 6 2 6" xfId="9330" xr:uid="{00000000-0005-0000-0000-00004E5F0000}"/>
    <cellStyle name="Normal 4 2 6 2 6 2" xfId="29382" xr:uid="{00000000-0005-0000-0000-00004F5F0000}"/>
    <cellStyle name="Normal 4 2 6 2 7" xfId="20352" xr:uid="{00000000-0005-0000-0000-0000505F0000}"/>
    <cellStyle name="Normal 4 2 6 3" xfId="486" xr:uid="{00000000-0005-0000-0000-0000515F0000}"/>
    <cellStyle name="Normal 4 2 6 3 2" xfId="1233" xr:uid="{00000000-0005-0000-0000-0000525F0000}"/>
    <cellStyle name="Normal 4 2 6 3 2 2" xfId="2727" xr:uid="{00000000-0005-0000-0000-0000535F0000}"/>
    <cellStyle name="Normal 4 2 6 3 2 2 2" xfId="7209" xr:uid="{00000000-0005-0000-0000-0000545F0000}"/>
    <cellStyle name="Normal 4 2 6 3 2 2 2 2" xfId="16239" xr:uid="{00000000-0005-0000-0000-0000555F0000}"/>
    <cellStyle name="Normal 4 2 6 3 2 2 2 2 2" xfId="36291" xr:uid="{00000000-0005-0000-0000-0000565F0000}"/>
    <cellStyle name="Normal 4 2 6 3 2 2 2 3" xfId="27261" xr:uid="{00000000-0005-0000-0000-0000575F0000}"/>
    <cellStyle name="Normal 4 2 6 3 2 2 3" xfId="11757" xr:uid="{00000000-0005-0000-0000-0000585F0000}"/>
    <cellStyle name="Normal 4 2 6 3 2 2 3 2" xfId="31809" xr:uid="{00000000-0005-0000-0000-0000595F0000}"/>
    <cellStyle name="Normal 4 2 6 3 2 2 4" xfId="22779" xr:uid="{00000000-0005-0000-0000-00005A5F0000}"/>
    <cellStyle name="Normal 4 2 6 3 2 3" xfId="4221" xr:uid="{00000000-0005-0000-0000-00005B5F0000}"/>
    <cellStyle name="Normal 4 2 6 3 2 3 2" xfId="8703" xr:uid="{00000000-0005-0000-0000-00005C5F0000}"/>
    <cellStyle name="Normal 4 2 6 3 2 3 2 2" xfId="17733" xr:uid="{00000000-0005-0000-0000-00005D5F0000}"/>
    <cellStyle name="Normal 4 2 6 3 2 3 2 2 2" xfId="37785" xr:uid="{00000000-0005-0000-0000-00005E5F0000}"/>
    <cellStyle name="Normal 4 2 6 3 2 3 2 3" xfId="28755" xr:uid="{00000000-0005-0000-0000-00005F5F0000}"/>
    <cellStyle name="Normal 4 2 6 3 2 3 3" xfId="13251" xr:uid="{00000000-0005-0000-0000-0000605F0000}"/>
    <cellStyle name="Normal 4 2 6 3 2 3 3 2" xfId="33303" xr:uid="{00000000-0005-0000-0000-0000615F0000}"/>
    <cellStyle name="Normal 4 2 6 3 2 3 4" xfId="24273" xr:uid="{00000000-0005-0000-0000-0000625F0000}"/>
    <cellStyle name="Normal 4 2 6 3 2 4" xfId="5715" xr:uid="{00000000-0005-0000-0000-0000635F0000}"/>
    <cellStyle name="Normal 4 2 6 3 2 4 2" xfId="14745" xr:uid="{00000000-0005-0000-0000-0000645F0000}"/>
    <cellStyle name="Normal 4 2 6 3 2 4 2 2" xfId="34797" xr:uid="{00000000-0005-0000-0000-0000655F0000}"/>
    <cellStyle name="Normal 4 2 6 3 2 4 3" xfId="25767" xr:uid="{00000000-0005-0000-0000-0000665F0000}"/>
    <cellStyle name="Normal 4 2 6 3 2 5" xfId="10263" xr:uid="{00000000-0005-0000-0000-0000675F0000}"/>
    <cellStyle name="Normal 4 2 6 3 2 5 2" xfId="30315" xr:uid="{00000000-0005-0000-0000-0000685F0000}"/>
    <cellStyle name="Normal 4 2 6 3 2 6" xfId="21285" xr:uid="{00000000-0005-0000-0000-0000695F0000}"/>
    <cellStyle name="Normal 4 2 6 3 3" xfId="1980" xr:uid="{00000000-0005-0000-0000-00006A5F0000}"/>
    <cellStyle name="Normal 4 2 6 3 3 2" xfId="6462" xr:uid="{00000000-0005-0000-0000-00006B5F0000}"/>
    <cellStyle name="Normal 4 2 6 3 3 2 2" xfId="15492" xr:uid="{00000000-0005-0000-0000-00006C5F0000}"/>
    <cellStyle name="Normal 4 2 6 3 3 2 2 2" xfId="35544" xr:uid="{00000000-0005-0000-0000-00006D5F0000}"/>
    <cellStyle name="Normal 4 2 6 3 3 2 3" xfId="26514" xr:uid="{00000000-0005-0000-0000-00006E5F0000}"/>
    <cellStyle name="Normal 4 2 6 3 3 3" xfId="11010" xr:uid="{00000000-0005-0000-0000-00006F5F0000}"/>
    <cellStyle name="Normal 4 2 6 3 3 3 2" xfId="31062" xr:uid="{00000000-0005-0000-0000-0000705F0000}"/>
    <cellStyle name="Normal 4 2 6 3 3 4" xfId="22032" xr:uid="{00000000-0005-0000-0000-0000715F0000}"/>
    <cellStyle name="Normal 4 2 6 3 4" xfId="3474" xr:uid="{00000000-0005-0000-0000-0000725F0000}"/>
    <cellStyle name="Normal 4 2 6 3 4 2" xfId="7956" xr:uid="{00000000-0005-0000-0000-0000735F0000}"/>
    <cellStyle name="Normal 4 2 6 3 4 2 2" xfId="16986" xr:uid="{00000000-0005-0000-0000-0000745F0000}"/>
    <cellStyle name="Normal 4 2 6 3 4 2 2 2" xfId="37038" xr:uid="{00000000-0005-0000-0000-0000755F0000}"/>
    <cellStyle name="Normal 4 2 6 3 4 2 3" xfId="28008" xr:uid="{00000000-0005-0000-0000-0000765F0000}"/>
    <cellStyle name="Normal 4 2 6 3 4 3" xfId="12504" xr:uid="{00000000-0005-0000-0000-0000775F0000}"/>
    <cellStyle name="Normal 4 2 6 3 4 3 2" xfId="32556" xr:uid="{00000000-0005-0000-0000-0000785F0000}"/>
    <cellStyle name="Normal 4 2 6 3 4 4" xfId="23526" xr:uid="{00000000-0005-0000-0000-0000795F0000}"/>
    <cellStyle name="Normal 4 2 6 3 5" xfId="4968" xr:uid="{00000000-0005-0000-0000-00007A5F0000}"/>
    <cellStyle name="Normal 4 2 6 3 5 2" xfId="13998" xr:uid="{00000000-0005-0000-0000-00007B5F0000}"/>
    <cellStyle name="Normal 4 2 6 3 5 2 2" xfId="34050" xr:uid="{00000000-0005-0000-0000-00007C5F0000}"/>
    <cellStyle name="Normal 4 2 6 3 5 3" xfId="25020" xr:uid="{00000000-0005-0000-0000-00007D5F0000}"/>
    <cellStyle name="Normal 4 2 6 3 6" xfId="9516" xr:uid="{00000000-0005-0000-0000-00007E5F0000}"/>
    <cellStyle name="Normal 4 2 6 3 6 2" xfId="29568" xr:uid="{00000000-0005-0000-0000-00007F5F0000}"/>
    <cellStyle name="Normal 4 2 6 3 7" xfId="20538" xr:uid="{00000000-0005-0000-0000-0000805F0000}"/>
    <cellStyle name="Normal 4 2 6 4" xfId="672" xr:uid="{00000000-0005-0000-0000-0000815F0000}"/>
    <cellStyle name="Normal 4 2 6 4 2" xfId="1419" xr:uid="{00000000-0005-0000-0000-0000825F0000}"/>
    <cellStyle name="Normal 4 2 6 4 2 2" xfId="2913" xr:uid="{00000000-0005-0000-0000-0000835F0000}"/>
    <cellStyle name="Normal 4 2 6 4 2 2 2" xfId="7395" xr:uid="{00000000-0005-0000-0000-0000845F0000}"/>
    <cellStyle name="Normal 4 2 6 4 2 2 2 2" xfId="16425" xr:uid="{00000000-0005-0000-0000-0000855F0000}"/>
    <cellStyle name="Normal 4 2 6 4 2 2 2 2 2" xfId="36477" xr:uid="{00000000-0005-0000-0000-0000865F0000}"/>
    <cellStyle name="Normal 4 2 6 4 2 2 2 3" xfId="27447" xr:uid="{00000000-0005-0000-0000-0000875F0000}"/>
    <cellStyle name="Normal 4 2 6 4 2 2 3" xfId="11943" xr:uid="{00000000-0005-0000-0000-0000885F0000}"/>
    <cellStyle name="Normal 4 2 6 4 2 2 3 2" xfId="31995" xr:uid="{00000000-0005-0000-0000-0000895F0000}"/>
    <cellStyle name="Normal 4 2 6 4 2 2 4" xfId="22965" xr:uid="{00000000-0005-0000-0000-00008A5F0000}"/>
    <cellStyle name="Normal 4 2 6 4 2 3" xfId="4407" xr:uid="{00000000-0005-0000-0000-00008B5F0000}"/>
    <cellStyle name="Normal 4 2 6 4 2 3 2" xfId="8889" xr:uid="{00000000-0005-0000-0000-00008C5F0000}"/>
    <cellStyle name="Normal 4 2 6 4 2 3 2 2" xfId="17919" xr:uid="{00000000-0005-0000-0000-00008D5F0000}"/>
    <cellStyle name="Normal 4 2 6 4 2 3 2 2 2" xfId="37971" xr:uid="{00000000-0005-0000-0000-00008E5F0000}"/>
    <cellStyle name="Normal 4 2 6 4 2 3 2 3" xfId="28941" xr:uid="{00000000-0005-0000-0000-00008F5F0000}"/>
    <cellStyle name="Normal 4 2 6 4 2 3 3" xfId="13437" xr:uid="{00000000-0005-0000-0000-0000905F0000}"/>
    <cellStyle name="Normal 4 2 6 4 2 3 3 2" xfId="33489" xr:uid="{00000000-0005-0000-0000-0000915F0000}"/>
    <cellStyle name="Normal 4 2 6 4 2 3 4" xfId="24459" xr:uid="{00000000-0005-0000-0000-0000925F0000}"/>
    <cellStyle name="Normal 4 2 6 4 2 4" xfId="5901" xr:uid="{00000000-0005-0000-0000-0000935F0000}"/>
    <cellStyle name="Normal 4 2 6 4 2 4 2" xfId="14931" xr:uid="{00000000-0005-0000-0000-0000945F0000}"/>
    <cellStyle name="Normal 4 2 6 4 2 4 2 2" xfId="34983" xr:uid="{00000000-0005-0000-0000-0000955F0000}"/>
    <cellStyle name="Normal 4 2 6 4 2 4 3" xfId="25953" xr:uid="{00000000-0005-0000-0000-0000965F0000}"/>
    <cellStyle name="Normal 4 2 6 4 2 5" xfId="10449" xr:uid="{00000000-0005-0000-0000-0000975F0000}"/>
    <cellStyle name="Normal 4 2 6 4 2 5 2" xfId="30501" xr:uid="{00000000-0005-0000-0000-0000985F0000}"/>
    <cellStyle name="Normal 4 2 6 4 2 6" xfId="21471" xr:uid="{00000000-0005-0000-0000-0000995F0000}"/>
    <cellStyle name="Normal 4 2 6 4 3" xfId="2166" xr:uid="{00000000-0005-0000-0000-00009A5F0000}"/>
    <cellStyle name="Normal 4 2 6 4 3 2" xfId="6648" xr:uid="{00000000-0005-0000-0000-00009B5F0000}"/>
    <cellStyle name="Normal 4 2 6 4 3 2 2" xfId="15678" xr:uid="{00000000-0005-0000-0000-00009C5F0000}"/>
    <cellStyle name="Normal 4 2 6 4 3 2 2 2" xfId="35730" xr:uid="{00000000-0005-0000-0000-00009D5F0000}"/>
    <cellStyle name="Normal 4 2 6 4 3 2 3" xfId="26700" xr:uid="{00000000-0005-0000-0000-00009E5F0000}"/>
    <cellStyle name="Normal 4 2 6 4 3 3" xfId="11196" xr:uid="{00000000-0005-0000-0000-00009F5F0000}"/>
    <cellStyle name="Normal 4 2 6 4 3 3 2" xfId="31248" xr:uid="{00000000-0005-0000-0000-0000A05F0000}"/>
    <cellStyle name="Normal 4 2 6 4 3 4" xfId="22218" xr:uid="{00000000-0005-0000-0000-0000A15F0000}"/>
    <cellStyle name="Normal 4 2 6 4 4" xfId="3660" xr:uid="{00000000-0005-0000-0000-0000A25F0000}"/>
    <cellStyle name="Normal 4 2 6 4 4 2" xfId="8142" xr:uid="{00000000-0005-0000-0000-0000A35F0000}"/>
    <cellStyle name="Normal 4 2 6 4 4 2 2" xfId="17172" xr:uid="{00000000-0005-0000-0000-0000A45F0000}"/>
    <cellStyle name="Normal 4 2 6 4 4 2 2 2" xfId="37224" xr:uid="{00000000-0005-0000-0000-0000A55F0000}"/>
    <cellStyle name="Normal 4 2 6 4 4 2 3" xfId="28194" xr:uid="{00000000-0005-0000-0000-0000A65F0000}"/>
    <cellStyle name="Normal 4 2 6 4 4 3" xfId="12690" xr:uid="{00000000-0005-0000-0000-0000A75F0000}"/>
    <cellStyle name="Normal 4 2 6 4 4 3 2" xfId="32742" xr:uid="{00000000-0005-0000-0000-0000A85F0000}"/>
    <cellStyle name="Normal 4 2 6 4 4 4" xfId="23712" xr:uid="{00000000-0005-0000-0000-0000A95F0000}"/>
    <cellStyle name="Normal 4 2 6 4 5" xfId="5154" xr:uid="{00000000-0005-0000-0000-0000AA5F0000}"/>
    <cellStyle name="Normal 4 2 6 4 5 2" xfId="14184" xr:uid="{00000000-0005-0000-0000-0000AB5F0000}"/>
    <cellStyle name="Normal 4 2 6 4 5 2 2" xfId="34236" xr:uid="{00000000-0005-0000-0000-0000AC5F0000}"/>
    <cellStyle name="Normal 4 2 6 4 5 3" xfId="25206" xr:uid="{00000000-0005-0000-0000-0000AD5F0000}"/>
    <cellStyle name="Normal 4 2 6 4 6" xfId="9702" xr:uid="{00000000-0005-0000-0000-0000AE5F0000}"/>
    <cellStyle name="Normal 4 2 6 4 6 2" xfId="29754" xr:uid="{00000000-0005-0000-0000-0000AF5F0000}"/>
    <cellStyle name="Normal 4 2 6 4 7" xfId="20724" xr:uid="{00000000-0005-0000-0000-0000B05F0000}"/>
    <cellStyle name="Normal 4 2 6 5" xfId="859" xr:uid="{00000000-0005-0000-0000-0000B15F0000}"/>
    <cellStyle name="Normal 4 2 6 5 2" xfId="2353" xr:uid="{00000000-0005-0000-0000-0000B25F0000}"/>
    <cellStyle name="Normal 4 2 6 5 2 2" xfId="6835" xr:uid="{00000000-0005-0000-0000-0000B35F0000}"/>
    <cellStyle name="Normal 4 2 6 5 2 2 2" xfId="15865" xr:uid="{00000000-0005-0000-0000-0000B45F0000}"/>
    <cellStyle name="Normal 4 2 6 5 2 2 2 2" xfId="35917" xr:uid="{00000000-0005-0000-0000-0000B55F0000}"/>
    <cellStyle name="Normal 4 2 6 5 2 2 3" xfId="26887" xr:uid="{00000000-0005-0000-0000-0000B65F0000}"/>
    <cellStyle name="Normal 4 2 6 5 2 3" xfId="11383" xr:uid="{00000000-0005-0000-0000-0000B75F0000}"/>
    <cellStyle name="Normal 4 2 6 5 2 3 2" xfId="31435" xr:uid="{00000000-0005-0000-0000-0000B85F0000}"/>
    <cellStyle name="Normal 4 2 6 5 2 4" xfId="22405" xr:uid="{00000000-0005-0000-0000-0000B95F0000}"/>
    <cellStyle name="Normal 4 2 6 5 3" xfId="3847" xr:uid="{00000000-0005-0000-0000-0000BA5F0000}"/>
    <cellStyle name="Normal 4 2 6 5 3 2" xfId="8329" xr:uid="{00000000-0005-0000-0000-0000BB5F0000}"/>
    <cellStyle name="Normal 4 2 6 5 3 2 2" xfId="17359" xr:uid="{00000000-0005-0000-0000-0000BC5F0000}"/>
    <cellStyle name="Normal 4 2 6 5 3 2 2 2" xfId="37411" xr:uid="{00000000-0005-0000-0000-0000BD5F0000}"/>
    <cellStyle name="Normal 4 2 6 5 3 2 3" xfId="28381" xr:uid="{00000000-0005-0000-0000-0000BE5F0000}"/>
    <cellStyle name="Normal 4 2 6 5 3 3" xfId="12877" xr:uid="{00000000-0005-0000-0000-0000BF5F0000}"/>
    <cellStyle name="Normal 4 2 6 5 3 3 2" xfId="32929" xr:uid="{00000000-0005-0000-0000-0000C05F0000}"/>
    <cellStyle name="Normal 4 2 6 5 3 4" xfId="23899" xr:uid="{00000000-0005-0000-0000-0000C15F0000}"/>
    <cellStyle name="Normal 4 2 6 5 4" xfId="5341" xr:uid="{00000000-0005-0000-0000-0000C25F0000}"/>
    <cellStyle name="Normal 4 2 6 5 4 2" xfId="14371" xr:uid="{00000000-0005-0000-0000-0000C35F0000}"/>
    <cellStyle name="Normal 4 2 6 5 4 2 2" xfId="34423" xr:uid="{00000000-0005-0000-0000-0000C45F0000}"/>
    <cellStyle name="Normal 4 2 6 5 4 3" xfId="25393" xr:uid="{00000000-0005-0000-0000-0000C55F0000}"/>
    <cellStyle name="Normal 4 2 6 5 5" xfId="9889" xr:uid="{00000000-0005-0000-0000-0000C65F0000}"/>
    <cellStyle name="Normal 4 2 6 5 5 2" xfId="29941" xr:uid="{00000000-0005-0000-0000-0000C75F0000}"/>
    <cellStyle name="Normal 4 2 6 5 6" xfId="20911" xr:uid="{00000000-0005-0000-0000-0000C85F0000}"/>
    <cellStyle name="Normal 4 2 6 6" xfId="1608" xr:uid="{00000000-0005-0000-0000-0000C95F0000}"/>
    <cellStyle name="Normal 4 2 6 6 2" xfId="6090" xr:uid="{00000000-0005-0000-0000-0000CA5F0000}"/>
    <cellStyle name="Normal 4 2 6 6 2 2" xfId="15120" xr:uid="{00000000-0005-0000-0000-0000CB5F0000}"/>
    <cellStyle name="Normal 4 2 6 6 2 2 2" xfId="35172" xr:uid="{00000000-0005-0000-0000-0000CC5F0000}"/>
    <cellStyle name="Normal 4 2 6 6 2 3" xfId="26142" xr:uid="{00000000-0005-0000-0000-0000CD5F0000}"/>
    <cellStyle name="Normal 4 2 6 6 3" xfId="10638" xr:uid="{00000000-0005-0000-0000-0000CE5F0000}"/>
    <cellStyle name="Normal 4 2 6 6 3 2" xfId="30690" xr:uid="{00000000-0005-0000-0000-0000CF5F0000}"/>
    <cellStyle name="Normal 4 2 6 6 4" xfId="21660" xr:uid="{00000000-0005-0000-0000-0000D05F0000}"/>
    <cellStyle name="Normal 4 2 6 7" xfId="3102" xr:uid="{00000000-0005-0000-0000-0000D15F0000}"/>
    <cellStyle name="Normal 4 2 6 7 2" xfId="7584" xr:uid="{00000000-0005-0000-0000-0000D25F0000}"/>
    <cellStyle name="Normal 4 2 6 7 2 2" xfId="16614" xr:uid="{00000000-0005-0000-0000-0000D35F0000}"/>
    <cellStyle name="Normal 4 2 6 7 2 2 2" xfId="36666" xr:uid="{00000000-0005-0000-0000-0000D45F0000}"/>
    <cellStyle name="Normal 4 2 6 7 2 3" xfId="27636" xr:uid="{00000000-0005-0000-0000-0000D55F0000}"/>
    <cellStyle name="Normal 4 2 6 7 3" xfId="12132" xr:uid="{00000000-0005-0000-0000-0000D65F0000}"/>
    <cellStyle name="Normal 4 2 6 7 3 2" xfId="32184" xr:uid="{00000000-0005-0000-0000-0000D75F0000}"/>
    <cellStyle name="Normal 4 2 6 7 4" xfId="23154" xr:uid="{00000000-0005-0000-0000-0000D85F0000}"/>
    <cellStyle name="Normal 4 2 6 8" xfId="4596" xr:uid="{00000000-0005-0000-0000-0000D95F0000}"/>
    <cellStyle name="Normal 4 2 6 8 2" xfId="13626" xr:uid="{00000000-0005-0000-0000-0000DA5F0000}"/>
    <cellStyle name="Normal 4 2 6 8 2 2" xfId="33678" xr:uid="{00000000-0005-0000-0000-0000DB5F0000}"/>
    <cellStyle name="Normal 4 2 6 8 3" xfId="24648" xr:uid="{00000000-0005-0000-0000-0000DC5F0000}"/>
    <cellStyle name="Normal 4 2 6 9" xfId="9144" xr:uid="{00000000-0005-0000-0000-0000DD5F0000}"/>
    <cellStyle name="Normal 4 2 6 9 2" xfId="29196" xr:uid="{00000000-0005-0000-0000-0000DE5F0000}"/>
    <cellStyle name="Normal 4 2 7" xfId="130" xr:uid="{00000000-0005-0000-0000-0000DF5F0000}"/>
    <cellStyle name="Normal 4 2 7 10" xfId="20182" xr:uid="{00000000-0005-0000-0000-0000E05F0000}"/>
    <cellStyle name="Normal 4 2 7 2" xfId="316" xr:uid="{00000000-0005-0000-0000-0000E15F0000}"/>
    <cellStyle name="Normal 4 2 7 2 2" xfId="1059" xr:uid="{00000000-0005-0000-0000-0000E25F0000}"/>
    <cellStyle name="Normal 4 2 7 2 2 2" xfId="2553" xr:uid="{00000000-0005-0000-0000-0000E35F0000}"/>
    <cellStyle name="Normal 4 2 7 2 2 2 2" xfId="7035" xr:uid="{00000000-0005-0000-0000-0000E45F0000}"/>
    <cellStyle name="Normal 4 2 7 2 2 2 2 2" xfId="16065" xr:uid="{00000000-0005-0000-0000-0000E55F0000}"/>
    <cellStyle name="Normal 4 2 7 2 2 2 2 2 2" xfId="36117" xr:uid="{00000000-0005-0000-0000-0000E65F0000}"/>
    <cellStyle name="Normal 4 2 7 2 2 2 2 3" xfId="27087" xr:uid="{00000000-0005-0000-0000-0000E75F0000}"/>
    <cellStyle name="Normal 4 2 7 2 2 2 3" xfId="11583" xr:uid="{00000000-0005-0000-0000-0000E85F0000}"/>
    <cellStyle name="Normal 4 2 7 2 2 2 3 2" xfId="31635" xr:uid="{00000000-0005-0000-0000-0000E95F0000}"/>
    <cellStyle name="Normal 4 2 7 2 2 2 4" xfId="22605" xr:uid="{00000000-0005-0000-0000-0000EA5F0000}"/>
    <cellStyle name="Normal 4 2 7 2 2 3" xfId="4047" xr:uid="{00000000-0005-0000-0000-0000EB5F0000}"/>
    <cellStyle name="Normal 4 2 7 2 2 3 2" xfId="8529" xr:uid="{00000000-0005-0000-0000-0000EC5F0000}"/>
    <cellStyle name="Normal 4 2 7 2 2 3 2 2" xfId="17559" xr:uid="{00000000-0005-0000-0000-0000ED5F0000}"/>
    <cellStyle name="Normal 4 2 7 2 2 3 2 2 2" xfId="37611" xr:uid="{00000000-0005-0000-0000-0000EE5F0000}"/>
    <cellStyle name="Normal 4 2 7 2 2 3 2 3" xfId="28581" xr:uid="{00000000-0005-0000-0000-0000EF5F0000}"/>
    <cellStyle name="Normal 4 2 7 2 2 3 3" xfId="13077" xr:uid="{00000000-0005-0000-0000-0000F05F0000}"/>
    <cellStyle name="Normal 4 2 7 2 2 3 3 2" xfId="33129" xr:uid="{00000000-0005-0000-0000-0000F15F0000}"/>
    <cellStyle name="Normal 4 2 7 2 2 3 4" xfId="24099" xr:uid="{00000000-0005-0000-0000-0000F25F0000}"/>
    <cellStyle name="Normal 4 2 7 2 2 4" xfId="5541" xr:uid="{00000000-0005-0000-0000-0000F35F0000}"/>
    <cellStyle name="Normal 4 2 7 2 2 4 2" xfId="14571" xr:uid="{00000000-0005-0000-0000-0000F45F0000}"/>
    <cellStyle name="Normal 4 2 7 2 2 4 2 2" xfId="34623" xr:uid="{00000000-0005-0000-0000-0000F55F0000}"/>
    <cellStyle name="Normal 4 2 7 2 2 4 3" xfId="25593" xr:uid="{00000000-0005-0000-0000-0000F65F0000}"/>
    <cellStyle name="Normal 4 2 7 2 2 5" xfId="10089" xr:uid="{00000000-0005-0000-0000-0000F75F0000}"/>
    <cellStyle name="Normal 4 2 7 2 2 5 2" xfId="30141" xr:uid="{00000000-0005-0000-0000-0000F85F0000}"/>
    <cellStyle name="Normal 4 2 7 2 2 6" xfId="21111" xr:uid="{00000000-0005-0000-0000-0000F95F0000}"/>
    <cellStyle name="Normal 4 2 7 2 3" xfId="1810" xr:uid="{00000000-0005-0000-0000-0000FA5F0000}"/>
    <cellStyle name="Normal 4 2 7 2 3 2" xfId="6292" xr:uid="{00000000-0005-0000-0000-0000FB5F0000}"/>
    <cellStyle name="Normal 4 2 7 2 3 2 2" xfId="15322" xr:uid="{00000000-0005-0000-0000-0000FC5F0000}"/>
    <cellStyle name="Normal 4 2 7 2 3 2 2 2" xfId="35374" xr:uid="{00000000-0005-0000-0000-0000FD5F0000}"/>
    <cellStyle name="Normal 4 2 7 2 3 2 3" xfId="26344" xr:uid="{00000000-0005-0000-0000-0000FE5F0000}"/>
    <cellStyle name="Normal 4 2 7 2 3 3" xfId="10840" xr:uid="{00000000-0005-0000-0000-0000FF5F0000}"/>
    <cellStyle name="Normal 4 2 7 2 3 3 2" xfId="30892" xr:uid="{00000000-0005-0000-0000-000000600000}"/>
    <cellStyle name="Normal 4 2 7 2 3 4" xfId="21862" xr:uid="{00000000-0005-0000-0000-000001600000}"/>
    <cellStyle name="Normal 4 2 7 2 4" xfId="3304" xr:uid="{00000000-0005-0000-0000-000002600000}"/>
    <cellStyle name="Normal 4 2 7 2 4 2" xfId="7786" xr:uid="{00000000-0005-0000-0000-000003600000}"/>
    <cellStyle name="Normal 4 2 7 2 4 2 2" xfId="16816" xr:uid="{00000000-0005-0000-0000-000004600000}"/>
    <cellStyle name="Normal 4 2 7 2 4 2 2 2" xfId="36868" xr:uid="{00000000-0005-0000-0000-000005600000}"/>
    <cellStyle name="Normal 4 2 7 2 4 2 3" xfId="27838" xr:uid="{00000000-0005-0000-0000-000006600000}"/>
    <cellStyle name="Normal 4 2 7 2 4 3" xfId="12334" xr:uid="{00000000-0005-0000-0000-000007600000}"/>
    <cellStyle name="Normal 4 2 7 2 4 3 2" xfId="32386" xr:uid="{00000000-0005-0000-0000-000008600000}"/>
    <cellStyle name="Normal 4 2 7 2 4 4" xfId="23356" xr:uid="{00000000-0005-0000-0000-000009600000}"/>
    <cellStyle name="Normal 4 2 7 2 5" xfId="4798" xr:uid="{00000000-0005-0000-0000-00000A600000}"/>
    <cellStyle name="Normal 4 2 7 2 5 2" xfId="13828" xr:uid="{00000000-0005-0000-0000-00000B600000}"/>
    <cellStyle name="Normal 4 2 7 2 5 2 2" xfId="33880" xr:uid="{00000000-0005-0000-0000-00000C600000}"/>
    <cellStyle name="Normal 4 2 7 2 5 3" xfId="24850" xr:uid="{00000000-0005-0000-0000-00000D600000}"/>
    <cellStyle name="Normal 4 2 7 2 6" xfId="9346" xr:uid="{00000000-0005-0000-0000-00000E600000}"/>
    <cellStyle name="Normal 4 2 7 2 6 2" xfId="29398" xr:uid="{00000000-0005-0000-0000-00000F600000}"/>
    <cellStyle name="Normal 4 2 7 2 7" xfId="20368" xr:uid="{00000000-0005-0000-0000-000010600000}"/>
    <cellStyle name="Normal 4 2 7 3" xfId="502" xr:uid="{00000000-0005-0000-0000-000011600000}"/>
    <cellStyle name="Normal 4 2 7 3 2" xfId="1249" xr:uid="{00000000-0005-0000-0000-000012600000}"/>
    <cellStyle name="Normal 4 2 7 3 2 2" xfId="2743" xr:uid="{00000000-0005-0000-0000-000013600000}"/>
    <cellStyle name="Normal 4 2 7 3 2 2 2" xfId="7225" xr:uid="{00000000-0005-0000-0000-000014600000}"/>
    <cellStyle name="Normal 4 2 7 3 2 2 2 2" xfId="16255" xr:uid="{00000000-0005-0000-0000-000015600000}"/>
    <cellStyle name="Normal 4 2 7 3 2 2 2 2 2" xfId="36307" xr:uid="{00000000-0005-0000-0000-000016600000}"/>
    <cellStyle name="Normal 4 2 7 3 2 2 2 3" xfId="27277" xr:uid="{00000000-0005-0000-0000-000017600000}"/>
    <cellStyle name="Normal 4 2 7 3 2 2 3" xfId="11773" xr:uid="{00000000-0005-0000-0000-000018600000}"/>
    <cellStyle name="Normal 4 2 7 3 2 2 3 2" xfId="31825" xr:uid="{00000000-0005-0000-0000-000019600000}"/>
    <cellStyle name="Normal 4 2 7 3 2 2 4" xfId="22795" xr:uid="{00000000-0005-0000-0000-00001A600000}"/>
    <cellStyle name="Normal 4 2 7 3 2 3" xfId="4237" xr:uid="{00000000-0005-0000-0000-00001B600000}"/>
    <cellStyle name="Normal 4 2 7 3 2 3 2" xfId="8719" xr:uid="{00000000-0005-0000-0000-00001C600000}"/>
    <cellStyle name="Normal 4 2 7 3 2 3 2 2" xfId="17749" xr:uid="{00000000-0005-0000-0000-00001D600000}"/>
    <cellStyle name="Normal 4 2 7 3 2 3 2 2 2" xfId="37801" xr:uid="{00000000-0005-0000-0000-00001E600000}"/>
    <cellStyle name="Normal 4 2 7 3 2 3 2 3" xfId="28771" xr:uid="{00000000-0005-0000-0000-00001F600000}"/>
    <cellStyle name="Normal 4 2 7 3 2 3 3" xfId="13267" xr:uid="{00000000-0005-0000-0000-000020600000}"/>
    <cellStyle name="Normal 4 2 7 3 2 3 3 2" xfId="33319" xr:uid="{00000000-0005-0000-0000-000021600000}"/>
    <cellStyle name="Normal 4 2 7 3 2 3 4" xfId="24289" xr:uid="{00000000-0005-0000-0000-000022600000}"/>
    <cellStyle name="Normal 4 2 7 3 2 4" xfId="5731" xr:uid="{00000000-0005-0000-0000-000023600000}"/>
    <cellStyle name="Normal 4 2 7 3 2 4 2" xfId="14761" xr:uid="{00000000-0005-0000-0000-000024600000}"/>
    <cellStyle name="Normal 4 2 7 3 2 4 2 2" xfId="34813" xr:uid="{00000000-0005-0000-0000-000025600000}"/>
    <cellStyle name="Normal 4 2 7 3 2 4 3" xfId="25783" xr:uid="{00000000-0005-0000-0000-000026600000}"/>
    <cellStyle name="Normal 4 2 7 3 2 5" xfId="10279" xr:uid="{00000000-0005-0000-0000-000027600000}"/>
    <cellStyle name="Normal 4 2 7 3 2 5 2" xfId="30331" xr:uid="{00000000-0005-0000-0000-000028600000}"/>
    <cellStyle name="Normal 4 2 7 3 2 6" xfId="21301" xr:uid="{00000000-0005-0000-0000-000029600000}"/>
    <cellStyle name="Normal 4 2 7 3 3" xfId="1996" xr:uid="{00000000-0005-0000-0000-00002A600000}"/>
    <cellStyle name="Normal 4 2 7 3 3 2" xfId="6478" xr:uid="{00000000-0005-0000-0000-00002B600000}"/>
    <cellStyle name="Normal 4 2 7 3 3 2 2" xfId="15508" xr:uid="{00000000-0005-0000-0000-00002C600000}"/>
    <cellStyle name="Normal 4 2 7 3 3 2 2 2" xfId="35560" xr:uid="{00000000-0005-0000-0000-00002D600000}"/>
    <cellStyle name="Normal 4 2 7 3 3 2 3" xfId="26530" xr:uid="{00000000-0005-0000-0000-00002E600000}"/>
    <cellStyle name="Normal 4 2 7 3 3 3" xfId="11026" xr:uid="{00000000-0005-0000-0000-00002F600000}"/>
    <cellStyle name="Normal 4 2 7 3 3 3 2" xfId="31078" xr:uid="{00000000-0005-0000-0000-000030600000}"/>
    <cellStyle name="Normal 4 2 7 3 3 4" xfId="22048" xr:uid="{00000000-0005-0000-0000-000031600000}"/>
    <cellStyle name="Normal 4 2 7 3 4" xfId="3490" xr:uid="{00000000-0005-0000-0000-000032600000}"/>
    <cellStyle name="Normal 4 2 7 3 4 2" xfId="7972" xr:uid="{00000000-0005-0000-0000-000033600000}"/>
    <cellStyle name="Normal 4 2 7 3 4 2 2" xfId="17002" xr:uid="{00000000-0005-0000-0000-000034600000}"/>
    <cellStyle name="Normal 4 2 7 3 4 2 2 2" xfId="37054" xr:uid="{00000000-0005-0000-0000-000035600000}"/>
    <cellStyle name="Normal 4 2 7 3 4 2 3" xfId="28024" xr:uid="{00000000-0005-0000-0000-000036600000}"/>
    <cellStyle name="Normal 4 2 7 3 4 3" xfId="12520" xr:uid="{00000000-0005-0000-0000-000037600000}"/>
    <cellStyle name="Normal 4 2 7 3 4 3 2" xfId="32572" xr:uid="{00000000-0005-0000-0000-000038600000}"/>
    <cellStyle name="Normal 4 2 7 3 4 4" xfId="23542" xr:uid="{00000000-0005-0000-0000-000039600000}"/>
    <cellStyle name="Normal 4 2 7 3 5" xfId="4984" xr:uid="{00000000-0005-0000-0000-00003A600000}"/>
    <cellStyle name="Normal 4 2 7 3 5 2" xfId="14014" xr:uid="{00000000-0005-0000-0000-00003B600000}"/>
    <cellStyle name="Normal 4 2 7 3 5 2 2" xfId="34066" xr:uid="{00000000-0005-0000-0000-00003C600000}"/>
    <cellStyle name="Normal 4 2 7 3 5 3" xfId="25036" xr:uid="{00000000-0005-0000-0000-00003D600000}"/>
    <cellStyle name="Normal 4 2 7 3 6" xfId="9532" xr:uid="{00000000-0005-0000-0000-00003E600000}"/>
    <cellStyle name="Normal 4 2 7 3 6 2" xfId="29584" xr:uid="{00000000-0005-0000-0000-00003F600000}"/>
    <cellStyle name="Normal 4 2 7 3 7" xfId="20554" xr:uid="{00000000-0005-0000-0000-000040600000}"/>
    <cellStyle name="Normal 4 2 7 4" xfId="688" xr:uid="{00000000-0005-0000-0000-000041600000}"/>
    <cellStyle name="Normal 4 2 7 4 2" xfId="1435" xr:uid="{00000000-0005-0000-0000-000042600000}"/>
    <cellStyle name="Normal 4 2 7 4 2 2" xfId="2929" xr:uid="{00000000-0005-0000-0000-000043600000}"/>
    <cellStyle name="Normal 4 2 7 4 2 2 2" xfId="7411" xr:uid="{00000000-0005-0000-0000-000044600000}"/>
    <cellStyle name="Normal 4 2 7 4 2 2 2 2" xfId="16441" xr:uid="{00000000-0005-0000-0000-000045600000}"/>
    <cellStyle name="Normal 4 2 7 4 2 2 2 2 2" xfId="36493" xr:uid="{00000000-0005-0000-0000-000046600000}"/>
    <cellStyle name="Normal 4 2 7 4 2 2 2 3" xfId="27463" xr:uid="{00000000-0005-0000-0000-000047600000}"/>
    <cellStyle name="Normal 4 2 7 4 2 2 3" xfId="11959" xr:uid="{00000000-0005-0000-0000-000048600000}"/>
    <cellStyle name="Normal 4 2 7 4 2 2 3 2" xfId="32011" xr:uid="{00000000-0005-0000-0000-000049600000}"/>
    <cellStyle name="Normal 4 2 7 4 2 2 4" xfId="22981" xr:uid="{00000000-0005-0000-0000-00004A600000}"/>
    <cellStyle name="Normal 4 2 7 4 2 3" xfId="4423" xr:uid="{00000000-0005-0000-0000-00004B600000}"/>
    <cellStyle name="Normal 4 2 7 4 2 3 2" xfId="8905" xr:uid="{00000000-0005-0000-0000-00004C600000}"/>
    <cellStyle name="Normal 4 2 7 4 2 3 2 2" xfId="17935" xr:uid="{00000000-0005-0000-0000-00004D600000}"/>
    <cellStyle name="Normal 4 2 7 4 2 3 2 2 2" xfId="37987" xr:uid="{00000000-0005-0000-0000-00004E600000}"/>
    <cellStyle name="Normal 4 2 7 4 2 3 2 3" xfId="28957" xr:uid="{00000000-0005-0000-0000-00004F600000}"/>
    <cellStyle name="Normal 4 2 7 4 2 3 3" xfId="13453" xr:uid="{00000000-0005-0000-0000-000050600000}"/>
    <cellStyle name="Normal 4 2 7 4 2 3 3 2" xfId="33505" xr:uid="{00000000-0005-0000-0000-000051600000}"/>
    <cellStyle name="Normal 4 2 7 4 2 3 4" xfId="24475" xr:uid="{00000000-0005-0000-0000-000052600000}"/>
    <cellStyle name="Normal 4 2 7 4 2 4" xfId="5917" xr:uid="{00000000-0005-0000-0000-000053600000}"/>
    <cellStyle name="Normal 4 2 7 4 2 4 2" xfId="14947" xr:uid="{00000000-0005-0000-0000-000054600000}"/>
    <cellStyle name="Normal 4 2 7 4 2 4 2 2" xfId="34999" xr:uid="{00000000-0005-0000-0000-000055600000}"/>
    <cellStyle name="Normal 4 2 7 4 2 4 3" xfId="25969" xr:uid="{00000000-0005-0000-0000-000056600000}"/>
    <cellStyle name="Normal 4 2 7 4 2 5" xfId="10465" xr:uid="{00000000-0005-0000-0000-000057600000}"/>
    <cellStyle name="Normal 4 2 7 4 2 5 2" xfId="30517" xr:uid="{00000000-0005-0000-0000-000058600000}"/>
    <cellStyle name="Normal 4 2 7 4 2 6" xfId="21487" xr:uid="{00000000-0005-0000-0000-000059600000}"/>
    <cellStyle name="Normal 4 2 7 4 3" xfId="2182" xr:uid="{00000000-0005-0000-0000-00005A600000}"/>
    <cellStyle name="Normal 4 2 7 4 3 2" xfId="6664" xr:uid="{00000000-0005-0000-0000-00005B600000}"/>
    <cellStyle name="Normal 4 2 7 4 3 2 2" xfId="15694" xr:uid="{00000000-0005-0000-0000-00005C600000}"/>
    <cellStyle name="Normal 4 2 7 4 3 2 2 2" xfId="35746" xr:uid="{00000000-0005-0000-0000-00005D600000}"/>
    <cellStyle name="Normal 4 2 7 4 3 2 3" xfId="26716" xr:uid="{00000000-0005-0000-0000-00005E600000}"/>
    <cellStyle name="Normal 4 2 7 4 3 3" xfId="11212" xr:uid="{00000000-0005-0000-0000-00005F600000}"/>
    <cellStyle name="Normal 4 2 7 4 3 3 2" xfId="31264" xr:uid="{00000000-0005-0000-0000-000060600000}"/>
    <cellStyle name="Normal 4 2 7 4 3 4" xfId="22234" xr:uid="{00000000-0005-0000-0000-000061600000}"/>
    <cellStyle name="Normal 4 2 7 4 4" xfId="3676" xr:uid="{00000000-0005-0000-0000-000062600000}"/>
    <cellStyle name="Normal 4 2 7 4 4 2" xfId="8158" xr:uid="{00000000-0005-0000-0000-000063600000}"/>
    <cellStyle name="Normal 4 2 7 4 4 2 2" xfId="17188" xr:uid="{00000000-0005-0000-0000-000064600000}"/>
    <cellStyle name="Normal 4 2 7 4 4 2 2 2" xfId="37240" xr:uid="{00000000-0005-0000-0000-000065600000}"/>
    <cellStyle name="Normal 4 2 7 4 4 2 3" xfId="28210" xr:uid="{00000000-0005-0000-0000-000066600000}"/>
    <cellStyle name="Normal 4 2 7 4 4 3" xfId="12706" xr:uid="{00000000-0005-0000-0000-000067600000}"/>
    <cellStyle name="Normal 4 2 7 4 4 3 2" xfId="32758" xr:uid="{00000000-0005-0000-0000-000068600000}"/>
    <cellStyle name="Normal 4 2 7 4 4 4" xfId="23728" xr:uid="{00000000-0005-0000-0000-000069600000}"/>
    <cellStyle name="Normal 4 2 7 4 5" xfId="5170" xr:uid="{00000000-0005-0000-0000-00006A600000}"/>
    <cellStyle name="Normal 4 2 7 4 5 2" xfId="14200" xr:uid="{00000000-0005-0000-0000-00006B600000}"/>
    <cellStyle name="Normal 4 2 7 4 5 2 2" xfId="34252" xr:uid="{00000000-0005-0000-0000-00006C600000}"/>
    <cellStyle name="Normal 4 2 7 4 5 3" xfId="25222" xr:uid="{00000000-0005-0000-0000-00006D600000}"/>
    <cellStyle name="Normal 4 2 7 4 6" xfId="9718" xr:uid="{00000000-0005-0000-0000-00006E600000}"/>
    <cellStyle name="Normal 4 2 7 4 6 2" xfId="29770" xr:uid="{00000000-0005-0000-0000-00006F600000}"/>
    <cellStyle name="Normal 4 2 7 4 7" xfId="20740" xr:uid="{00000000-0005-0000-0000-000070600000}"/>
    <cellStyle name="Normal 4 2 7 5" xfId="875" xr:uid="{00000000-0005-0000-0000-000071600000}"/>
    <cellStyle name="Normal 4 2 7 5 2" xfId="2369" xr:uid="{00000000-0005-0000-0000-000072600000}"/>
    <cellStyle name="Normal 4 2 7 5 2 2" xfId="6851" xr:uid="{00000000-0005-0000-0000-000073600000}"/>
    <cellStyle name="Normal 4 2 7 5 2 2 2" xfId="15881" xr:uid="{00000000-0005-0000-0000-000074600000}"/>
    <cellStyle name="Normal 4 2 7 5 2 2 2 2" xfId="35933" xr:uid="{00000000-0005-0000-0000-000075600000}"/>
    <cellStyle name="Normal 4 2 7 5 2 2 3" xfId="26903" xr:uid="{00000000-0005-0000-0000-000076600000}"/>
    <cellStyle name="Normal 4 2 7 5 2 3" xfId="11399" xr:uid="{00000000-0005-0000-0000-000077600000}"/>
    <cellStyle name="Normal 4 2 7 5 2 3 2" xfId="31451" xr:uid="{00000000-0005-0000-0000-000078600000}"/>
    <cellStyle name="Normal 4 2 7 5 2 4" xfId="22421" xr:uid="{00000000-0005-0000-0000-000079600000}"/>
    <cellStyle name="Normal 4 2 7 5 3" xfId="3863" xr:uid="{00000000-0005-0000-0000-00007A600000}"/>
    <cellStyle name="Normal 4 2 7 5 3 2" xfId="8345" xr:uid="{00000000-0005-0000-0000-00007B600000}"/>
    <cellStyle name="Normal 4 2 7 5 3 2 2" xfId="17375" xr:uid="{00000000-0005-0000-0000-00007C600000}"/>
    <cellStyle name="Normal 4 2 7 5 3 2 2 2" xfId="37427" xr:uid="{00000000-0005-0000-0000-00007D600000}"/>
    <cellStyle name="Normal 4 2 7 5 3 2 3" xfId="28397" xr:uid="{00000000-0005-0000-0000-00007E600000}"/>
    <cellStyle name="Normal 4 2 7 5 3 3" xfId="12893" xr:uid="{00000000-0005-0000-0000-00007F600000}"/>
    <cellStyle name="Normal 4 2 7 5 3 3 2" xfId="32945" xr:uid="{00000000-0005-0000-0000-000080600000}"/>
    <cellStyle name="Normal 4 2 7 5 3 4" xfId="23915" xr:uid="{00000000-0005-0000-0000-000081600000}"/>
    <cellStyle name="Normal 4 2 7 5 4" xfId="5357" xr:uid="{00000000-0005-0000-0000-000082600000}"/>
    <cellStyle name="Normal 4 2 7 5 4 2" xfId="14387" xr:uid="{00000000-0005-0000-0000-000083600000}"/>
    <cellStyle name="Normal 4 2 7 5 4 2 2" xfId="34439" xr:uid="{00000000-0005-0000-0000-000084600000}"/>
    <cellStyle name="Normal 4 2 7 5 4 3" xfId="25409" xr:uid="{00000000-0005-0000-0000-000085600000}"/>
    <cellStyle name="Normal 4 2 7 5 5" xfId="9905" xr:uid="{00000000-0005-0000-0000-000086600000}"/>
    <cellStyle name="Normal 4 2 7 5 5 2" xfId="29957" xr:uid="{00000000-0005-0000-0000-000087600000}"/>
    <cellStyle name="Normal 4 2 7 5 6" xfId="20927" xr:uid="{00000000-0005-0000-0000-000088600000}"/>
    <cellStyle name="Normal 4 2 7 6" xfId="1624" xr:uid="{00000000-0005-0000-0000-000089600000}"/>
    <cellStyle name="Normal 4 2 7 6 2" xfId="6106" xr:uid="{00000000-0005-0000-0000-00008A600000}"/>
    <cellStyle name="Normal 4 2 7 6 2 2" xfId="15136" xr:uid="{00000000-0005-0000-0000-00008B600000}"/>
    <cellStyle name="Normal 4 2 7 6 2 2 2" xfId="35188" xr:uid="{00000000-0005-0000-0000-00008C600000}"/>
    <cellStyle name="Normal 4 2 7 6 2 3" xfId="26158" xr:uid="{00000000-0005-0000-0000-00008D600000}"/>
    <cellStyle name="Normal 4 2 7 6 3" xfId="10654" xr:uid="{00000000-0005-0000-0000-00008E600000}"/>
    <cellStyle name="Normal 4 2 7 6 3 2" xfId="30706" xr:uid="{00000000-0005-0000-0000-00008F600000}"/>
    <cellStyle name="Normal 4 2 7 6 4" xfId="21676" xr:uid="{00000000-0005-0000-0000-000090600000}"/>
    <cellStyle name="Normal 4 2 7 7" xfId="3118" xr:uid="{00000000-0005-0000-0000-000091600000}"/>
    <cellStyle name="Normal 4 2 7 7 2" xfId="7600" xr:uid="{00000000-0005-0000-0000-000092600000}"/>
    <cellStyle name="Normal 4 2 7 7 2 2" xfId="16630" xr:uid="{00000000-0005-0000-0000-000093600000}"/>
    <cellStyle name="Normal 4 2 7 7 2 2 2" xfId="36682" xr:uid="{00000000-0005-0000-0000-000094600000}"/>
    <cellStyle name="Normal 4 2 7 7 2 3" xfId="27652" xr:uid="{00000000-0005-0000-0000-000095600000}"/>
    <cellStyle name="Normal 4 2 7 7 3" xfId="12148" xr:uid="{00000000-0005-0000-0000-000096600000}"/>
    <cellStyle name="Normal 4 2 7 7 3 2" xfId="32200" xr:uid="{00000000-0005-0000-0000-000097600000}"/>
    <cellStyle name="Normal 4 2 7 7 4" xfId="23170" xr:uid="{00000000-0005-0000-0000-000098600000}"/>
    <cellStyle name="Normal 4 2 7 8" xfId="4612" xr:uid="{00000000-0005-0000-0000-000099600000}"/>
    <cellStyle name="Normal 4 2 7 8 2" xfId="13642" xr:uid="{00000000-0005-0000-0000-00009A600000}"/>
    <cellStyle name="Normal 4 2 7 8 2 2" xfId="33694" xr:uid="{00000000-0005-0000-0000-00009B600000}"/>
    <cellStyle name="Normal 4 2 7 8 3" xfId="24664" xr:uid="{00000000-0005-0000-0000-00009C600000}"/>
    <cellStyle name="Normal 4 2 7 9" xfId="9160" xr:uid="{00000000-0005-0000-0000-00009D600000}"/>
    <cellStyle name="Normal 4 2 7 9 2" xfId="29212" xr:uid="{00000000-0005-0000-0000-00009E600000}"/>
    <cellStyle name="Normal 4 2 8" xfId="153" xr:uid="{00000000-0005-0000-0000-00009F600000}"/>
    <cellStyle name="Normal 4 2 8 10" xfId="20205" xr:uid="{00000000-0005-0000-0000-0000A0600000}"/>
    <cellStyle name="Normal 4 2 8 2" xfId="339" xr:uid="{00000000-0005-0000-0000-0000A1600000}"/>
    <cellStyle name="Normal 4 2 8 2 2" xfId="1082" xr:uid="{00000000-0005-0000-0000-0000A2600000}"/>
    <cellStyle name="Normal 4 2 8 2 2 2" xfId="2576" xr:uid="{00000000-0005-0000-0000-0000A3600000}"/>
    <cellStyle name="Normal 4 2 8 2 2 2 2" xfId="7058" xr:uid="{00000000-0005-0000-0000-0000A4600000}"/>
    <cellStyle name="Normal 4 2 8 2 2 2 2 2" xfId="16088" xr:uid="{00000000-0005-0000-0000-0000A5600000}"/>
    <cellStyle name="Normal 4 2 8 2 2 2 2 2 2" xfId="36140" xr:uid="{00000000-0005-0000-0000-0000A6600000}"/>
    <cellStyle name="Normal 4 2 8 2 2 2 2 3" xfId="27110" xr:uid="{00000000-0005-0000-0000-0000A7600000}"/>
    <cellStyle name="Normal 4 2 8 2 2 2 3" xfId="11606" xr:uid="{00000000-0005-0000-0000-0000A8600000}"/>
    <cellStyle name="Normal 4 2 8 2 2 2 3 2" xfId="31658" xr:uid="{00000000-0005-0000-0000-0000A9600000}"/>
    <cellStyle name="Normal 4 2 8 2 2 2 4" xfId="22628" xr:uid="{00000000-0005-0000-0000-0000AA600000}"/>
    <cellStyle name="Normal 4 2 8 2 2 3" xfId="4070" xr:uid="{00000000-0005-0000-0000-0000AB600000}"/>
    <cellStyle name="Normal 4 2 8 2 2 3 2" xfId="8552" xr:uid="{00000000-0005-0000-0000-0000AC600000}"/>
    <cellStyle name="Normal 4 2 8 2 2 3 2 2" xfId="17582" xr:uid="{00000000-0005-0000-0000-0000AD600000}"/>
    <cellStyle name="Normal 4 2 8 2 2 3 2 2 2" xfId="37634" xr:uid="{00000000-0005-0000-0000-0000AE600000}"/>
    <cellStyle name="Normal 4 2 8 2 2 3 2 3" xfId="28604" xr:uid="{00000000-0005-0000-0000-0000AF600000}"/>
    <cellStyle name="Normal 4 2 8 2 2 3 3" xfId="13100" xr:uid="{00000000-0005-0000-0000-0000B0600000}"/>
    <cellStyle name="Normal 4 2 8 2 2 3 3 2" xfId="33152" xr:uid="{00000000-0005-0000-0000-0000B1600000}"/>
    <cellStyle name="Normal 4 2 8 2 2 3 4" xfId="24122" xr:uid="{00000000-0005-0000-0000-0000B2600000}"/>
    <cellStyle name="Normal 4 2 8 2 2 4" xfId="5564" xr:uid="{00000000-0005-0000-0000-0000B3600000}"/>
    <cellStyle name="Normal 4 2 8 2 2 4 2" xfId="14594" xr:uid="{00000000-0005-0000-0000-0000B4600000}"/>
    <cellStyle name="Normal 4 2 8 2 2 4 2 2" xfId="34646" xr:uid="{00000000-0005-0000-0000-0000B5600000}"/>
    <cellStyle name="Normal 4 2 8 2 2 4 3" xfId="25616" xr:uid="{00000000-0005-0000-0000-0000B6600000}"/>
    <cellStyle name="Normal 4 2 8 2 2 5" xfId="10112" xr:uid="{00000000-0005-0000-0000-0000B7600000}"/>
    <cellStyle name="Normal 4 2 8 2 2 5 2" xfId="30164" xr:uid="{00000000-0005-0000-0000-0000B8600000}"/>
    <cellStyle name="Normal 4 2 8 2 2 6" xfId="21134" xr:uid="{00000000-0005-0000-0000-0000B9600000}"/>
    <cellStyle name="Normal 4 2 8 2 3" xfId="1833" xr:uid="{00000000-0005-0000-0000-0000BA600000}"/>
    <cellStyle name="Normal 4 2 8 2 3 2" xfId="6315" xr:uid="{00000000-0005-0000-0000-0000BB600000}"/>
    <cellStyle name="Normal 4 2 8 2 3 2 2" xfId="15345" xr:uid="{00000000-0005-0000-0000-0000BC600000}"/>
    <cellStyle name="Normal 4 2 8 2 3 2 2 2" xfId="35397" xr:uid="{00000000-0005-0000-0000-0000BD600000}"/>
    <cellStyle name="Normal 4 2 8 2 3 2 3" xfId="26367" xr:uid="{00000000-0005-0000-0000-0000BE600000}"/>
    <cellStyle name="Normal 4 2 8 2 3 3" xfId="10863" xr:uid="{00000000-0005-0000-0000-0000BF600000}"/>
    <cellStyle name="Normal 4 2 8 2 3 3 2" xfId="30915" xr:uid="{00000000-0005-0000-0000-0000C0600000}"/>
    <cellStyle name="Normal 4 2 8 2 3 4" xfId="21885" xr:uid="{00000000-0005-0000-0000-0000C1600000}"/>
    <cellStyle name="Normal 4 2 8 2 4" xfId="3327" xr:uid="{00000000-0005-0000-0000-0000C2600000}"/>
    <cellStyle name="Normal 4 2 8 2 4 2" xfId="7809" xr:uid="{00000000-0005-0000-0000-0000C3600000}"/>
    <cellStyle name="Normal 4 2 8 2 4 2 2" xfId="16839" xr:uid="{00000000-0005-0000-0000-0000C4600000}"/>
    <cellStyle name="Normal 4 2 8 2 4 2 2 2" xfId="36891" xr:uid="{00000000-0005-0000-0000-0000C5600000}"/>
    <cellStyle name="Normal 4 2 8 2 4 2 3" xfId="27861" xr:uid="{00000000-0005-0000-0000-0000C6600000}"/>
    <cellStyle name="Normal 4 2 8 2 4 3" xfId="12357" xr:uid="{00000000-0005-0000-0000-0000C7600000}"/>
    <cellStyle name="Normal 4 2 8 2 4 3 2" xfId="32409" xr:uid="{00000000-0005-0000-0000-0000C8600000}"/>
    <cellStyle name="Normal 4 2 8 2 4 4" xfId="23379" xr:uid="{00000000-0005-0000-0000-0000C9600000}"/>
    <cellStyle name="Normal 4 2 8 2 5" xfId="4821" xr:uid="{00000000-0005-0000-0000-0000CA600000}"/>
    <cellStyle name="Normal 4 2 8 2 5 2" xfId="13851" xr:uid="{00000000-0005-0000-0000-0000CB600000}"/>
    <cellStyle name="Normal 4 2 8 2 5 2 2" xfId="33903" xr:uid="{00000000-0005-0000-0000-0000CC600000}"/>
    <cellStyle name="Normal 4 2 8 2 5 3" xfId="24873" xr:uid="{00000000-0005-0000-0000-0000CD600000}"/>
    <cellStyle name="Normal 4 2 8 2 6" xfId="9369" xr:uid="{00000000-0005-0000-0000-0000CE600000}"/>
    <cellStyle name="Normal 4 2 8 2 6 2" xfId="29421" xr:uid="{00000000-0005-0000-0000-0000CF600000}"/>
    <cellStyle name="Normal 4 2 8 2 7" xfId="20391" xr:uid="{00000000-0005-0000-0000-0000D0600000}"/>
    <cellStyle name="Normal 4 2 8 3" xfId="525" xr:uid="{00000000-0005-0000-0000-0000D1600000}"/>
    <cellStyle name="Normal 4 2 8 3 2" xfId="1272" xr:uid="{00000000-0005-0000-0000-0000D2600000}"/>
    <cellStyle name="Normal 4 2 8 3 2 2" xfId="2766" xr:uid="{00000000-0005-0000-0000-0000D3600000}"/>
    <cellStyle name="Normal 4 2 8 3 2 2 2" xfId="7248" xr:uid="{00000000-0005-0000-0000-0000D4600000}"/>
    <cellStyle name="Normal 4 2 8 3 2 2 2 2" xfId="16278" xr:uid="{00000000-0005-0000-0000-0000D5600000}"/>
    <cellStyle name="Normal 4 2 8 3 2 2 2 2 2" xfId="36330" xr:uid="{00000000-0005-0000-0000-0000D6600000}"/>
    <cellStyle name="Normal 4 2 8 3 2 2 2 3" xfId="27300" xr:uid="{00000000-0005-0000-0000-0000D7600000}"/>
    <cellStyle name="Normal 4 2 8 3 2 2 3" xfId="11796" xr:uid="{00000000-0005-0000-0000-0000D8600000}"/>
    <cellStyle name="Normal 4 2 8 3 2 2 3 2" xfId="31848" xr:uid="{00000000-0005-0000-0000-0000D9600000}"/>
    <cellStyle name="Normal 4 2 8 3 2 2 4" xfId="22818" xr:uid="{00000000-0005-0000-0000-0000DA600000}"/>
    <cellStyle name="Normal 4 2 8 3 2 3" xfId="4260" xr:uid="{00000000-0005-0000-0000-0000DB600000}"/>
    <cellStyle name="Normal 4 2 8 3 2 3 2" xfId="8742" xr:uid="{00000000-0005-0000-0000-0000DC600000}"/>
    <cellStyle name="Normal 4 2 8 3 2 3 2 2" xfId="17772" xr:uid="{00000000-0005-0000-0000-0000DD600000}"/>
    <cellStyle name="Normal 4 2 8 3 2 3 2 2 2" xfId="37824" xr:uid="{00000000-0005-0000-0000-0000DE600000}"/>
    <cellStyle name="Normal 4 2 8 3 2 3 2 3" xfId="28794" xr:uid="{00000000-0005-0000-0000-0000DF600000}"/>
    <cellStyle name="Normal 4 2 8 3 2 3 3" xfId="13290" xr:uid="{00000000-0005-0000-0000-0000E0600000}"/>
    <cellStyle name="Normal 4 2 8 3 2 3 3 2" xfId="33342" xr:uid="{00000000-0005-0000-0000-0000E1600000}"/>
    <cellStyle name="Normal 4 2 8 3 2 3 4" xfId="24312" xr:uid="{00000000-0005-0000-0000-0000E2600000}"/>
    <cellStyle name="Normal 4 2 8 3 2 4" xfId="5754" xr:uid="{00000000-0005-0000-0000-0000E3600000}"/>
    <cellStyle name="Normal 4 2 8 3 2 4 2" xfId="14784" xr:uid="{00000000-0005-0000-0000-0000E4600000}"/>
    <cellStyle name="Normal 4 2 8 3 2 4 2 2" xfId="34836" xr:uid="{00000000-0005-0000-0000-0000E5600000}"/>
    <cellStyle name="Normal 4 2 8 3 2 4 3" xfId="25806" xr:uid="{00000000-0005-0000-0000-0000E6600000}"/>
    <cellStyle name="Normal 4 2 8 3 2 5" xfId="10302" xr:uid="{00000000-0005-0000-0000-0000E7600000}"/>
    <cellStyle name="Normal 4 2 8 3 2 5 2" xfId="30354" xr:uid="{00000000-0005-0000-0000-0000E8600000}"/>
    <cellStyle name="Normal 4 2 8 3 2 6" xfId="21324" xr:uid="{00000000-0005-0000-0000-0000E9600000}"/>
    <cellStyle name="Normal 4 2 8 3 3" xfId="2019" xr:uid="{00000000-0005-0000-0000-0000EA600000}"/>
    <cellStyle name="Normal 4 2 8 3 3 2" xfId="6501" xr:uid="{00000000-0005-0000-0000-0000EB600000}"/>
    <cellStyle name="Normal 4 2 8 3 3 2 2" xfId="15531" xr:uid="{00000000-0005-0000-0000-0000EC600000}"/>
    <cellStyle name="Normal 4 2 8 3 3 2 2 2" xfId="35583" xr:uid="{00000000-0005-0000-0000-0000ED600000}"/>
    <cellStyle name="Normal 4 2 8 3 3 2 3" xfId="26553" xr:uid="{00000000-0005-0000-0000-0000EE600000}"/>
    <cellStyle name="Normal 4 2 8 3 3 3" xfId="11049" xr:uid="{00000000-0005-0000-0000-0000EF600000}"/>
    <cellStyle name="Normal 4 2 8 3 3 3 2" xfId="31101" xr:uid="{00000000-0005-0000-0000-0000F0600000}"/>
    <cellStyle name="Normal 4 2 8 3 3 4" xfId="22071" xr:uid="{00000000-0005-0000-0000-0000F1600000}"/>
    <cellStyle name="Normal 4 2 8 3 4" xfId="3513" xr:uid="{00000000-0005-0000-0000-0000F2600000}"/>
    <cellStyle name="Normal 4 2 8 3 4 2" xfId="7995" xr:uid="{00000000-0005-0000-0000-0000F3600000}"/>
    <cellStyle name="Normal 4 2 8 3 4 2 2" xfId="17025" xr:uid="{00000000-0005-0000-0000-0000F4600000}"/>
    <cellStyle name="Normal 4 2 8 3 4 2 2 2" xfId="37077" xr:uid="{00000000-0005-0000-0000-0000F5600000}"/>
    <cellStyle name="Normal 4 2 8 3 4 2 3" xfId="28047" xr:uid="{00000000-0005-0000-0000-0000F6600000}"/>
    <cellStyle name="Normal 4 2 8 3 4 3" xfId="12543" xr:uid="{00000000-0005-0000-0000-0000F7600000}"/>
    <cellStyle name="Normal 4 2 8 3 4 3 2" xfId="32595" xr:uid="{00000000-0005-0000-0000-0000F8600000}"/>
    <cellStyle name="Normal 4 2 8 3 4 4" xfId="23565" xr:uid="{00000000-0005-0000-0000-0000F9600000}"/>
    <cellStyle name="Normal 4 2 8 3 5" xfId="5007" xr:uid="{00000000-0005-0000-0000-0000FA600000}"/>
    <cellStyle name="Normal 4 2 8 3 5 2" xfId="14037" xr:uid="{00000000-0005-0000-0000-0000FB600000}"/>
    <cellStyle name="Normal 4 2 8 3 5 2 2" xfId="34089" xr:uid="{00000000-0005-0000-0000-0000FC600000}"/>
    <cellStyle name="Normal 4 2 8 3 5 3" xfId="25059" xr:uid="{00000000-0005-0000-0000-0000FD600000}"/>
    <cellStyle name="Normal 4 2 8 3 6" xfId="9555" xr:uid="{00000000-0005-0000-0000-0000FE600000}"/>
    <cellStyle name="Normal 4 2 8 3 6 2" xfId="29607" xr:uid="{00000000-0005-0000-0000-0000FF600000}"/>
    <cellStyle name="Normal 4 2 8 3 7" xfId="20577" xr:uid="{00000000-0005-0000-0000-000000610000}"/>
    <cellStyle name="Normal 4 2 8 4" xfId="711" xr:uid="{00000000-0005-0000-0000-000001610000}"/>
    <cellStyle name="Normal 4 2 8 4 2" xfId="1458" xr:uid="{00000000-0005-0000-0000-000002610000}"/>
    <cellStyle name="Normal 4 2 8 4 2 2" xfId="2952" xr:uid="{00000000-0005-0000-0000-000003610000}"/>
    <cellStyle name="Normal 4 2 8 4 2 2 2" xfId="7434" xr:uid="{00000000-0005-0000-0000-000004610000}"/>
    <cellStyle name="Normal 4 2 8 4 2 2 2 2" xfId="16464" xr:uid="{00000000-0005-0000-0000-000005610000}"/>
    <cellStyle name="Normal 4 2 8 4 2 2 2 2 2" xfId="36516" xr:uid="{00000000-0005-0000-0000-000006610000}"/>
    <cellStyle name="Normal 4 2 8 4 2 2 2 3" xfId="27486" xr:uid="{00000000-0005-0000-0000-000007610000}"/>
    <cellStyle name="Normal 4 2 8 4 2 2 3" xfId="11982" xr:uid="{00000000-0005-0000-0000-000008610000}"/>
    <cellStyle name="Normal 4 2 8 4 2 2 3 2" xfId="32034" xr:uid="{00000000-0005-0000-0000-000009610000}"/>
    <cellStyle name="Normal 4 2 8 4 2 2 4" xfId="23004" xr:uid="{00000000-0005-0000-0000-00000A610000}"/>
    <cellStyle name="Normal 4 2 8 4 2 3" xfId="4446" xr:uid="{00000000-0005-0000-0000-00000B610000}"/>
    <cellStyle name="Normal 4 2 8 4 2 3 2" xfId="8928" xr:uid="{00000000-0005-0000-0000-00000C610000}"/>
    <cellStyle name="Normal 4 2 8 4 2 3 2 2" xfId="17958" xr:uid="{00000000-0005-0000-0000-00000D610000}"/>
    <cellStyle name="Normal 4 2 8 4 2 3 2 2 2" xfId="38010" xr:uid="{00000000-0005-0000-0000-00000E610000}"/>
    <cellStyle name="Normal 4 2 8 4 2 3 2 3" xfId="28980" xr:uid="{00000000-0005-0000-0000-00000F610000}"/>
    <cellStyle name="Normal 4 2 8 4 2 3 3" xfId="13476" xr:uid="{00000000-0005-0000-0000-000010610000}"/>
    <cellStyle name="Normal 4 2 8 4 2 3 3 2" xfId="33528" xr:uid="{00000000-0005-0000-0000-000011610000}"/>
    <cellStyle name="Normal 4 2 8 4 2 3 4" xfId="24498" xr:uid="{00000000-0005-0000-0000-000012610000}"/>
    <cellStyle name="Normal 4 2 8 4 2 4" xfId="5940" xr:uid="{00000000-0005-0000-0000-000013610000}"/>
    <cellStyle name="Normal 4 2 8 4 2 4 2" xfId="14970" xr:uid="{00000000-0005-0000-0000-000014610000}"/>
    <cellStyle name="Normal 4 2 8 4 2 4 2 2" xfId="35022" xr:uid="{00000000-0005-0000-0000-000015610000}"/>
    <cellStyle name="Normal 4 2 8 4 2 4 3" xfId="25992" xr:uid="{00000000-0005-0000-0000-000016610000}"/>
    <cellStyle name="Normal 4 2 8 4 2 5" xfId="10488" xr:uid="{00000000-0005-0000-0000-000017610000}"/>
    <cellStyle name="Normal 4 2 8 4 2 5 2" xfId="30540" xr:uid="{00000000-0005-0000-0000-000018610000}"/>
    <cellStyle name="Normal 4 2 8 4 2 6" xfId="21510" xr:uid="{00000000-0005-0000-0000-000019610000}"/>
    <cellStyle name="Normal 4 2 8 4 3" xfId="2205" xr:uid="{00000000-0005-0000-0000-00001A610000}"/>
    <cellStyle name="Normal 4 2 8 4 3 2" xfId="6687" xr:uid="{00000000-0005-0000-0000-00001B610000}"/>
    <cellStyle name="Normal 4 2 8 4 3 2 2" xfId="15717" xr:uid="{00000000-0005-0000-0000-00001C610000}"/>
    <cellStyle name="Normal 4 2 8 4 3 2 2 2" xfId="35769" xr:uid="{00000000-0005-0000-0000-00001D610000}"/>
    <cellStyle name="Normal 4 2 8 4 3 2 3" xfId="26739" xr:uid="{00000000-0005-0000-0000-00001E610000}"/>
    <cellStyle name="Normal 4 2 8 4 3 3" xfId="11235" xr:uid="{00000000-0005-0000-0000-00001F610000}"/>
    <cellStyle name="Normal 4 2 8 4 3 3 2" xfId="31287" xr:uid="{00000000-0005-0000-0000-000020610000}"/>
    <cellStyle name="Normal 4 2 8 4 3 4" xfId="22257" xr:uid="{00000000-0005-0000-0000-000021610000}"/>
    <cellStyle name="Normal 4 2 8 4 4" xfId="3699" xr:uid="{00000000-0005-0000-0000-000022610000}"/>
    <cellStyle name="Normal 4 2 8 4 4 2" xfId="8181" xr:uid="{00000000-0005-0000-0000-000023610000}"/>
    <cellStyle name="Normal 4 2 8 4 4 2 2" xfId="17211" xr:uid="{00000000-0005-0000-0000-000024610000}"/>
    <cellStyle name="Normal 4 2 8 4 4 2 2 2" xfId="37263" xr:uid="{00000000-0005-0000-0000-000025610000}"/>
    <cellStyle name="Normal 4 2 8 4 4 2 3" xfId="28233" xr:uid="{00000000-0005-0000-0000-000026610000}"/>
    <cellStyle name="Normal 4 2 8 4 4 3" xfId="12729" xr:uid="{00000000-0005-0000-0000-000027610000}"/>
    <cellStyle name="Normal 4 2 8 4 4 3 2" xfId="32781" xr:uid="{00000000-0005-0000-0000-000028610000}"/>
    <cellStyle name="Normal 4 2 8 4 4 4" xfId="23751" xr:uid="{00000000-0005-0000-0000-000029610000}"/>
    <cellStyle name="Normal 4 2 8 4 5" xfId="5193" xr:uid="{00000000-0005-0000-0000-00002A610000}"/>
    <cellStyle name="Normal 4 2 8 4 5 2" xfId="14223" xr:uid="{00000000-0005-0000-0000-00002B610000}"/>
    <cellStyle name="Normal 4 2 8 4 5 2 2" xfId="34275" xr:uid="{00000000-0005-0000-0000-00002C610000}"/>
    <cellStyle name="Normal 4 2 8 4 5 3" xfId="25245" xr:uid="{00000000-0005-0000-0000-00002D610000}"/>
    <cellStyle name="Normal 4 2 8 4 6" xfId="9741" xr:uid="{00000000-0005-0000-0000-00002E610000}"/>
    <cellStyle name="Normal 4 2 8 4 6 2" xfId="29793" xr:uid="{00000000-0005-0000-0000-00002F610000}"/>
    <cellStyle name="Normal 4 2 8 4 7" xfId="20763" xr:uid="{00000000-0005-0000-0000-000030610000}"/>
    <cellStyle name="Normal 4 2 8 5" xfId="898" xr:uid="{00000000-0005-0000-0000-000031610000}"/>
    <cellStyle name="Normal 4 2 8 5 2" xfId="2392" xr:uid="{00000000-0005-0000-0000-000032610000}"/>
    <cellStyle name="Normal 4 2 8 5 2 2" xfId="6874" xr:uid="{00000000-0005-0000-0000-000033610000}"/>
    <cellStyle name="Normal 4 2 8 5 2 2 2" xfId="15904" xr:uid="{00000000-0005-0000-0000-000034610000}"/>
    <cellStyle name="Normal 4 2 8 5 2 2 2 2" xfId="35956" xr:uid="{00000000-0005-0000-0000-000035610000}"/>
    <cellStyle name="Normal 4 2 8 5 2 2 3" xfId="26926" xr:uid="{00000000-0005-0000-0000-000036610000}"/>
    <cellStyle name="Normal 4 2 8 5 2 3" xfId="11422" xr:uid="{00000000-0005-0000-0000-000037610000}"/>
    <cellStyle name="Normal 4 2 8 5 2 3 2" xfId="31474" xr:uid="{00000000-0005-0000-0000-000038610000}"/>
    <cellStyle name="Normal 4 2 8 5 2 4" xfId="22444" xr:uid="{00000000-0005-0000-0000-000039610000}"/>
    <cellStyle name="Normal 4 2 8 5 3" xfId="3886" xr:uid="{00000000-0005-0000-0000-00003A610000}"/>
    <cellStyle name="Normal 4 2 8 5 3 2" xfId="8368" xr:uid="{00000000-0005-0000-0000-00003B610000}"/>
    <cellStyle name="Normal 4 2 8 5 3 2 2" xfId="17398" xr:uid="{00000000-0005-0000-0000-00003C610000}"/>
    <cellStyle name="Normal 4 2 8 5 3 2 2 2" xfId="37450" xr:uid="{00000000-0005-0000-0000-00003D610000}"/>
    <cellStyle name="Normal 4 2 8 5 3 2 3" xfId="28420" xr:uid="{00000000-0005-0000-0000-00003E610000}"/>
    <cellStyle name="Normal 4 2 8 5 3 3" xfId="12916" xr:uid="{00000000-0005-0000-0000-00003F610000}"/>
    <cellStyle name="Normal 4 2 8 5 3 3 2" xfId="32968" xr:uid="{00000000-0005-0000-0000-000040610000}"/>
    <cellStyle name="Normal 4 2 8 5 3 4" xfId="23938" xr:uid="{00000000-0005-0000-0000-000041610000}"/>
    <cellStyle name="Normal 4 2 8 5 4" xfId="5380" xr:uid="{00000000-0005-0000-0000-000042610000}"/>
    <cellStyle name="Normal 4 2 8 5 4 2" xfId="14410" xr:uid="{00000000-0005-0000-0000-000043610000}"/>
    <cellStyle name="Normal 4 2 8 5 4 2 2" xfId="34462" xr:uid="{00000000-0005-0000-0000-000044610000}"/>
    <cellStyle name="Normal 4 2 8 5 4 3" xfId="25432" xr:uid="{00000000-0005-0000-0000-000045610000}"/>
    <cellStyle name="Normal 4 2 8 5 5" xfId="9928" xr:uid="{00000000-0005-0000-0000-000046610000}"/>
    <cellStyle name="Normal 4 2 8 5 5 2" xfId="29980" xr:uid="{00000000-0005-0000-0000-000047610000}"/>
    <cellStyle name="Normal 4 2 8 5 6" xfId="20950" xr:uid="{00000000-0005-0000-0000-000048610000}"/>
    <cellStyle name="Normal 4 2 8 6" xfId="1647" xr:uid="{00000000-0005-0000-0000-000049610000}"/>
    <cellStyle name="Normal 4 2 8 6 2" xfId="6129" xr:uid="{00000000-0005-0000-0000-00004A610000}"/>
    <cellStyle name="Normal 4 2 8 6 2 2" xfId="15159" xr:uid="{00000000-0005-0000-0000-00004B610000}"/>
    <cellStyle name="Normal 4 2 8 6 2 2 2" xfId="35211" xr:uid="{00000000-0005-0000-0000-00004C610000}"/>
    <cellStyle name="Normal 4 2 8 6 2 3" xfId="26181" xr:uid="{00000000-0005-0000-0000-00004D610000}"/>
    <cellStyle name="Normal 4 2 8 6 3" xfId="10677" xr:uid="{00000000-0005-0000-0000-00004E610000}"/>
    <cellStyle name="Normal 4 2 8 6 3 2" xfId="30729" xr:uid="{00000000-0005-0000-0000-00004F610000}"/>
    <cellStyle name="Normal 4 2 8 6 4" xfId="21699" xr:uid="{00000000-0005-0000-0000-000050610000}"/>
    <cellStyle name="Normal 4 2 8 7" xfId="3141" xr:uid="{00000000-0005-0000-0000-000051610000}"/>
    <cellStyle name="Normal 4 2 8 7 2" xfId="7623" xr:uid="{00000000-0005-0000-0000-000052610000}"/>
    <cellStyle name="Normal 4 2 8 7 2 2" xfId="16653" xr:uid="{00000000-0005-0000-0000-000053610000}"/>
    <cellStyle name="Normal 4 2 8 7 2 2 2" xfId="36705" xr:uid="{00000000-0005-0000-0000-000054610000}"/>
    <cellStyle name="Normal 4 2 8 7 2 3" xfId="27675" xr:uid="{00000000-0005-0000-0000-000055610000}"/>
    <cellStyle name="Normal 4 2 8 7 3" xfId="12171" xr:uid="{00000000-0005-0000-0000-000056610000}"/>
    <cellStyle name="Normal 4 2 8 7 3 2" xfId="32223" xr:uid="{00000000-0005-0000-0000-000057610000}"/>
    <cellStyle name="Normal 4 2 8 7 4" xfId="23193" xr:uid="{00000000-0005-0000-0000-000058610000}"/>
    <cellStyle name="Normal 4 2 8 8" xfId="4635" xr:uid="{00000000-0005-0000-0000-000059610000}"/>
    <cellStyle name="Normal 4 2 8 8 2" xfId="13665" xr:uid="{00000000-0005-0000-0000-00005A610000}"/>
    <cellStyle name="Normal 4 2 8 8 2 2" xfId="33717" xr:uid="{00000000-0005-0000-0000-00005B610000}"/>
    <cellStyle name="Normal 4 2 8 8 3" xfId="24687" xr:uid="{00000000-0005-0000-0000-00005C610000}"/>
    <cellStyle name="Normal 4 2 8 9" xfId="9183" xr:uid="{00000000-0005-0000-0000-00005D610000}"/>
    <cellStyle name="Normal 4 2 8 9 2" xfId="29235" xr:uid="{00000000-0005-0000-0000-00005E610000}"/>
    <cellStyle name="Normal 4 2 9" xfId="176" xr:uid="{00000000-0005-0000-0000-00005F610000}"/>
    <cellStyle name="Normal 4 2 9 10" xfId="20228" xr:uid="{00000000-0005-0000-0000-000060610000}"/>
    <cellStyle name="Normal 4 2 9 2" xfId="362" xr:uid="{00000000-0005-0000-0000-000061610000}"/>
    <cellStyle name="Normal 4 2 9 2 2" xfId="1105" xr:uid="{00000000-0005-0000-0000-000062610000}"/>
    <cellStyle name="Normal 4 2 9 2 2 2" xfId="2599" xr:uid="{00000000-0005-0000-0000-000063610000}"/>
    <cellStyle name="Normal 4 2 9 2 2 2 2" xfId="7081" xr:uid="{00000000-0005-0000-0000-000064610000}"/>
    <cellStyle name="Normal 4 2 9 2 2 2 2 2" xfId="16111" xr:uid="{00000000-0005-0000-0000-000065610000}"/>
    <cellStyle name="Normal 4 2 9 2 2 2 2 2 2" xfId="36163" xr:uid="{00000000-0005-0000-0000-000066610000}"/>
    <cellStyle name="Normal 4 2 9 2 2 2 2 3" xfId="27133" xr:uid="{00000000-0005-0000-0000-000067610000}"/>
    <cellStyle name="Normal 4 2 9 2 2 2 3" xfId="11629" xr:uid="{00000000-0005-0000-0000-000068610000}"/>
    <cellStyle name="Normal 4 2 9 2 2 2 3 2" xfId="31681" xr:uid="{00000000-0005-0000-0000-000069610000}"/>
    <cellStyle name="Normal 4 2 9 2 2 2 4" xfId="22651" xr:uid="{00000000-0005-0000-0000-00006A610000}"/>
    <cellStyle name="Normal 4 2 9 2 2 3" xfId="4093" xr:uid="{00000000-0005-0000-0000-00006B610000}"/>
    <cellStyle name="Normal 4 2 9 2 2 3 2" xfId="8575" xr:uid="{00000000-0005-0000-0000-00006C610000}"/>
    <cellStyle name="Normal 4 2 9 2 2 3 2 2" xfId="17605" xr:uid="{00000000-0005-0000-0000-00006D610000}"/>
    <cellStyle name="Normal 4 2 9 2 2 3 2 2 2" xfId="37657" xr:uid="{00000000-0005-0000-0000-00006E610000}"/>
    <cellStyle name="Normal 4 2 9 2 2 3 2 3" xfId="28627" xr:uid="{00000000-0005-0000-0000-00006F610000}"/>
    <cellStyle name="Normal 4 2 9 2 2 3 3" xfId="13123" xr:uid="{00000000-0005-0000-0000-000070610000}"/>
    <cellStyle name="Normal 4 2 9 2 2 3 3 2" xfId="33175" xr:uid="{00000000-0005-0000-0000-000071610000}"/>
    <cellStyle name="Normal 4 2 9 2 2 3 4" xfId="24145" xr:uid="{00000000-0005-0000-0000-000072610000}"/>
    <cellStyle name="Normal 4 2 9 2 2 4" xfId="5587" xr:uid="{00000000-0005-0000-0000-000073610000}"/>
    <cellStyle name="Normal 4 2 9 2 2 4 2" xfId="14617" xr:uid="{00000000-0005-0000-0000-000074610000}"/>
    <cellStyle name="Normal 4 2 9 2 2 4 2 2" xfId="34669" xr:uid="{00000000-0005-0000-0000-000075610000}"/>
    <cellStyle name="Normal 4 2 9 2 2 4 3" xfId="25639" xr:uid="{00000000-0005-0000-0000-000076610000}"/>
    <cellStyle name="Normal 4 2 9 2 2 5" xfId="10135" xr:uid="{00000000-0005-0000-0000-000077610000}"/>
    <cellStyle name="Normal 4 2 9 2 2 5 2" xfId="30187" xr:uid="{00000000-0005-0000-0000-000078610000}"/>
    <cellStyle name="Normal 4 2 9 2 2 6" xfId="21157" xr:uid="{00000000-0005-0000-0000-000079610000}"/>
    <cellStyle name="Normal 4 2 9 2 3" xfId="1856" xr:uid="{00000000-0005-0000-0000-00007A610000}"/>
    <cellStyle name="Normal 4 2 9 2 3 2" xfId="6338" xr:uid="{00000000-0005-0000-0000-00007B610000}"/>
    <cellStyle name="Normal 4 2 9 2 3 2 2" xfId="15368" xr:uid="{00000000-0005-0000-0000-00007C610000}"/>
    <cellStyle name="Normal 4 2 9 2 3 2 2 2" xfId="35420" xr:uid="{00000000-0005-0000-0000-00007D610000}"/>
    <cellStyle name="Normal 4 2 9 2 3 2 3" xfId="26390" xr:uid="{00000000-0005-0000-0000-00007E610000}"/>
    <cellStyle name="Normal 4 2 9 2 3 3" xfId="10886" xr:uid="{00000000-0005-0000-0000-00007F610000}"/>
    <cellStyle name="Normal 4 2 9 2 3 3 2" xfId="30938" xr:uid="{00000000-0005-0000-0000-000080610000}"/>
    <cellStyle name="Normal 4 2 9 2 3 4" xfId="21908" xr:uid="{00000000-0005-0000-0000-000081610000}"/>
    <cellStyle name="Normal 4 2 9 2 4" xfId="3350" xr:uid="{00000000-0005-0000-0000-000082610000}"/>
    <cellStyle name="Normal 4 2 9 2 4 2" xfId="7832" xr:uid="{00000000-0005-0000-0000-000083610000}"/>
    <cellStyle name="Normal 4 2 9 2 4 2 2" xfId="16862" xr:uid="{00000000-0005-0000-0000-000084610000}"/>
    <cellStyle name="Normal 4 2 9 2 4 2 2 2" xfId="36914" xr:uid="{00000000-0005-0000-0000-000085610000}"/>
    <cellStyle name="Normal 4 2 9 2 4 2 3" xfId="27884" xr:uid="{00000000-0005-0000-0000-000086610000}"/>
    <cellStyle name="Normal 4 2 9 2 4 3" xfId="12380" xr:uid="{00000000-0005-0000-0000-000087610000}"/>
    <cellStyle name="Normal 4 2 9 2 4 3 2" xfId="32432" xr:uid="{00000000-0005-0000-0000-000088610000}"/>
    <cellStyle name="Normal 4 2 9 2 4 4" xfId="23402" xr:uid="{00000000-0005-0000-0000-000089610000}"/>
    <cellStyle name="Normal 4 2 9 2 5" xfId="4844" xr:uid="{00000000-0005-0000-0000-00008A610000}"/>
    <cellStyle name="Normal 4 2 9 2 5 2" xfId="13874" xr:uid="{00000000-0005-0000-0000-00008B610000}"/>
    <cellStyle name="Normal 4 2 9 2 5 2 2" xfId="33926" xr:uid="{00000000-0005-0000-0000-00008C610000}"/>
    <cellStyle name="Normal 4 2 9 2 5 3" xfId="24896" xr:uid="{00000000-0005-0000-0000-00008D610000}"/>
    <cellStyle name="Normal 4 2 9 2 6" xfId="9392" xr:uid="{00000000-0005-0000-0000-00008E610000}"/>
    <cellStyle name="Normal 4 2 9 2 6 2" xfId="29444" xr:uid="{00000000-0005-0000-0000-00008F610000}"/>
    <cellStyle name="Normal 4 2 9 2 7" xfId="20414" xr:uid="{00000000-0005-0000-0000-000090610000}"/>
    <cellStyle name="Normal 4 2 9 3" xfId="548" xr:uid="{00000000-0005-0000-0000-000091610000}"/>
    <cellStyle name="Normal 4 2 9 3 2" xfId="1295" xr:uid="{00000000-0005-0000-0000-000092610000}"/>
    <cellStyle name="Normal 4 2 9 3 2 2" xfId="2789" xr:uid="{00000000-0005-0000-0000-000093610000}"/>
    <cellStyle name="Normal 4 2 9 3 2 2 2" xfId="7271" xr:uid="{00000000-0005-0000-0000-000094610000}"/>
    <cellStyle name="Normal 4 2 9 3 2 2 2 2" xfId="16301" xr:uid="{00000000-0005-0000-0000-000095610000}"/>
    <cellStyle name="Normal 4 2 9 3 2 2 2 2 2" xfId="36353" xr:uid="{00000000-0005-0000-0000-000096610000}"/>
    <cellStyle name="Normal 4 2 9 3 2 2 2 3" xfId="27323" xr:uid="{00000000-0005-0000-0000-000097610000}"/>
    <cellStyle name="Normal 4 2 9 3 2 2 3" xfId="11819" xr:uid="{00000000-0005-0000-0000-000098610000}"/>
    <cellStyle name="Normal 4 2 9 3 2 2 3 2" xfId="31871" xr:uid="{00000000-0005-0000-0000-000099610000}"/>
    <cellStyle name="Normal 4 2 9 3 2 2 4" xfId="22841" xr:uid="{00000000-0005-0000-0000-00009A610000}"/>
    <cellStyle name="Normal 4 2 9 3 2 3" xfId="4283" xr:uid="{00000000-0005-0000-0000-00009B610000}"/>
    <cellStyle name="Normal 4 2 9 3 2 3 2" xfId="8765" xr:uid="{00000000-0005-0000-0000-00009C610000}"/>
    <cellStyle name="Normal 4 2 9 3 2 3 2 2" xfId="17795" xr:uid="{00000000-0005-0000-0000-00009D610000}"/>
    <cellStyle name="Normal 4 2 9 3 2 3 2 2 2" xfId="37847" xr:uid="{00000000-0005-0000-0000-00009E610000}"/>
    <cellStyle name="Normal 4 2 9 3 2 3 2 3" xfId="28817" xr:uid="{00000000-0005-0000-0000-00009F610000}"/>
    <cellStyle name="Normal 4 2 9 3 2 3 3" xfId="13313" xr:uid="{00000000-0005-0000-0000-0000A0610000}"/>
    <cellStyle name="Normal 4 2 9 3 2 3 3 2" xfId="33365" xr:uid="{00000000-0005-0000-0000-0000A1610000}"/>
    <cellStyle name="Normal 4 2 9 3 2 3 4" xfId="24335" xr:uid="{00000000-0005-0000-0000-0000A2610000}"/>
    <cellStyle name="Normal 4 2 9 3 2 4" xfId="5777" xr:uid="{00000000-0005-0000-0000-0000A3610000}"/>
    <cellStyle name="Normal 4 2 9 3 2 4 2" xfId="14807" xr:uid="{00000000-0005-0000-0000-0000A4610000}"/>
    <cellStyle name="Normal 4 2 9 3 2 4 2 2" xfId="34859" xr:uid="{00000000-0005-0000-0000-0000A5610000}"/>
    <cellStyle name="Normal 4 2 9 3 2 4 3" xfId="25829" xr:uid="{00000000-0005-0000-0000-0000A6610000}"/>
    <cellStyle name="Normal 4 2 9 3 2 5" xfId="10325" xr:uid="{00000000-0005-0000-0000-0000A7610000}"/>
    <cellStyle name="Normal 4 2 9 3 2 5 2" xfId="30377" xr:uid="{00000000-0005-0000-0000-0000A8610000}"/>
    <cellStyle name="Normal 4 2 9 3 2 6" xfId="21347" xr:uid="{00000000-0005-0000-0000-0000A9610000}"/>
    <cellStyle name="Normal 4 2 9 3 3" xfId="2042" xr:uid="{00000000-0005-0000-0000-0000AA610000}"/>
    <cellStyle name="Normal 4 2 9 3 3 2" xfId="6524" xr:uid="{00000000-0005-0000-0000-0000AB610000}"/>
    <cellStyle name="Normal 4 2 9 3 3 2 2" xfId="15554" xr:uid="{00000000-0005-0000-0000-0000AC610000}"/>
    <cellStyle name="Normal 4 2 9 3 3 2 2 2" xfId="35606" xr:uid="{00000000-0005-0000-0000-0000AD610000}"/>
    <cellStyle name="Normal 4 2 9 3 3 2 3" xfId="26576" xr:uid="{00000000-0005-0000-0000-0000AE610000}"/>
    <cellStyle name="Normal 4 2 9 3 3 3" xfId="11072" xr:uid="{00000000-0005-0000-0000-0000AF610000}"/>
    <cellStyle name="Normal 4 2 9 3 3 3 2" xfId="31124" xr:uid="{00000000-0005-0000-0000-0000B0610000}"/>
    <cellStyle name="Normal 4 2 9 3 3 4" xfId="22094" xr:uid="{00000000-0005-0000-0000-0000B1610000}"/>
    <cellStyle name="Normal 4 2 9 3 4" xfId="3536" xr:uid="{00000000-0005-0000-0000-0000B2610000}"/>
    <cellStyle name="Normal 4 2 9 3 4 2" xfId="8018" xr:uid="{00000000-0005-0000-0000-0000B3610000}"/>
    <cellStyle name="Normal 4 2 9 3 4 2 2" xfId="17048" xr:uid="{00000000-0005-0000-0000-0000B4610000}"/>
    <cellStyle name="Normal 4 2 9 3 4 2 2 2" xfId="37100" xr:uid="{00000000-0005-0000-0000-0000B5610000}"/>
    <cellStyle name="Normal 4 2 9 3 4 2 3" xfId="28070" xr:uid="{00000000-0005-0000-0000-0000B6610000}"/>
    <cellStyle name="Normal 4 2 9 3 4 3" xfId="12566" xr:uid="{00000000-0005-0000-0000-0000B7610000}"/>
    <cellStyle name="Normal 4 2 9 3 4 3 2" xfId="32618" xr:uid="{00000000-0005-0000-0000-0000B8610000}"/>
    <cellStyle name="Normal 4 2 9 3 4 4" xfId="23588" xr:uid="{00000000-0005-0000-0000-0000B9610000}"/>
    <cellStyle name="Normal 4 2 9 3 5" xfId="5030" xr:uid="{00000000-0005-0000-0000-0000BA610000}"/>
    <cellStyle name="Normal 4 2 9 3 5 2" xfId="14060" xr:uid="{00000000-0005-0000-0000-0000BB610000}"/>
    <cellStyle name="Normal 4 2 9 3 5 2 2" xfId="34112" xr:uid="{00000000-0005-0000-0000-0000BC610000}"/>
    <cellStyle name="Normal 4 2 9 3 5 3" xfId="25082" xr:uid="{00000000-0005-0000-0000-0000BD610000}"/>
    <cellStyle name="Normal 4 2 9 3 6" xfId="9578" xr:uid="{00000000-0005-0000-0000-0000BE610000}"/>
    <cellStyle name="Normal 4 2 9 3 6 2" xfId="29630" xr:uid="{00000000-0005-0000-0000-0000BF610000}"/>
    <cellStyle name="Normal 4 2 9 3 7" xfId="20600" xr:uid="{00000000-0005-0000-0000-0000C0610000}"/>
    <cellStyle name="Normal 4 2 9 4" xfId="734" xr:uid="{00000000-0005-0000-0000-0000C1610000}"/>
    <cellStyle name="Normal 4 2 9 4 2" xfId="1481" xr:uid="{00000000-0005-0000-0000-0000C2610000}"/>
    <cellStyle name="Normal 4 2 9 4 2 2" xfId="2975" xr:uid="{00000000-0005-0000-0000-0000C3610000}"/>
    <cellStyle name="Normal 4 2 9 4 2 2 2" xfId="7457" xr:uid="{00000000-0005-0000-0000-0000C4610000}"/>
    <cellStyle name="Normal 4 2 9 4 2 2 2 2" xfId="16487" xr:uid="{00000000-0005-0000-0000-0000C5610000}"/>
    <cellStyle name="Normal 4 2 9 4 2 2 2 2 2" xfId="36539" xr:uid="{00000000-0005-0000-0000-0000C6610000}"/>
    <cellStyle name="Normal 4 2 9 4 2 2 2 3" xfId="27509" xr:uid="{00000000-0005-0000-0000-0000C7610000}"/>
    <cellStyle name="Normal 4 2 9 4 2 2 3" xfId="12005" xr:uid="{00000000-0005-0000-0000-0000C8610000}"/>
    <cellStyle name="Normal 4 2 9 4 2 2 3 2" xfId="32057" xr:uid="{00000000-0005-0000-0000-0000C9610000}"/>
    <cellStyle name="Normal 4 2 9 4 2 2 4" xfId="23027" xr:uid="{00000000-0005-0000-0000-0000CA610000}"/>
    <cellStyle name="Normal 4 2 9 4 2 3" xfId="4469" xr:uid="{00000000-0005-0000-0000-0000CB610000}"/>
    <cellStyle name="Normal 4 2 9 4 2 3 2" xfId="8951" xr:uid="{00000000-0005-0000-0000-0000CC610000}"/>
    <cellStyle name="Normal 4 2 9 4 2 3 2 2" xfId="17981" xr:uid="{00000000-0005-0000-0000-0000CD610000}"/>
    <cellStyle name="Normal 4 2 9 4 2 3 2 2 2" xfId="38033" xr:uid="{00000000-0005-0000-0000-0000CE610000}"/>
    <cellStyle name="Normal 4 2 9 4 2 3 2 3" xfId="29003" xr:uid="{00000000-0005-0000-0000-0000CF610000}"/>
    <cellStyle name="Normal 4 2 9 4 2 3 3" xfId="13499" xr:uid="{00000000-0005-0000-0000-0000D0610000}"/>
    <cellStyle name="Normal 4 2 9 4 2 3 3 2" xfId="33551" xr:uid="{00000000-0005-0000-0000-0000D1610000}"/>
    <cellStyle name="Normal 4 2 9 4 2 3 4" xfId="24521" xr:uid="{00000000-0005-0000-0000-0000D2610000}"/>
    <cellStyle name="Normal 4 2 9 4 2 4" xfId="5963" xr:uid="{00000000-0005-0000-0000-0000D3610000}"/>
    <cellStyle name="Normal 4 2 9 4 2 4 2" xfId="14993" xr:uid="{00000000-0005-0000-0000-0000D4610000}"/>
    <cellStyle name="Normal 4 2 9 4 2 4 2 2" xfId="35045" xr:uid="{00000000-0005-0000-0000-0000D5610000}"/>
    <cellStyle name="Normal 4 2 9 4 2 4 3" xfId="26015" xr:uid="{00000000-0005-0000-0000-0000D6610000}"/>
    <cellStyle name="Normal 4 2 9 4 2 5" xfId="10511" xr:uid="{00000000-0005-0000-0000-0000D7610000}"/>
    <cellStyle name="Normal 4 2 9 4 2 5 2" xfId="30563" xr:uid="{00000000-0005-0000-0000-0000D8610000}"/>
    <cellStyle name="Normal 4 2 9 4 2 6" xfId="21533" xr:uid="{00000000-0005-0000-0000-0000D9610000}"/>
    <cellStyle name="Normal 4 2 9 4 3" xfId="2228" xr:uid="{00000000-0005-0000-0000-0000DA610000}"/>
    <cellStyle name="Normal 4 2 9 4 3 2" xfId="6710" xr:uid="{00000000-0005-0000-0000-0000DB610000}"/>
    <cellStyle name="Normal 4 2 9 4 3 2 2" xfId="15740" xr:uid="{00000000-0005-0000-0000-0000DC610000}"/>
    <cellStyle name="Normal 4 2 9 4 3 2 2 2" xfId="35792" xr:uid="{00000000-0005-0000-0000-0000DD610000}"/>
    <cellStyle name="Normal 4 2 9 4 3 2 3" xfId="26762" xr:uid="{00000000-0005-0000-0000-0000DE610000}"/>
    <cellStyle name="Normal 4 2 9 4 3 3" xfId="11258" xr:uid="{00000000-0005-0000-0000-0000DF610000}"/>
    <cellStyle name="Normal 4 2 9 4 3 3 2" xfId="31310" xr:uid="{00000000-0005-0000-0000-0000E0610000}"/>
    <cellStyle name="Normal 4 2 9 4 3 4" xfId="22280" xr:uid="{00000000-0005-0000-0000-0000E1610000}"/>
    <cellStyle name="Normal 4 2 9 4 4" xfId="3722" xr:uid="{00000000-0005-0000-0000-0000E2610000}"/>
    <cellStyle name="Normal 4 2 9 4 4 2" xfId="8204" xr:uid="{00000000-0005-0000-0000-0000E3610000}"/>
    <cellStyle name="Normal 4 2 9 4 4 2 2" xfId="17234" xr:uid="{00000000-0005-0000-0000-0000E4610000}"/>
    <cellStyle name="Normal 4 2 9 4 4 2 2 2" xfId="37286" xr:uid="{00000000-0005-0000-0000-0000E5610000}"/>
    <cellStyle name="Normal 4 2 9 4 4 2 3" xfId="28256" xr:uid="{00000000-0005-0000-0000-0000E6610000}"/>
    <cellStyle name="Normal 4 2 9 4 4 3" xfId="12752" xr:uid="{00000000-0005-0000-0000-0000E7610000}"/>
    <cellStyle name="Normal 4 2 9 4 4 3 2" xfId="32804" xr:uid="{00000000-0005-0000-0000-0000E8610000}"/>
    <cellStyle name="Normal 4 2 9 4 4 4" xfId="23774" xr:uid="{00000000-0005-0000-0000-0000E9610000}"/>
    <cellStyle name="Normal 4 2 9 4 5" xfId="5216" xr:uid="{00000000-0005-0000-0000-0000EA610000}"/>
    <cellStyle name="Normal 4 2 9 4 5 2" xfId="14246" xr:uid="{00000000-0005-0000-0000-0000EB610000}"/>
    <cellStyle name="Normal 4 2 9 4 5 2 2" xfId="34298" xr:uid="{00000000-0005-0000-0000-0000EC610000}"/>
    <cellStyle name="Normal 4 2 9 4 5 3" xfId="25268" xr:uid="{00000000-0005-0000-0000-0000ED610000}"/>
    <cellStyle name="Normal 4 2 9 4 6" xfId="9764" xr:uid="{00000000-0005-0000-0000-0000EE610000}"/>
    <cellStyle name="Normal 4 2 9 4 6 2" xfId="29816" xr:uid="{00000000-0005-0000-0000-0000EF610000}"/>
    <cellStyle name="Normal 4 2 9 4 7" xfId="20786" xr:uid="{00000000-0005-0000-0000-0000F0610000}"/>
    <cellStyle name="Normal 4 2 9 5" xfId="921" xr:uid="{00000000-0005-0000-0000-0000F1610000}"/>
    <cellStyle name="Normal 4 2 9 5 2" xfId="2415" xr:uid="{00000000-0005-0000-0000-0000F2610000}"/>
    <cellStyle name="Normal 4 2 9 5 2 2" xfId="6897" xr:uid="{00000000-0005-0000-0000-0000F3610000}"/>
    <cellStyle name="Normal 4 2 9 5 2 2 2" xfId="15927" xr:uid="{00000000-0005-0000-0000-0000F4610000}"/>
    <cellStyle name="Normal 4 2 9 5 2 2 2 2" xfId="35979" xr:uid="{00000000-0005-0000-0000-0000F5610000}"/>
    <cellStyle name="Normal 4 2 9 5 2 2 3" xfId="26949" xr:uid="{00000000-0005-0000-0000-0000F6610000}"/>
    <cellStyle name="Normal 4 2 9 5 2 3" xfId="11445" xr:uid="{00000000-0005-0000-0000-0000F7610000}"/>
    <cellStyle name="Normal 4 2 9 5 2 3 2" xfId="31497" xr:uid="{00000000-0005-0000-0000-0000F8610000}"/>
    <cellStyle name="Normal 4 2 9 5 2 4" xfId="22467" xr:uid="{00000000-0005-0000-0000-0000F9610000}"/>
    <cellStyle name="Normal 4 2 9 5 3" xfId="3909" xr:uid="{00000000-0005-0000-0000-0000FA610000}"/>
    <cellStyle name="Normal 4 2 9 5 3 2" xfId="8391" xr:uid="{00000000-0005-0000-0000-0000FB610000}"/>
    <cellStyle name="Normal 4 2 9 5 3 2 2" xfId="17421" xr:uid="{00000000-0005-0000-0000-0000FC610000}"/>
    <cellStyle name="Normal 4 2 9 5 3 2 2 2" xfId="37473" xr:uid="{00000000-0005-0000-0000-0000FD610000}"/>
    <cellStyle name="Normal 4 2 9 5 3 2 3" xfId="28443" xr:uid="{00000000-0005-0000-0000-0000FE610000}"/>
    <cellStyle name="Normal 4 2 9 5 3 3" xfId="12939" xr:uid="{00000000-0005-0000-0000-0000FF610000}"/>
    <cellStyle name="Normal 4 2 9 5 3 3 2" xfId="32991" xr:uid="{00000000-0005-0000-0000-000000620000}"/>
    <cellStyle name="Normal 4 2 9 5 3 4" xfId="23961" xr:uid="{00000000-0005-0000-0000-000001620000}"/>
    <cellStyle name="Normal 4 2 9 5 4" xfId="5403" xr:uid="{00000000-0005-0000-0000-000002620000}"/>
    <cellStyle name="Normal 4 2 9 5 4 2" xfId="14433" xr:uid="{00000000-0005-0000-0000-000003620000}"/>
    <cellStyle name="Normal 4 2 9 5 4 2 2" xfId="34485" xr:uid="{00000000-0005-0000-0000-000004620000}"/>
    <cellStyle name="Normal 4 2 9 5 4 3" xfId="25455" xr:uid="{00000000-0005-0000-0000-000005620000}"/>
    <cellStyle name="Normal 4 2 9 5 5" xfId="9951" xr:uid="{00000000-0005-0000-0000-000006620000}"/>
    <cellStyle name="Normal 4 2 9 5 5 2" xfId="30003" xr:uid="{00000000-0005-0000-0000-000007620000}"/>
    <cellStyle name="Normal 4 2 9 5 6" xfId="20973" xr:uid="{00000000-0005-0000-0000-000008620000}"/>
    <cellStyle name="Normal 4 2 9 6" xfId="1670" xr:uid="{00000000-0005-0000-0000-000009620000}"/>
    <cellStyle name="Normal 4 2 9 6 2" xfId="6152" xr:uid="{00000000-0005-0000-0000-00000A620000}"/>
    <cellStyle name="Normal 4 2 9 6 2 2" xfId="15182" xr:uid="{00000000-0005-0000-0000-00000B620000}"/>
    <cellStyle name="Normal 4 2 9 6 2 2 2" xfId="35234" xr:uid="{00000000-0005-0000-0000-00000C620000}"/>
    <cellStyle name="Normal 4 2 9 6 2 3" xfId="26204" xr:uid="{00000000-0005-0000-0000-00000D620000}"/>
    <cellStyle name="Normal 4 2 9 6 3" xfId="10700" xr:uid="{00000000-0005-0000-0000-00000E620000}"/>
    <cellStyle name="Normal 4 2 9 6 3 2" xfId="30752" xr:uid="{00000000-0005-0000-0000-00000F620000}"/>
    <cellStyle name="Normal 4 2 9 6 4" xfId="21722" xr:uid="{00000000-0005-0000-0000-000010620000}"/>
    <cellStyle name="Normal 4 2 9 7" xfId="3164" xr:uid="{00000000-0005-0000-0000-000011620000}"/>
    <cellStyle name="Normal 4 2 9 7 2" xfId="7646" xr:uid="{00000000-0005-0000-0000-000012620000}"/>
    <cellStyle name="Normal 4 2 9 7 2 2" xfId="16676" xr:uid="{00000000-0005-0000-0000-000013620000}"/>
    <cellStyle name="Normal 4 2 9 7 2 2 2" xfId="36728" xr:uid="{00000000-0005-0000-0000-000014620000}"/>
    <cellStyle name="Normal 4 2 9 7 2 3" xfId="27698" xr:uid="{00000000-0005-0000-0000-000015620000}"/>
    <cellStyle name="Normal 4 2 9 7 3" xfId="12194" xr:uid="{00000000-0005-0000-0000-000016620000}"/>
    <cellStyle name="Normal 4 2 9 7 3 2" xfId="32246" xr:uid="{00000000-0005-0000-0000-000017620000}"/>
    <cellStyle name="Normal 4 2 9 7 4" xfId="23216" xr:uid="{00000000-0005-0000-0000-000018620000}"/>
    <cellStyle name="Normal 4 2 9 8" xfId="4658" xr:uid="{00000000-0005-0000-0000-000019620000}"/>
    <cellStyle name="Normal 4 2 9 8 2" xfId="13688" xr:uid="{00000000-0005-0000-0000-00001A620000}"/>
    <cellStyle name="Normal 4 2 9 8 2 2" xfId="33740" xr:uid="{00000000-0005-0000-0000-00001B620000}"/>
    <cellStyle name="Normal 4 2 9 8 3" xfId="24710" xr:uid="{00000000-0005-0000-0000-00001C620000}"/>
    <cellStyle name="Normal 4 2 9 9" xfId="9206" xr:uid="{00000000-0005-0000-0000-00001D620000}"/>
    <cellStyle name="Normal 4 2 9 9 2" xfId="29258" xr:uid="{00000000-0005-0000-0000-00001E620000}"/>
    <cellStyle name="Normal 4 3" xfId="18" xr:uid="{00000000-0005-0000-0000-00001F620000}"/>
    <cellStyle name="Normal 4 3 10" xfId="390" xr:uid="{00000000-0005-0000-0000-000020620000}"/>
    <cellStyle name="Normal 4 3 10 2" xfId="1137" xr:uid="{00000000-0005-0000-0000-000021620000}"/>
    <cellStyle name="Normal 4 3 10 2 2" xfId="2631" xr:uid="{00000000-0005-0000-0000-000022620000}"/>
    <cellStyle name="Normal 4 3 10 2 2 2" xfId="7113" xr:uid="{00000000-0005-0000-0000-000023620000}"/>
    <cellStyle name="Normal 4 3 10 2 2 2 2" xfId="16143" xr:uid="{00000000-0005-0000-0000-000024620000}"/>
    <cellStyle name="Normal 4 3 10 2 2 2 2 2" xfId="36195" xr:uid="{00000000-0005-0000-0000-000025620000}"/>
    <cellStyle name="Normal 4 3 10 2 2 2 3" xfId="27165" xr:uid="{00000000-0005-0000-0000-000026620000}"/>
    <cellStyle name="Normal 4 3 10 2 2 3" xfId="11661" xr:uid="{00000000-0005-0000-0000-000027620000}"/>
    <cellStyle name="Normal 4 3 10 2 2 3 2" xfId="31713" xr:uid="{00000000-0005-0000-0000-000028620000}"/>
    <cellStyle name="Normal 4 3 10 2 2 4" xfId="22683" xr:uid="{00000000-0005-0000-0000-000029620000}"/>
    <cellStyle name="Normal 4 3 10 2 3" xfId="4125" xr:uid="{00000000-0005-0000-0000-00002A620000}"/>
    <cellStyle name="Normal 4 3 10 2 3 2" xfId="8607" xr:uid="{00000000-0005-0000-0000-00002B620000}"/>
    <cellStyle name="Normal 4 3 10 2 3 2 2" xfId="17637" xr:uid="{00000000-0005-0000-0000-00002C620000}"/>
    <cellStyle name="Normal 4 3 10 2 3 2 2 2" xfId="37689" xr:uid="{00000000-0005-0000-0000-00002D620000}"/>
    <cellStyle name="Normal 4 3 10 2 3 2 3" xfId="28659" xr:uid="{00000000-0005-0000-0000-00002E620000}"/>
    <cellStyle name="Normal 4 3 10 2 3 3" xfId="13155" xr:uid="{00000000-0005-0000-0000-00002F620000}"/>
    <cellStyle name="Normal 4 3 10 2 3 3 2" xfId="33207" xr:uid="{00000000-0005-0000-0000-000030620000}"/>
    <cellStyle name="Normal 4 3 10 2 3 4" xfId="24177" xr:uid="{00000000-0005-0000-0000-000031620000}"/>
    <cellStyle name="Normal 4 3 10 2 4" xfId="5619" xr:uid="{00000000-0005-0000-0000-000032620000}"/>
    <cellStyle name="Normal 4 3 10 2 4 2" xfId="14649" xr:uid="{00000000-0005-0000-0000-000033620000}"/>
    <cellStyle name="Normal 4 3 10 2 4 2 2" xfId="34701" xr:uid="{00000000-0005-0000-0000-000034620000}"/>
    <cellStyle name="Normal 4 3 10 2 4 3" xfId="25671" xr:uid="{00000000-0005-0000-0000-000035620000}"/>
    <cellStyle name="Normal 4 3 10 2 5" xfId="10167" xr:uid="{00000000-0005-0000-0000-000036620000}"/>
    <cellStyle name="Normal 4 3 10 2 5 2" xfId="30219" xr:uid="{00000000-0005-0000-0000-000037620000}"/>
    <cellStyle name="Normal 4 3 10 2 6" xfId="21189" xr:uid="{00000000-0005-0000-0000-000038620000}"/>
    <cellStyle name="Normal 4 3 10 3" xfId="1884" xr:uid="{00000000-0005-0000-0000-000039620000}"/>
    <cellStyle name="Normal 4 3 10 3 2" xfId="6366" xr:uid="{00000000-0005-0000-0000-00003A620000}"/>
    <cellStyle name="Normal 4 3 10 3 2 2" xfId="15396" xr:uid="{00000000-0005-0000-0000-00003B620000}"/>
    <cellStyle name="Normal 4 3 10 3 2 2 2" xfId="35448" xr:uid="{00000000-0005-0000-0000-00003C620000}"/>
    <cellStyle name="Normal 4 3 10 3 2 3" xfId="26418" xr:uid="{00000000-0005-0000-0000-00003D620000}"/>
    <cellStyle name="Normal 4 3 10 3 3" xfId="10914" xr:uid="{00000000-0005-0000-0000-00003E620000}"/>
    <cellStyle name="Normal 4 3 10 3 3 2" xfId="30966" xr:uid="{00000000-0005-0000-0000-00003F620000}"/>
    <cellStyle name="Normal 4 3 10 3 4" xfId="21936" xr:uid="{00000000-0005-0000-0000-000040620000}"/>
    <cellStyle name="Normal 4 3 10 4" xfId="3378" xr:uid="{00000000-0005-0000-0000-000041620000}"/>
    <cellStyle name="Normal 4 3 10 4 2" xfId="7860" xr:uid="{00000000-0005-0000-0000-000042620000}"/>
    <cellStyle name="Normal 4 3 10 4 2 2" xfId="16890" xr:uid="{00000000-0005-0000-0000-000043620000}"/>
    <cellStyle name="Normal 4 3 10 4 2 2 2" xfId="36942" xr:uid="{00000000-0005-0000-0000-000044620000}"/>
    <cellStyle name="Normal 4 3 10 4 2 3" xfId="27912" xr:uid="{00000000-0005-0000-0000-000045620000}"/>
    <cellStyle name="Normal 4 3 10 4 3" xfId="12408" xr:uid="{00000000-0005-0000-0000-000046620000}"/>
    <cellStyle name="Normal 4 3 10 4 3 2" xfId="32460" xr:uid="{00000000-0005-0000-0000-000047620000}"/>
    <cellStyle name="Normal 4 3 10 4 4" xfId="23430" xr:uid="{00000000-0005-0000-0000-000048620000}"/>
    <cellStyle name="Normal 4 3 10 5" xfId="4872" xr:uid="{00000000-0005-0000-0000-000049620000}"/>
    <cellStyle name="Normal 4 3 10 5 2" xfId="13902" xr:uid="{00000000-0005-0000-0000-00004A620000}"/>
    <cellStyle name="Normal 4 3 10 5 2 2" xfId="33954" xr:uid="{00000000-0005-0000-0000-00004B620000}"/>
    <cellStyle name="Normal 4 3 10 5 3" xfId="24924" xr:uid="{00000000-0005-0000-0000-00004C620000}"/>
    <cellStyle name="Normal 4 3 10 6" xfId="9420" xr:uid="{00000000-0005-0000-0000-00004D620000}"/>
    <cellStyle name="Normal 4 3 10 6 2" xfId="29472" xr:uid="{00000000-0005-0000-0000-00004E620000}"/>
    <cellStyle name="Normal 4 3 10 7" xfId="20442" xr:uid="{00000000-0005-0000-0000-00004F620000}"/>
    <cellStyle name="Normal 4 3 11" xfId="576" xr:uid="{00000000-0005-0000-0000-000050620000}"/>
    <cellStyle name="Normal 4 3 11 2" xfId="1323" xr:uid="{00000000-0005-0000-0000-000051620000}"/>
    <cellStyle name="Normal 4 3 11 2 2" xfId="2817" xr:uid="{00000000-0005-0000-0000-000052620000}"/>
    <cellStyle name="Normal 4 3 11 2 2 2" xfId="7299" xr:uid="{00000000-0005-0000-0000-000053620000}"/>
    <cellStyle name="Normal 4 3 11 2 2 2 2" xfId="16329" xr:uid="{00000000-0005-0000-0000-000054620000}"/>
    <cellStyle name="Normal 4 3 11 2 2 2 2 2" xfId="36381" xr:uid="{00000000-0005-0000-0000-000055620000}"/>
    <cellStyle name="Normal 4 3 11 2 2 2 3" xfId="27351" xr:uid="{00000000-0005-0000-0000-000056620000}"/>
    <cellStyle name="Normal 4 3 11 2 2 3" xfId="11847" xr:uid="{00000000-0005-0000-0000-000057620000}"/>
    <cellStyle name="Normal 4 3 11 2 2 3 2" xfId="31899" xr:uid="{00000000-0005-0000-0000-000058620000}"/>
    <cellStyle name="Normal 4 3 11 2 2 4" xfId="22869" xr:uid="{00000000-0005-0000-0000-000059620000}"/>
    <cellStyle name="Normal 4 3 11 2 3" xfId="4311" xr:uid="{00000000-0005-0000-0000-00005A620000}"/>
    <cellStyle name="Normal 4 3 11 2 3 2" xfId="8793" xr:uid="{00000000-0005-0000-0000-00005B620000}"/>
    <cellStyle name="Normal 4 3 11 2 3 2 2" xfId="17823" xr:uid="{00000000-0005-0000-0000-00005C620000}"/>
    <cellStyle name="Normal 4 3 11 2 3 2 2 2" xfId="37875" xr:uid="{00000000-0005-0000-0000-00005D620000}"/>
    <cellStyle name="Normal 4 3 11 2 3 2 3" xfId="28845" xr:uid="{00000000-0005-0000-0000-00005E620000}"/>
    <cellStyle name="Normal 4 3 11 2 3 3" xfId="13341" xr:uid="{00000000-0005-0000-0000-00005F620000}"/>
    <cellStyle name="Normal 4 3 11 2 3 3 2" xfId="33393" xr:uid="{00000000-0005-0000-0000-000060620000}"/>
    <cellStyle name="Normal 4 3 11 2 3 4" xfId="24363" xr:uid="{00000000-0005-0000-0000-000061620000}"/>
    <cellStyle name="Normal 4 3 11 2 4" xfId="5805" xr:uid="{00000000-0005-0000-0000-000062620000}"/>
    <cellStyle name="Normal 4 3 11 2 4 2" xfId="14835" xr:uid="{00000000-0005-0000-0000-000063620000}"/>
    <cellStyle name="Normal 4 3 11 2 4 2 2" xfId="34887" xr:uid="{00000000-0005-0000-0000-000064620000}"/>
    <cellStyle name="Normal 4 3 11 2 4 3" xfId="25857" xr:uid="{00000000-0005-0000-0000-000065620000}"/>
    <cellStyle name="Normal 4 3 11 2 5" xfId="10353" xr:uid="{00000000-0005-0000-0000-000066620000}"/>
    <cellStyle name="Normal 4 3 11 2 5 2" xfId="30405" xr:uid="{00000000-0005-0000-0000-000067620000}"/>
    <cellStyle name="Normal 4 3 11 2 6" xfId="21375" xr:uid="{00000000-0005-0000-0000-000068620000}"/>
    <cellStyle name="Normal 4 3 11 3" xfId="2070" xr:uid="{00000000-0005-0000-0000-000069620000}"/>
    <cellStyle name="Normal 4 3 11 3 2" xfId="6552" xr:uid="{00000000-0005-0000-0000-00006A620000}"/>
    <cellStyle name="Normal 4 3 11 3 2 2" xfId="15582" xr:uid="{00000000-0005-0000-0000-00006B620000}"/>
    <cellStyle name="Normal 4 3 11 3 2 2 2" xfId="35634" xr:uid="{00000000-0005-0000-0000-00006C620000}"/>
    <cellStyle name="Normal 4 3 11 3 2 3" xfId="26604" xr:uid="{00000000-0005-0000-0000-00006D620000}"/>
    <cellStyle name="Normal 4 3 11 3 3" xfId="11100" xr:uid="{00000000-0005-0000-0000-00006E620000}"/>
    <cellStyle name="Normal 4 3 11 3 3 2" xfId="31152" xr:uid="{00000000-0005-0000-0000-00006F620000}"/>
    <cellStyle name="Normal 4 3 11 3 4" xfId="22122" xr:uid="{00000000-0005-0000-0000-000070620000}"/>
    <cellStyle name="Normal 4 3 11 4" xfId="3564" xr:uid="{00000000-0005-0000-0000-000071620000}"/>
    <cellStyle name="Normal 4 3 11 4 2" xfId="8046" xr:uid="{00000000-0005-0000-0000-000072620000}"/>
    <cellStyle name="Normal 4 3 11 4 2 2" xfId="17076" xr:uid="{00000000-0005-0000-0000-000073620000}"/>
    <cellStyle name="Normal 4 3 11 4 2 2 2" xfId="37128" xr:uid="{00000000-0005-0000-0000-000074620000}"/>
    <cellStyle name="Normal 4 3 11 4 2 3" xfId="28098" xr:uid="{00000000-0005-0000-0000-000075620000}"/>
    <cellStyle name="Normal 4 3 11 4 3" xfId="12594" xr:uid="{00000000-0005-0000-0000-000076620000}"/>
    <cellStyle name="Normal 4 3 11 4 3 2" xfId="32646" xr:uid="{00000000-0005-0000-0000-000077620000}"/>
    <cellStyle name="Normal 4 3 11 4 4" xfId="23616" xr:uid="{00000000-0005-0000-0000-000078620000}"/>
    <cellStyle name="Normal 4 3 11 5" xfId="5058" xr:uid="{00000000-0005-0000-0000-000079620000}"/>
    <cellStyle name="Normal 4 3 11 5 2" xfId="14088" xr:uid="{00000000-0005-0000-0000-00007A620000}"/>
    <cellStyle name="Normal 4 3 11 5 2 2" xfId="34140" xr:uid="{00000000-0005-0000-0000-00007B620000}"/>
    <cellStyle name="Normal 4 3 11 5 3" xfId="25110" xr:uid="{00000000-0005-0000-0000-00007C620000}"/>
    <cellStyle name="Normal 4 3 11 6" xfId="9606" xr:uid="{00000000-0005-0000-0000-00007D620000}"/>
    <cellStyle name="Normal 4 3 11 6 2" xfId="29658" xr:uid="{00000000-0005-0000-0000-00007E620000}"/>
    <cellStyle name="Normal 4 3 11 7" xfId="20628" xr:uid="{00000000-0005-0000-0000-00007F620000}"/>
    <cellStyle name="Normal 4 3 12" xfId="763" xr:uid="{00000000-0005-0000-0000-000080620000}"/>
    <cellStyle name="Normal 4 3 12 2" xfId="2257" xr:uid="{00000000-0005-0000-0000-000081620000}"/>
    <cellStyle name="Normal 4 3 12 2 2" xfId="6739" xr:uid="{00000000-0005-0000-0000-000082620000}"/>
    <cellStyle name="Normal 4 3 12 2 2 2" xfId="15769" xr:uid="{00000000-0005-0000-0000-000083620000}"/>
    <cellStyle name="Normal 4 3 12 2 2 2 2" xfId="35821" xr:uid="{00000000-0005-0000-0000-000084620000}"/>
    <cellStyle name="Normal 4 3 12 2 2 3" xfId="26791" xr:uid="{00000000-0005-0000-0000-000085620000}"/>
    <cellStyle name="Normal 4 3 12 2 3" xfId="11287" xr:uid="{00000000-0005-0000-0000-000086620000}"/>
    <cellStyle name="Normal 4 3 12 2 3 2" xfId="31339" xr:uid="{00000000-0005-0000-0000-000087620000}"/>
    <cellStyle name="Normal 4 3 12 2 4" xfId="22309" xr:uid="{00000000-0005-0000-0000-000088620000}"/>
    <cellStyle name="Normal 4 3 12 3" xfId="3751" xr:uid="{00000000-0005-0000-0000-000089620000}"/>
    <cellStyle name="Normal 4 3 12 3 2" xfId="8233" xr:uid="{00000000-0005-0000-0000-00008A620000}"/>
    <cellStyle name="Normal 4 3 12 3 2 2" xfId="17263" xr:uid="{00000000-0005-0000-0000-00008B620000}"/>
    <cellStyle name="Normal 4 3 12 3 2 2 2" xfId="37315" xr:uid="{00000000-0005-0000-0000-00008C620000}"/>
    <cellStyle name="Normal 4 3 12 3 2 3" xfId="28285" xr:uid="{00000000-0005-0000-0000-00008D620000}"/>
    <cellStyle name="Normal 4 3 12 3 3" xfId="12781" xr:uid="{00000000-0005-0000-0000-00008E620000}"/>
    <cellStyle name="Normal 4 3 12 3 3 2" xfId="32833" xr:uid="{00000000-0005-0000-0000-00008F620000}"/>
    <cellStyle name="Normal 4 3 12 3 4" xfId="23803" xr:uid="{00000000-0005-0000-0000-000090620000}"/>
    <cellStyle name="Normal 4 3 12 4" xfId="5245" xr:uid="{00000000-0005-0000-0000-000091620000}"/>
    <cellStyle name="Normal 4 3 12 4 2" xfId="14275" xr:uid="{00000000-0005-0000-0000-000092620000}"/>
    <cellStyle name="Normal 4 3 12 4 2 2" xfId="34327" xr:uid="{00000000-0005-0000-0000-000093620000}"/>
    <cellStyle name="Normal 4 3 12 4 3" xfId="25297" xr:uid="{00000000-0005-0000-0000-000094620000}"/>
    <cellStyle name="Normal 4 3 12 5" xfId="9793" xr:uid="{00000000-0005-0000-0000-000095620000}"/>
    <cellStyle name="Normal 4 3 12 5 2" xfId="29845" xr:uid="{00000000-0005-0000-0000-000096620000}"/>
    <cellStyle name="Normal 4 3 12 6" xfId="20815" xr:uid="{00000000-0005-0000-0000-000097620000}"/>
    <cellStyle name="Normal 4 3 13" xfId="1512" xr:uid="{00000000-0005-0000-0000-000098620000}"/>
    <cellStyle name="Normal 4 3 13 2" xfId="5994" xr:uid="{00000000-0005-0000-0000-000099620000}"/>
    <cellStyle name="Normal 4 3 13 2 2" xfId="15024" xr:uid="{00000000-0005-0000-0000-00009A620000}"/>
    <cellStyle name="Normal 4 3 13 2 2 2" xfId="35076" xr:uid="{00000000-0005-0000-0000-00009B620000}"/>
    <cellStyle name="Normal 4 3 13 2 3" xfId="26046" xr:uid="{00000000-0005-0000-0000-00009C620000}"/>
    <cellStyle name="Normal 4 3 13 3" xfId="10542" xr:uid="{00000000-0005-0000-0000-00009D620000}"/>
    <cellStyle name="Normal 4 3 13 3 2" xfId="30594" xr:uid="{00000000-0005-0000-0000-00009E620000}"/>
    <cellStyle name="Normal 4 3 13 4" xfId="21564" xr:uid="{00000000-0005-0000-0000-00009F620000}"/>
    <cellStyle name="Normal 4 3 14" xfId="3006" xr:uid="{00000000-0005-0000-0000-0000A0620000}"/>
    <cellStyle name="Normal 4 3 14 2" xfId="7488" xr:uid="{00000000-0005-0000-0000-0000A1620000}"/>
    <cellStyle name="Normal 4 3 14 2 2" xfId="16518" xr:uid="{00000000-0005-0000-0000-0000A2620000}"/>
    <cellStyle name="Normal 4 3 14 2 2 2" xfId="36570" xr:uid="{00000000-0005-0000-0000-0000A3620000}"/>
    <cellStyle name="Normal 4 3 14 2 3" xfId="27540" xr:uid="{00000000-0005-0000-0000-0000A4620000}"/>
    <cellStyle name="Normal 4 3 14 3" xfId="12036" xr:uid="{00000000-0005-0000-0000-0000A5620000}"/>
    <cellStyle name="Normal 4 3 14 3 2" xfId="32088" xr:uid="{00000000-0005-0000-0000-0000A6620000}"/>
    <cellStyle name="Normal 4 3 14 4" xfId="23058" xr:uid="{00000000-0005-0000-0000-0000A7620000}"/>
    <cellStyle name="Normal 4 3 15" xfId="4500" xr:uid="{00000000-0005-0000-0000-0000A8620000}"/>
    <cellStyle name="Normal 4 3 15 2" xfId="13530" xr:uid="{00000000-0005-0000-0000-0000A9620000}"/>
    <cellStyle name="Normal 4 3 15 2 2" xfId="33582" xr:uid="{00000000-0005-0000-0000-0000AA620000}"/>
    <cellStyle name="Normal 4 3 15 3" xfId="24552" xr:uid="{00000000-0005-0000-0000-0000AB620000}"/>
    <cellStyle name="Normal 4 3 16" xfId="9048" xr:uid="{00000000-0005-0000-0000-0000AC620000}"/>
    <cellStyle name="Normal 4 3 16 2" xfId="29100" xr:uid="{00000000-0005-0000-0000-0000AD620000}"/>
    <cellStyle name="Normal 4 3 17" xfId="20070" xr:uid="{00000000-0005-0000-0000-0000AE620000}"/>
    <cellStyle name="Normal 4 3 2" xfId="41" xr:uid="{00000000-0005-0000-0000-0000AF620000}"/>
    <cellStyle name="Normal 4 3 2 10" xfId="20093" xr:uid="{00000000-0005-0000-0000-0000B0620000}"/>
    <cellStyle name="Normal 4 3 2 2" xfId="227" xr:uid="{00000000-0005-0000-0000-0000B1620000}"/>
    <cellStyle name="Normal 4 3 2 2 2" xfId="972" xr:uid="{00000000-0005-0000-0000-0000B2620000}"/>
    <cellStyle name="Normal 4 3 2 2 2 2" xfId="2466" xr:uid="{00000000-0005-0000-0000-0000B3620000}"/>
    <cellStyle name="Normal 4 3 2 2 2 2 2" xfId="6948" xr:uid="{00000000-0005-0000-0000-0000B4620000}"/>
    <cellStyle name="Normal 4 3 2 2 2 2 2 2" xfId="15978" xr:uid="{00000000-0005-0000-0000-0000B5620000}"/>
    <cellStyle name="Normal 4 3 2 2 2 2 2 2 2" xfId="36030" xr:uid="{00000000-0005-0000-0000-0000B6620000}"/>
    <cellStyle name="Normal 4 3 2 2 2 2 2 3" xfId="27000" xr:uid="{00000000-0005-0000-0000-0000B7620000}"/>
    <cellStyle name="Normal 4 3 2 2 2 2 3" xfId="11496" xr:uid="{00000000-0005-0000-0000-0000B8620000}"/>
    <cellStyle name="Normal 4 3 2 2 2 2 3 2" xfId="31548" xr:uid="{00000000-0005-0000-0000-0000B9620000}"/>
    <cellStyle name="Normal 4 3 2 2 2 2 4" xfId="22518" xr:uid="{00000000-0005-0000-0000-0000BA620000}"/>
    <cellStyle name="Normal 4 3 2 2 2 3" xfId="3960" xr:uid="{00000000-0005-0000-0000-0000BB620000}"/>
    <cellStyle name="Normal 4 3 2 2 2 3 2" xfId="8442" xr:uid="{00000000-0005-0000-0000-0000BC620000}"/>
    <cellStyle name="Normal 4 3 2 2 2 3 2 2" xfId="17472" xr:uid="{00000000-0005-0000-0000-0000BD620000}"/>
    <cellStyle name="Normal 4 3 2 2 2 3 2 2 2" xfId="37524" xr:uid="{00000000-0005-0000-0000-0000BE620000}"/>
    <cellStyle name="Normal 4 3 2 2 2 3 2 3" xfId="28494" xr:uid="{00000000-0005-0000-0000-0000BF620000}"/>
    <cellStyle name="Normal 4 3 2 2 2 3 3" xfId="12990" xr:uid="{00000000-0005-0000-0000-0000C0620000}"/>
    <cellStyle name="Normal 4 3 2 2 2 3 3 2" xfId="33042" xr:uid="{00000000-0005-0000-0000-0000C1620000}"/>
    <cellStyle name="Normal 4 3 2 2 2 3 4" xfId="24012" xr:uid="{00000000-0005-0000-0000-0000C2620000}"/>
    <cellStyle name="Normal 4 3 2 2 2 4" xfId="5454" xr:uid="{00000000-0005-0000-0000-0000C3620000}"/>
    <cellStyle name="Normal 4 3 2 2 2 4 2" xfId="14484" xr:uid="{00000000-0005-0000-0000-0000C4620000}"/>
    <cellStyle name="Normal 4 3 2 2 2 4 2 2" xfId="34536" xr:uid="{00000000-0005-0000-0000-0000C5620000}"/>
    <cellStyle name="Normal 4 3 2 2 2 4 3" xfId="25506" xr:uid="{00000000-0005-0000-0000-0000C6620000}"/>
    <cellStyle name="Normal 4 3 2 2 2 5" xfId="10002" xr:uid="{00000000-0005-0000-0000-0000C7620000}"/>
    <cellStyle name="Normal 4 3 2 2 2 5 2" xfId="30054" xr:uid="{00000000-0005-0000-0000-0000C8620000}"/>
    <cellStyle name="Normal 4 3 2 2 2 6" xfId="21024" xr:uid="{00000000-0005-0000-0000-0000C9620000}"/>
    <cellStyle name="Normal 4 3 2 2 3" xfId="1721" xr:uid="{00000000-0005-0000-0000-0000CA620000}"/>
    <cellStyle name="Normal 4 3 2 2 3 2" xfId="6203" xr:uid="{00000000-0005-0000-0000-0000CB620000}"/>
    <cellStyle name="Normal 4 3 2 2 3 2 2" xfId="15233" xr:uid="{00000000-0005-0000-0000-0000CC620000}"/>
    <cellStyle name="Normal 4 3 2 2 3 2 2 2" xfId="35285" xr:uid="{00000000-0005-0000-0000-0000CD620000}"/>
    <cellStyle name="Normal 4 3 2 2 3 2 3" xfId="26255" xr:uid="{00000000-0005-0000-0000-0000CE620000}"/>
    <cellStyle name="Normal 4 3 2 2 3 3" xfId="10751" xr:uid="{00000000-0005-0000-0000-0000CF620000}"/>
    <cellStyle name="Normal 4 3 2 2 3 3 2" xfId="30803" xr:uid="{00000000-0005-0000-0000-0000D0620000}"/>
    <cellStyle name="Normal 4 3 2 2 3 4" xfId="21773" xr:uid="{00000000-0005-0000-0000-0000D1620000}"/>
    <cellStyle name="Normal 4 3 2 2 4" xfId="3215" xr:uid="{00000000-0005-0000-0000-0000D2620000}"/>
    <cellStyle name="Normal 4 3 2 2 4 2" xfId="7697" xr:uid="{00000000-0005-0000-0000-0000D3620000}"/>
    <cellStyle name="Normal 4 3 2 2 4 2 2" xfId="16727" xr:uid="{00000000-0005-0000-0000-0000D4620000}"/>
    <cellStyle name="Normal 4 3 2 2 4 2 2 2" xfId="36779" xr:uid="{00000000-0005-0000-0000-0000D5620000}"/>
    <cellStyle name="Normal 4 3 2 2 4 2 3" xfId="27749" xr:uid="{00000000-0005-0000-0000-0000D6620000}"/>
    <cellStyle name="Normal 4 3 2 2 4 3" xfId="12245" xr:uid="{00000000-0005-0000-0000-0000D7620000}"/>
    <cellStyle name="Normal 4 3 2 2 4 3 2" xfId="32297" xr:uid="{00000000-0005-0000-0000-0000D8620000}"/>
    <cellStyle name="Normal 4 3 2 2 4 4" xfId="23267" xr:uid="{00000000-0005-0000-0000-0000D9620000}"/>
    <cellStyle name="Normal 4 3 2 2 5" xfId="4709" xr:uid="{00000000-0005-0000-0000-0000DA620000}"/>
    <cellStyle name="Normal 4 3 2 2 5 2" xfId="13739" xr:uid="{00000000-0005-0000-0000-0000DB620000}"/>
    <cellStyle name="Normal 4 3 2 2 5 2 2" xfId="33791" xr:uid="{00000000-0005-0000-0000-0000DC620000}"/>
    <cellStyle name="Normal 4 3 2 2 5 3" xfId="24761" xr:uid="{00000000-0005-0000-0000-0000DD620000}"/>
    <cellStyle name="Normal 4 3 2 2 6" xfId="9257" xr:uid="{00000000-0005-0000-0000-0000DE620000}"/>
    <cellStyle name="Normal 4 3 2 2 6 2" xfId="29309" xr:uid="{00000000-0005-0000-0000-0000DF620000}"/>
    <cellStyle name="Normal 4 3 2 2 7" xfId="20279" xr:uid="{00000000-0005-0000-0000-0000E0620000}"/>
    <cellStyle name="Normal 4 3 2 3" xfId="413" xr:uid="{00000000-0005-0000-0000-0000E1620000}"/>
    <cellStyle name="Normal 4 3 2 3 2" xfId="1160" xr:uid="{00000000-0005-0000-0000-0000E2620000}"/>
    <cellStyle name="Normal 4 3 2 3 2 2" xfId="2654" xr:uid="{00000000-0005-0000-0000-0000E3620000}"/>
    <cellStyle name="Normal 4 3 2 3 2 2 2" xfId="7136" xr:uid="{00000000-0005-0000-0000-0000E4620000}"/>
    <cellStyle name="Normal 4 3 2 3 2 2 2 2" xfId="16166" xr:uid="{00000000-0005-0000-0000-0000E5620000}"/>
    <cellStyle name="Normal 4 3 2 3 2 2 2 2 2" xfId="36218" xr:uid="{00000000-0005-0000-0000-0000E6620000}"/>
    <cellStyle name="Normal 4 3 2 3 2 2 2 3" xfId="27188" xr:uid="{00000000-0005-0000-0000-0000E7620000}"/>
    <cellStyle name="Normal 4 3 2 3 2 2 3" xfId="11684" xr:uid="{00000000-0005-0000-0000-0000E8620000}"/>
    <cellStyle name="Normal 4 3 2 3 2 2 3 2" xfId="31736" xr:uid="{00000000-0005-0000-0000-0000E9620000}"/>
    <cellStyle name="Normal 4 3 2 3 2 2 4" xfId="22706" xr:uid="{00000000-0005-0000-0000-0000EA620000}"/>
    <cellStyle name="Normal 4 3 2 3 2 3" xfId="4148" xr:uid="{00000000-0005-0000-0000-0000EB620000}"/>
    <cellStyle name="Normal 4 3 2 3 2 3 2" xfId="8630" xr:uid="{00000000-0005-0000-0000-0000EC620000}"/>
    <cellStyle name="Normal 4 3 2 3 2 3 2 2" xfId="17660" xr:uid="{00000000-0005-0000-0000-0000ED620000}"/>
    <cellStyle name="Normal 4 3 2 3 2 3 2 2 2" xfId="37712" xr:uid="{00000000-0005-0000-0000-0000EE620000}"/>
    <cellStyle name="Normal 4 3 2 3 2 3 2 3" xfId="28682" xr:uid="{00000000-0005-0000-0000-0000EF620000}"/>
    <cellStyle name="Normal 4 3 2 3 2 3 3" xfId="13178" xr:uid="{00000000-0005-0000-0000-0000F0620000}"/>
    <cellStyle name="Normal 4 3 2 3 2 3 3 2" xfId="33230" xr:uid="{00000000-0005-0000-0000-0000F1620000}"/>
    <cellStyle name="Normal 4 3 2 3 2 3 4" xfId="24200" xr:uid="{00000000-0005-0000-0000-0000F2620000}"/>
    <cellStyle name="Normal 4 3 2 3 2 4" xfId="5642" xr:uid="{00000000-0005-0000-0000-0000F3620000}"/>
    <cellStyle name="Normal 4 3 2 3 2 4 2" xfId="14672" xr:uid="{00000000-0005-0000-0000-0000F4620000}"/>
    <cellStyle name="Normal 4 3 2 3 2 4 2 2" xfId="34724" xr:uid="{00000000-0005-0000-0000-0000F5620000}"/>
    <cellStyle name="Normal 4 3 2 3 2 4 3" xfId="25694" xr:uid="{00000000-0005-0000-0000-0000F6620000}"/>
    <cellStyle name="Normal 4 3 2 3 2 5" xfId="10190" xr:uid="{00000000-0005-0000-0000-0000F7620000}"/>
    <cellStyle name="Normal 4 3 2 3 2 5 2" xfId="30242" xr:uid="{00000000-0005-0000-0000-0000F8620000}"/>
    <cellStyle name="Normal 4 3 2 3 2 6" xfId="21212" xr:uid="{00000000-0005-0000-0000-0000F9620000}"/>
    <cellStyle name="Normal 4 3 2 3 3" xfId="1907" xr:uid="{00000000-0005-0000-0000-0000FA620000}"/>
    <cellStyle name="Normal 4 3 2 3 3 2" xfId="6389" xr:uid="{00000000-0005-0000-0000-0000FB620000}"/>
    <cellStyle name="Normal 4 3 2 3 3 2 2" xfId="15419" xr:uid="{00000000-0005-0000-0000-0000FC620000}"/>
    <cellStyle name="Normal 4 3 2 3 3 2 2 2" xfId="35471" xr:uid="{00000000-0005-0000-0000-0000FD620000}"/>
    <cellStyle name="Normal 4 3 2 3 3 2 3" xfId="26441" xr:uid="{00000000-0005-0000-0000-0000FE620000}"/>
    <cellStyle name="Normal 4 3 2 3 3 3" xfId="10937" xr:uid="{00000000-0005-0000-0000-0000FF620000}"/>
    <cellStyle name="Normal 4 3 2 3 3 3 2" xfId="30989" xr:uid="{00000000-0005-0000-0000-000000630000}"/>
    <cellStyle name="Normal 4 3 2 3 3 4" xfId="21959" xr:uid="{00000000-0005-0000-0000-000001630000}"/>
    <cellStyle name="Normal 4 3 2 3 4" xfId="3401" xr:uid="{00000000-0005-0000-0000-000002630000}"/>
    <cellStyle name="Normal 4 3 2 3 4 2" xfId="7883" xr:uid="{00000000-0005-0000-0000-000003630000}"/>
    <cellStyle name="Normal 4 3 2 3 4 2 2" xfId="16913" xr:uid="{00000000-0005-0000-0000-000004630000}"/>
    <cellStyle name="Normal 4 3 2 3 4 2 2 2" xfId="36965" xr:uid="{00000000-0005-0000-0000-000005630000}"/>
    <cellStyle name="Normal 4 3 2 3 4 2 3" xfId="27935" xr:uid="{00000000-0005-0000-0000-000006630000}"/>
    <cellStyle name="Normal 4 3 2 3 4 3" xfId="12431" xr:uid="{00000000-0005-0000-0000-000007630000}"/>
    <cellStyle name="Normal 4 3 2 3 4 3 2" xfId="32483" xr:uid="{00000000-0005-0000-0000-000008630000}"/>
    <cellStyle name="Normal 4 3 2 3 4 4" xfId="23453" xr:uid="{00000000-0005-0000-0000-000009630000}"/>
    <cellStyle name="Normal 4 3 2 3 5" xfId="4895" xr:uid="{00000000-0005-0000-0000-00000A630000}"/>
    <cellStyle name="Normal 4 3 2 3 5 2" xfId="13925" xr:uid="{00000000-0005-0000-0000-00000B630000}"/>
    <cellStyle name="Normal 4 3 2 3 5 2 2" xfId="33977" xr:uid="{00000000-0005-0000-0000-00000C630000}"/>
    <cellStyle name="Normal 4 3 2 3 5 3" xfId="24947" xr:uid="{00000000-0005-0000-0000-00000D630000}"/>
    <cellStyle name="Normal 4 3 2 3 6" xfId="9443" xr:uid="{00000000-0005-0000-0000-00000E630000}"/>
    <cellStyle name="Normal 4 3 2 3 6 2" xfId="29495" xr:uid="{00000000-0005-0000-0000-00000F630000}"/>
    <cellStyle name="Normal 4 3 2 3 7" xfId="20465" xr:uid="{00000000-0005-0000-0000-000010630000}"/>
    <cellStyle name="Normal 4 3 2 4" xfId="599" xr:uid="{00000000-0005-0000-0000-000011630000}"/>
    <cellStyle name="Normal 4 3 2 4 2" xfId="1346" xr:uid="{00000000-0005-0000-0000-000012630000}"/>
    <cellStyle name="Normal 4 3 2 4 2 2" xfId="2840" xr:uid="{00000000-0005-0000-0000-000013630000}"/>
    <cellStyle name="Normal 4 3 2 4 2 2 2" xfId="7322" xr:uid="{00000000-0005-0000-0000-000014630000}"/>
    <cellStyle name="Normal 4 3 2 4 2 2 2 2" xfId="16352" xr:uid="{00000000-0005-0000-0000-000015630000}"/>
    <cellStyle name="Normal 4 3 2 4 2 2 2 2 2" xfId="36404" xr:uid="{00000000-0005-0000-0000-000016630000}"/>
    <cellStyle name="Normal 4 3 2 4 2 2 2 3" xfId="27374" xr:uid="{00000000-0005-0000-0000-000017630000}"/>
    <cellStyle name="Normal 4 3 2 4 2 2 3" xfId="11870" xr:uid="{00000000-0005-0000-0000-000018630000}"/>
    <cellStyle name="Normal 4 3 2 4 2 2 3 2" xfId="31922" xr:uid="{00000000-0005-0000-0000-000019630000}"/>
    <cellStyle name="Normal 4 3 2 4 2 2 4" xfId="22892" xr:uid="{00000000-0005-0000-0000-00001A630000}"/>
    <cellStyle name="Normal 4 3 2 4 2 3" xfId="4334" xr:uid="{00000000-0005-0000-0000-00001B630000}"/>
    <cellStyle name="Normal 4 3 2 4 2 3 2" xfId="8816" xr:uid="{00000000-0005-0000-0000-00001C630000}"/>
    <cellStyle name="Normal 4 3 2 4 2 3 2 2" xfId="17846" xr:uid="{00000000-0005-0000-0000-00001D630000}"/>
    <cellStyle name="Normal 4 3 2 4 2 3 2 2 2" xfId="37898" xr:uid="{00000000-0005-0000-0000-00001E630000}"/>
    <cellStyle name="Normal 4 3 2 4 2 3 2 3" xfId="28868" xr:uid="{00000000-0005-0000-0000-00001F630000}"/>
    <cellStyle name="Normal 4 3 2 4 2 3 3" xfId="13364" xr:uid="{00000000-0005-0000-0000-000020630000}"/>
    <cellStyle name="Normal 4 3 2 4 2 3 3 2" xfId="33416" xr:uid="{00000000-0005-0000-0000-000021630000}"/>
    <cellStyle name="Normal 4 3 2 4 2 3 4" xfId="24386" xr:uid="{00000000-0005-0000-0000-000022630000}"/>
    <cellStyle name="Normal 4 3 2 4 2 4" xfId="5828" xr:uid="{00000000-0005-0000-0000-000023630000}"/>
    <cellStyle name="Normal 4 3 2 4 2 4 2" xfId="14858" xr:uid="{00000000-0005-0000-0000-000024630000}"/>
    <cellStyle name="Normal 4 3 2 4 2 4 2 2" xfId="34910" xr:uid="{00000000-0005-0000-0000-000025630000}"/>
    <cellStyle name="Normal 4 3 2 4 2 4 3" xfId="25880" xr:uid="{00000000-0005-0000-0000-000026630000}"/>
    <cellStyle name="Normal 4 3 2 4 2 5" xfId="10376" xr:uid="{00000000-0005-0000-0000-000027630000}"/>
    <cellStyle name="Normal 4 3 2 4 2 5 2" xfId="30428" xr:uid="{00000000-0005-0000-0000-000028630000}"/>
    <cellStyle name="Normal 4 3 2 4 2 6" xfId="21398" xr:uid="{00000000-0005-0000-0000-000029630000}"/>
    <cellStyle name="Normal 4 3 2 4 3" xfId="2093" xr:uid="{00000000-0005-0000-0000-00002A630000}"/>
    <cellStyle name="Normal 4 3 2 4 3 2" xfId="6575" xr:uid="{00000000-0005-0000-0000-00002B630000}"/>
    <cellStyle name="Normal 4 3 2 4 3 2 2" xfId="15605" xr:uid="{00000000-0005-0000-0000-00002C630000}"/>
    <cellStyle name="Normal 4 3 2 4 3 2 2 2" xfId="35657" xr:uid="{00000000-0005-0000-0000-00002D630000}"/>
    <cellStyle name="Normal 4 3 2 4 3 2 3" xfId="26627" xr:uid="{00000000-0005-0000-0000-00002E630000}"/>
    <cellStyle name="Normal 4 3 2 4 3 3" xfId="11123" xr:uid="{00000000-0005-0000-0000-00002F630000}"/>
    <cellStyle name="Normal 4 3 2 4 3 3 2" xfId="31175" xr:uid="{00000000-0005-0000-0000-000030630000}"/>
    <cellStyle name="Normal 4 3 2 4 3 4" xfId="22145" xr:uid="{00000000-0005-0000-0000-000031630000}"/>
    <cellStyle name="Normal 4 3 2 4 4" xfId="3587" xr:uid="{00000000-0005-0000-0000-000032630000}"/>
    <cellStyle name="Normal 4 3 2 4 4 2" xfId="8069" xr:uid="{00000000-0005-0000-0000-000033630000}"/>
    <cellStyle name="Normal 4 3 2 4 4 2 2" xfId="17099" xr:uid="{00000000-0005-0000-0000-000034630000}"/>
    <cellStyle name="Normal 4 3 2 4 4 2 2 2" xfId="37151" xr:uid="{00000000-0005-0000-0000-000035630000}"/>
    <cellStyle name="Normal 4 3 2 4 4 2 3" xfId="28121" xr:uid="{00000000-0005-0000-0000-000036630000}"/>
    <cellStyle name="Normal 4 3 2 4 4 3" xfId="12617" xr:uid="{00000000-0005-0000-0000-000037630000}"/>
    <cellStyle name="Normal 4 3 2 4 4 3 2" xfId="32669" xr:uid="{00000000-0005-0000-0000-000038630000}"/>
    <cellStyle name="Normal 4 3 2 4 4 4" xfId="23639" xr:uid="{00000000-0005-0000-0000-000039630000}"/>
    <cellStyle name="Normal 4 3 2 4 5" xfId="5081" xr:uid="{00000000-0005-0000-0000-00003A630000}"/>
    <cellStyle name="Normal 4 3 2 4 5 2" xfId="14111" xr:uid="{00000000-0005-0000-0000-00003B630000}"/>
    <cellStyle name="Normal 4 3 2 4 5 2 2" xfId="34163" xr:uid="{00000000-0005-0000-0000-00003C630000}"/>
    <cellStyle name="Normal 4 3 2 4 5 3" xfId="25133" xr:uid="{00000000-0005-0000-0000-00003D630000}"/>
    <cellStyle name="Normal 4 3 2 4 6" xfId="9629" xr:uid="{00000000-0005-0000-0000-00003E630000}"/>
    <cellStyle name="Normal 4 3 2 4 6 2" xfId="29681" xr:uid="{00000000-0005-0000-0000-00003F630000}"/>
    <cellStyle name="Normal 4 3 2 4 7" xfId="20651" xr:uid="{00000000-0005-0000-0000-000040630000}"/>
    <cellStyle name="Normal 4 3 2 5" xfId="786" xr:uid="{00000000-0005-0000-0000-000041630000}"/>
    <cellStyle name="Normal 4 3 2 5 2" xfId="2280" xr:uid="{00000000-0005-0000-0000-000042630000}"/>
    <cellStyle name="Normal 4 3 2 5 2 2" xfId="6762" xr:uid="{00000000-0005-0000-0000-000043630000}"/>
    <cellStyle name="Normal 4 3 2 5 2 2 2" xfId="15792" xr:uid="{00000000-0005-0000-0000-000044630000}"/>
    <cellStyle name="Normal 4 3 2 5 2 2 2 2" xfId="35844" xr:uid="{00000000-0005-0000-0000-000045630000}"/>
    <cellStyle name="Normal 4 3 2 5 2 2 3" xfId="26814" xr:uid="{00000000-0005-0000-0000-000046630000}"/>
    <cellStyle name="Normal 4 3 2 5 2 3" xfId="11310" xr:uid="{00000000-0005-0000-0000-000047630000}"/>
    <cellStyle name="Normal 4 3 2 5 2 3 2" xfId="31362" xr:uid="{00000000-0005-0000-0000-000048630000}"/>
    <cellStyle name="Normal 4 3 2 5 2 4" xfId="22332" xr:uid="{00000000-0005-0000-0000-000049630000}"/>
    <cellStyle name="Normal 4 3 2 5 3" xfId="3774" xr:uid="{00000000-0005-0000-0000-00004A630000}"/>
    <cellStyle name="Normal 4 3 2 5 3 2" xfId="8256" xr:uid="{00000000-0005-0000-0000-00004B630000}"/>
    <cellStyle name="Normal 4 3 2 5 3 2 2" xfId="17286" xr:uid="{00000000-0005-0000-0000-00004C630000}"/>
    <cellStyle name="Normal 4 3 2 5 3 2 2 2" xfId="37338" xr:uid="{00000000-0005-0000-0000-00004D630000}"/>
    <cellStyle name="Normal 4 3 2 5 3 2 3" xfId="28308" xr:uid="{00000000-0005-0000-0000-00004E630000}"/>
    <cellStyle name="Normal 4 3 2 5 3 3" xfId="12804" xr:uid="{00000000-0005-0000-0000-00004F630000}"/>
    <cellStyle name="Normal 4 3 2 5 3 3 2" xfId="32856" xr:uid="{00000000-0005-0000-0000-000050630000}"/>
    <cellStyle name="Normal 4 3 2 5 3 4" xfId="23826" xr:uid="{00000000-0005-0000-0000-000051630000}"/>
    <cellStyle name="Normal 4 3 2 5 4" xfId="5268" xr:uid="{00000000-0005-0000-0000-000052630000}"/>
    <cellStyle name="Normal 4 3 2 5 4 2" xfId="14298" xr:uid="{00000000-0005-0000-0000-000053630000}"/>
    <cellStyle name="Normal 4 3 2 5 4 2 2" xfId="34350" xr:uid="{00000000-0005-0000-0000-000054630000}"/>
    <cellStyle name="Normal 4 3 2 5 4 3" xfId="25320" xr:uid="{00000000-0005-0000-0000-000055630000}"/>
    <cellStyle name="Normal 4 3 2 5 5" xfId="9816" xr:uid="{00000000-0005-0000-0000-000056630000}"/>
    <cellStyle name="Normal 4 3 2 5 5 2" xfId="29868" xr:uid="{00000000-0005-0000-0000-000057630000}"/>
    <cellStyle name="Normal 4 3 2 5 6" xfId="20838" xr:uid="{00000000-0005-0000-0000-000058630000}"/>
    <cellStyle name="Normal 4 3 2 6" xfId="1535" xr:uid="{00000000-0005-0000-0000-000059630000}"/>
    <cellStyle name="Normal 4 3 2 6 2" xfId="6017" xr:uid="{00000000-0005-0000-0000-00005A630000}"/>
    <cellStyle name="Normal 4 3 2 6 2 2" xfId="15047" xr:uid="{00000000-0005-0000-0000-00005B630000}"/>
    <cellStyle name="Normal 4 3 2 6 2 2 2" xfId="35099" xr:uid="{00000000-0005-0000-0000-00005C630000}"/>
    <cellStyle name="Normal 4 3 2 6 2 3" xfId="26069" xr:uid="{00000000-0005-0000-0000-00005D630000}"/>
    <cellStyle name="Normal 4 3 2 6 3" xfId="10565" xr:uid="{00000000-0005-0000-0000-00005E630000}"/>
    <cellStyle name="Normal 4 3 2 6 3 2" xfId="30617" xr:uid="{00000000-0005-0000-0000-00005F630000}"/>
    <cellStyle name="Normal 4 3 2 6 4" xfId="21587" xr:uid="{00000000-0005-0000-0000-000060630000}"/>
    <cellStyle name="Normal 4 3 2 7" xfId="3029" xr:uid="{00000000-0005-0000-0000-000061630000}"/>
    <cellStyle name="Normal 4 3 2 7 2" xfId="7511" xr:uid="{00000000-0005-0000-0000-000062630000}"/>
    <cellStyle name="Normal 4 3 2 7 2 2" xfId="16541" xr:uid="{00000000-0005-0000-0000-000063630000}"/>
    <cellStyle name="Normal 4 3 2 7 2 2 2" xfId="36593" xr:uid="{00000000-0005-0000-0000-000064630000}"/>
    <cellStyle name="Normal 4 3 2 7 2 3" xfId="27563" xr:uid="{00000000-0005-0000-0000-000065630000}"/>
    <cellStyle name="Normal 4 3 2 7 3" xfId="12059" xr:uid="{00000000-0005-0000-0000-000066630000}"/>
    <cellStyle name="Normal 4 3 2 7 3 2" xfId="32111" xr:uid="{00000000-0005-0000-0000-000067630000}"/>
    <cellStyle name="Normal 4 3 2 7 4" xfId="23081" xr:uid="{00000000-0005-0000-0000-000068630000}"/>
    <cellStyle name="Normal 4 3 2 8" xfId="4523" xr:uid="{00000000-0005-0000-0000-000069630000}"/>
    <cellStyle name="Normal 4 3 2 8 2" xfId="13553" xr:uid="{00000000-0005-0000-0000-00006A630000}"/>
    <cellStyle name="Normal 4 3 2 8 2 2" xfId="33605" xr:uid="{00000000-0005-0000-0000-00006B630000}"/>
    <cellStyle name="Normal 4 3 2 8 3" xfId="24575" xr:uid="{00000000-0005-0000-0000-00006C630000}"/>
    <cellStyle name="Normal 4 3 2 9" xfId="9071" xr:uid="{00000000-0005-0000-0000-00006D630000}"/>
    <cellStyle name="Normal 4 3 2 9 2" xfId="29123" xr:uid="{00000000-0005-0000-0000-00006E630000}"/>
    <cellStyle name="Normal 4 3 3" xfId="64" xr:uid="{00000000-0005-0000-0000-00006F630000}"/>
    <cellStyle name="Normal 4 3 3 10" xfId="20116" xr:uid="{00000000-0005-0000-0000-000070630000}"/>
    <cellStyle name="Normal 4 3 3 2" xfId="250" xr:uid="{00000000-0005-0000-0000-000071630000}"/>
    <cellStyle name="Normal 4 3 3 2 2" xfId="995" xr:uid="{00000000-0005-0000-0000-000072630000}"/>
    <cellStyle name="Normal 4 3 3 2 2 2" xfId="2489" xr:uid="{00000000-0005-0000-0000-000073630000}"/>
    <cellStyle name="Normal 4 3 3 2 2 2 2" xfId="6971" xr:uid="{00000000-0005-0000-0000-000074630000}"/>
    <cellStyle name="Normal 4 3 3 2 2 2 2 2" xfId="16001" xr:uid="{00000000-0005-0000-0000-000075630000}"/>
    <cellStyle name="Normal 4 3 3 2 2 2 2 2 2" xfId="36053" xr:uid="{00000000-0005-0000-0000-000076630000}"/>
    <cellStyle name="Normal 4 3 3 2 2 2 2 3" xfId="27023" xr:uid="{00000000-0005-0000-0000-000077630000}"/>
    <cellStyle name="Normal 4 3 3 2 2 2 3" xfId="11519" xr:uid="{00000000-0005-0000-0000-000078630000}"/>
    <cellStyle name="Normal 4 3 3 2 2 2 3 2" xfId="31571" xr:uid="{00000000-0005-0000-0000-000079630000}"/>
    <cellStyle name="Normal 4 3 3 2 2 2 4" xfId="22541" xr:uid="{00000000-0005-0000-0000-00007A630000}"/>
    <cellStyle name="Normal 4 3 3 2 2 3" xfId="3983" xr:uid="{00000000-0005-0000-0000-00007B630000}"/>
    <cellStyle name="Normal 4 3 3 2 2 3 2" xfId="8465" xr:uid="{00000000-0005-0000-0000-00007C630000}"/>
    <cellStyle name="Normal 4 3 3 2 2 3 2 2" xfId="17495" xr:uid="{00000000-0005-0000-0000-00007D630000}"/>
    <cellStyle name="Normal 4 3 3 2 2 3 2 2 2" xfId="37547" xr:uid="{00000000-0005-0000-0000-00007E630000}"/>
    <cellStyle name="Normal 4 3 3 2 2 3 2 3" xfId="28517" xr:uid="{00000000-0005-0000-0000-00007F630000}"/>
    <cellStyle name="Normal 4 3 3 2 2 3 3" xfId="13013" xr:uid="{00000000-0005-0000-0000-000080630000}"/>
    <cellStyle name="Normal 4 3 3 2 2 3 3 2" xfId="33065" xr:uid="{00000000-0005-0000-0000-000081630000}"/>
    <cellStyle name="Normal 4 3 3 2 2 3 4" xfId="24035" xr:uid="{00000000-0005-0000-0000-000082630000}"/>
    <cellStyle name="Normal 4 3 3 2 2 4" xfId="5477" xr:uid="{00000000-0005-0000-0000-000083630000}"/>
    <cellStyle name="Normal 4 3 3 2 2 4 2" xfId="14507" xr:uid="{00000000-0005-0000-0000-000084630000}"/>
    <cellStyle name="Normal 4 3 3 2 2 4 2 2" xfId="34559" xr:uid="{00000000-0005-0000-0000-000085630000}"/>
    <cellStyle name="Normal 4 3 3 2 2 4 3" xfId="25529" xr:uid="{00000000-0005-0000-0000-000086630000}"/>
    <cellStyle name="Normal 4 3 3 2 2 5" xfId="10025" xr:uid="{00000000-0005-0000-0000-000087630000}"/>
    <cellStyle name="Normal 4 3 3 2 2 5 2" xfId="30077" xr:uid="{00000000-0005-0000-0000-000088630000}"/>
    <cellStyle name="Normal 4 3 3 2 2 6" xfId="21047" xr:uid="{00000000-0005-0000-0000-000089630000}"/>
    <cellStyle name="Normal 4 3 3 2 3" xfId="1744" xr:uid="{00000000-0005-0000-0000-00008A630000}"/>
    <cellStyle name="Normal 4 3 3 2 3 2" xfId="6226" xr:uid="{00000000-0005-0000-0000-00008B630000}"/>
    <cellStyle name="Normal 4 3 3 2 3 2 2" xfId="15256" xr:uid="{00000000-0005-0000-0000-00008C630000}"/>
    <cellStyle name="Normal 4 3 3 2 3 2 2 2" xfId="35308" xr:uid="{00000000-0005-0000-0000-00008D630000}"/>
    <cellStyle name="Normal 4 3 3 2 3 2 3" xfId="26278" xr:uid="{00000000-0005-0000-0000-00008E630000}"/>
    <cellStyle name="Normal 4 3 3 2 3 3" xfId="10774" xr:uid="{00000000-0005-0000-0000-00008F630000}"/>
    <cellStyle name="Normal 4 3 3 2 3 3 2" xfId="30826" xr:uid="{00000000-0005-0000-0000-000090630000}"/>
    <cellStyle name="Normal 4 3 3 2 3 4" xfId="21796" xr:uid="{00000000-0005-0000-0000-000091630000}"/>
    <cellStyle name="Normal 4 3 3 2 4" xfId="3238" xr:uid="{00000000-0005-0000-0000-000092630000}"/>
    <cellStyle name="Normal 4 3 3 2 4 2" xfId="7720" xr:uid="{00000000-0005-0000-0000-000093630000}"/>
    <cellStyle name="Normal 4 3 3 2 4 2 2" xfId="16750" xr:uid="{00000000-0005-0000-0000-000094630000}"/>
    <cellStyle name="Normal 4 3 3 2 4 2 2 2" xfId="36802" xr:uid="{00000000-0005-0000-0000-000095630000}"/>
    <cellStyle name="Normal 4 3 3 2 4 2 3" xfId="27772" xr:uid="{00000000-0005-0000-0000-000096630000}"/>
    <cellStyle name="Normal 4 3 3 2 4 3" xfId="12268" xr:uid="{00000000-0005-0000-0000-000097630000}"/>
    <cellStyle name="Normal 4 3 3 2 4 3 2" xfId="32320" xr:uid="{00000000-0005-0000-0000-000098630000}"/>
    <cellStyle name="Normal 4 3 3 2 4 4" xfId="23290" xr:uid="{00000000-0005-0000-0000-000099630000}"/>
    <cellStyle name="Normal 4 3 3 2 5" xfId="4732" xr:uid="{00000000-0005-0000-0000-00009A630000}"/>
    <cellStyle name="Normal 4 3 3 2 5 2" xfId="13762" xr:uid="{00000000-0005-0000-0000-00009B630000}"/>
    <cellStyle name="Normal 4 3 3 2 5 2 2" xfId="33814" xr:uid="{00000000-0005-0000-0000-00009C630000}"/>
    <cellStyle name="Normal 4 3 3 2 5 3" xfId="24784" xr:uid="{00000000-0005-0000-0000-00009D630000}"/>
    <cellStyle name="Normal 4 3 3 2 6" xfId="9280" xr:uid="{00000000-0005-0000-0000-00009E630000}"/>
    <cellStyle name="Normal 4 3 3 2 6 2" xfId="29332" xr:uid="{00000000-0005-0000-0000-00009F630000}"/>
    <cellStyle name="Normal 4 3 3 2 7" xfId="20302" xr:uid="{00000000-0005-0000-0000-0000A0630000}"/>
    <cellStyle name="Normal 4 3 3 3" xfId="436" xr:uid="{00000000-0005-0000-0000-0000A1630000}"/>
    <cellStyle name="Normal 4 3 3 3 2" xfId="1183" xr:uid="{00000000-0005-0000-0000-0000A2630000}"/>
    <cellStyle name="Normal 4 3 3 3 2 2" xfId="2677" xr:uid="{00000000-0005-0000-0000-0000A3630000}"/>
    <cellStyle name="Normal 4 3 3 3 2 2 2" xfId="7159" xr:uid="{00000000-0005-0000-0000-0000A4630000}"/>
    <cellStyle name="Normal 4 3 3 3 2 2 2 2" xfId="16189" xr:uid="{00000000-0005-0000-0000-0000A5630000}"/>
    <cellStyle name="Normal 4 3 3 3 2 2 2 2 2" xfId="36241" xr:uid="{00000000-0005-0000-0000-0000A6630000}"/>
    <cellStyle name="Normal 4 3 3 3 2 2 2 3" xfId="27211" xr:uid="{00000000-0005-0000-0000-0000A7630000}"/>
    <cellStyle name="Normal 4 3 3 3 2 2 3" xfId="11707" xr:uid="{00000000-0005-0000-0000-0000A8630000}"/>
    <cellStyle name="Normal 4 3 3 3 2 2 3 2" xfId="31759" xr:uid="{00000000-0005-0000-0000-0000A9630000}"/>
    <cellStyle name="Normal 4 3 3 3 2 2 4" xfId="22729" xr:uid="{00000000-0005-0000-0000-0000AA630000}"/>
    <cellStyle name="Normal 4 3 3 3 2 3" xfId="4171" xr:uid="{00000000-0005-0000-0000-0000AB630000}"/>
    <cellStyle name="Normal 4 3 3 3 2 3 2" xfId="8653" xr:uid="{00000000-0005-0000-0000-0000AC630000}"/>
    <cellStyle name="Normal 4 3 3 3 2 3 2 2" xfId="17683" xr:uid="{00000000-0005-0000-0000-0000AD630000}"/>
    <cellStyle name="Normal 4 3 3 3 2 3 2 2 2" xfId="37735" xr:uid="{00000000-0005-0000-0000-0000AE630000}"/>
    <cellStyle name="Normal 4 3 3 3 2 3 2 3" xfId="28705" xr:uid="{00000000-0005-0000-0000-0000AF630000}"/>
    <cellStyle name="Normal 4 3 3 3 2 3 3" xfId="13201" xr:uid="{00000000-0005-0000-0000-0000B0630000}"/>
    <cellStyle name="Normal 4 3 3 3 2 3 3 2" xfId="33253" xr:uid="{00000000-0005-0000-0000-0000B1630000}"/>
    <cellStyle name="Normal 4 3 3 3 2 3 4" xfId="24223" xr:uid="{00000000-0005-0000-0000-0000B2630000}"/>
    <cellStyle name="Normal 4 3 3 3 2 4" xfId="5665" xr:uid="{00000000-0005-0000-0000-0000B3630000}"/>
    <cellStyle name="Normal 4 3 3 3 2 4 2" xfId="14695" xr:uid="{00000000-0005-0000-0000-0000B4630000}"/>
    <cellStyle name="Normal 4 3 3 3 2 4 2 2" xfId="34747" xr:uid="{00000000-0005-0000-0000-0000B5630000}"/>
    <cellStyle name="Normal 4 3 3 3 2 4 3" xfId="25717" xr:uid="{00000000-0005-0000-0000-0000B6630000}"/>
    <cellStyle name="Normal 4 3 3 3 2 5" xfId="10213" xr:uid="{00000000-0005-0000-0000-0000B7630000}"/>
    <cellStyle name="Normal 4 3 3 3 2 5 2" xfId="30265" xr:uid="{00000000-0005-0000-0000-0000B8630000}"/>
    <cellStyle name="Normal 4 3 3 3 2 6" xfId="21235" xr:uid="{00000000-0005-0000-0000-0000B9630000}"/>
    <cellStyle name="Normal 4 3 3 3 3" xfId="1930" xr:uid="{00000000-0005-0000-0000-0000BA630000}"/>
    <cellStyle name="Normal 4 3 3 3 3 2" xfId="6412" xr:uid="{00000000-0005-0000-0000-0000BB630000}"/>
    <cellStyle name="Normal 4 3 3 3 3 2 2" xfId="15442" xr:uid="{00000000-0005-0000-0000-0000BC630000}"/>
    <cellStyle name="Normal 4 3 3 3 3 2 2 2" xfId="35494" xr:uid="{00000000-0005-0000-0000-0000BD630000}"/>
    <cellStyle name="Normal 4 3 3 3 3 2 3" xfId="26464" xr:uid="{00000000-0005-0000-0000-0000BE630000}"/>
    <cellStyle name="Normal 4 3 3 3 3 3" xfId="10960" xr:uid="{00000000-0005-0000-0000-0000BF630000}"/>
    <cellStyle name="Normal 4 3 3 3 3 3 2" xfId="31012" xr:uid="{00000000-0005-0000-0000-0000C0630000}"/>
    <cellStyle name="Normal 4 3 3 3 3 4" xfId="21982" xr:uid="{00000000-0005-0000-0000-0000C1630000}"/>
    <cellStyle name="Normal 4 3 3 3 4" xfId="3424" xr:uid="{00000000-0005-0000-0000-0000C2630000}"/>
    <cellStyle name="Normal 4 3 3 3 4 2" xfId="7906" xr:uid="{00000000-0005-0000-0000-0000C3630000}"/>
    <cellStyle name="Normal 4 3 3 3 4 2 2" xfId="16936" xr:uid="{00000000-0005-0000-0000-0000C4630000}"/>
    <cellStyle name="Normal 4 3 3 3 4 2 2 2" xfId="36988" xr:uid="{00000000-0005-0000-0000-0000C5630000}"/>
    <cellStyle name="Normal 4 3 3 3 4 2 3" xfId="27958" xr:uid="{00000000-0005-0000-0000-0000C6630000}"/>
    <cellStyle name="Normal 4 3 3 3 4 3" xfId="12454" xr:uid="{00000000-0005-0000-0000-0000C7630000}"/>
    <cellStyle name="Normal 4 3 3 3 4 3 2" xfId="32506" xr:uid="{00000000-0005-0000-0000-0000C8630000}"/>
    <cellStyle name="Normal 4 3 3 3 4 4" xfId="23476" xr:uid="{00000000-0005-0000-0000-0000C9630000}"/>
    <cellStyle name="Normal 4 3 3 3 5" xfId="4918" xr:uid="{00000000-0005-0000-0000-0000CA630000}"/>
    <cellStyle name="Normal 4 3 3 3 5 2" xfId="13948" xr:uid="{00000000-0005-0000-0000-0000CB630000}"/>
    <cellStyle name="Normal 4 3 3 3 5 2 2" xfId="34000" xr:uid="{00000000-0005-0000-0000-0000CC630000}"/>
    <cellStyle name="Normal 4 3 3 3 5 3" xfId="24970" xr:uid="{00000000-0005-0000-0000-0000CD630000}"/>
    <cellStyle name="Normal 4 3 3 3 6" xfId="9466" xr:uid="{00000000-0005-0000-0000-0000CE630000}"/>
    <cellStyle name="Normal 4 3 3 3 6 2" xfId="29518" xr:uid="{00000000-0005-0000-0000-0000CF630000}"/>
    <cellStyle name="Normal 4 3 3 3 7" xfId="20488" xr:uid="{00000000-0005-0000-0000-0000D0630000}"/>
    <cellStyle name="Normal 4 3 3 4" xfId="622" xr:uid="{00000000-0005-0000-0000-0000D1630000}"/>
    <cellStyle name="Normal 4 3 3 4 2" xfId="1369" xr:uid="{00000000-0005-0000-0000-0000D2630000}"/>
    <cellStyle name="Normal 4 3 3 4 2 2" xfId="2863" xr:uid="{00000000-0005-0000-0000-0000D3630000}"/>
    <cellStyle name="Normal 4 3 3 4 2 2 2" xfId="7345" xr:uid="{00000000-0005-0000-0000-0000D4630000}"/>
    <cellStyle name="Normal 4 3 3 4 2 2 2 2" xfId="16375" xr:uid="{00000000-0005-0000-0000-0000D5630000}"/>
    <cellStyle name="Normal 4 3 3 4 2 2 2 2 2" xfId="36427" xr:uid="{00000000-0005-0000-0000-0000D6630000}"/>
    <cellStyle name="Normal 4 3 3 4 2 2 2 3" xfId="27397" xr:uid="{00000000-0005-0000-0000-0000D7630000}"/>
    <cellStyle name="Normal 4 3 3 4 2 2 3" xfId="11893" xr:uid="{00000000-0005-0000-0000-0000D8630000}"/>
    <cellStyle name="Normal 4 3 3 4 2 2 3 2" xfId="31945" xr:uid="{00000000-0005-0000-0000-0000D9630000}"/>
    <cellStyle name="Normal 4 3 3 4 2 2 4" xfId="22915" xr:uid="{00000000-0005-0000-0000-0000DA630000}"/>
    <cellStyle name="Normal 4 3 3 4 2 3" xfId="4357" xr:uid="{00000000-0005-0000-0000-0000DB630000}"/>
    <cellStyle name="Normal 4 3 3 4 2 3 2" xfId="8839" xr:uid="{00000000-0005-0000-0000-0000DC630000}"/>
    <cellStyle name="Normal 4 3 3 4 2 3 2 2" xfId="17869" xr:uid="{00000000-0005-0000-0000-0000DD630000}"/>
    <cellStyle name="Normal 4 3 3 4 2 3 2 2 2" xfId="37921" xr:uid="{00000000-0005-0000-0000-0000DE630000}"/>
    <cellStyle name="Normal 4 3 3 4 2 3 2 3" xfId="28891" xr:uid="{00000000-0005-0000-0000-0000DF630000}"/>
    <cellStyle name="Normal 4 3 3 4 2 3 3" xfId="13387" xr:uid="{00000000-0005-0000-0000-0000E0630000}"/>
    <cellStyle name="Normal 4 3 3 4 2 3 3 2" xfId="33439" xr:uid="{00000000-0005-0000-0000-0000E1630000}"/>
    <cellStyle name="Normal 4 3 3 4 2 3 4" xfId="24409" xr:uid="{00000000-0005-0000-0000-0000E2630000}"/>
    <cellStyle name="Normal 4 3 3 4 2 4" xfId="5851" xr:uid="{00000000-0005-0000-0000-0000E3630000}"/>
    <cellStyle name="Normal 4 3 3 4 2 4 2" xfId="14881" xr:uid="{00000000-0005-0000-0000-0000E4630000}"/>
    <cellStyle name="Normal 4 3 3 4 2 4 2 2" xfId="34933" xr:uid="{00000000-0005-0000-0000-0000E5630000}"/>
    <cellStyle name="Normal 4 3 3 4 2 4 3" xfId="25903" xr:uid="{00000000-0005-0000-0000-0000E6630000}"/>
    <cellStyle name="Normal 4 3 3 4 2 5" xfId="10399" xr:uid="{00000000-0005-0000-0000-0000E7630000}"/>
    <cellStyle name="Normal 4 3 3 4 2 5 2" xfId="30451" xr:uid="{00000000-0005-0000-0000-0000E8630000}"/>
    <cellStyle name="Normal 4 3 3 4 2 6" xfId="21421" xr:uid="{00000000-0005-0000-0000-0000E9630000}"/>
    <cellStyle name="Normal 4 3 3 4 3" xfId="2116" xr:uid="{00000000-0005-0000-0000-0000EA630000}"/>
    <cellStyle name="Normal 4 3 3 4 3 2" xfId="6598" xr:uid="{00000000-0005-0000-0000-0000EB630000}"/>
    <cellStyle name="Normal 4 3 3 4 3 2 2" xfId="15628" xr:uid="{00000000-0005-0000-0000-0000EC630000}"/>
    <cellStyle name="Normal 4 3 3 4 3 2 2 2" xfId="35680" xr:uid="{00000000-0005-0000-0000-0000ED630000}"/>
    <cellStyle name="Normal 4 3 3 4 3 2 3" xfId="26650" xr:uid="{00000000-0005-0000-0000-0000EE630000}"/>
    <cellStyle name="Normal 4 3 3 4 3 3" xfId="11146" xr:uid="{00000000-0005-0000-0000-0000EF630000}"/>
    <cellStyle name="Normal 4 3 3 4 3 3 2" xfId="31198" xr:uid="{00000000-0005-0000-0000-0000F0630000}"/>
    <cellStyle name="Normal 4 3 3 4 3 4" xfId="22168" xr:uid="{00000000-0005-0000-0000-0000F1630000}"/>
    <cellStyle name="Normal 4 3 3 4 4" xfId="3610" xr:uid="{00000000-0005-0000-0000-0000F2630000}"/>
    <cellStyle name="Normal 4 3 3 4 4 2" xfId="8092" xr:uid="{00000000-0005-0000-0000-0000F3630000}"/>
    <cellStyle name="Normal 4 3 3 4 4 2 2" xfId="17122" xr:uid="{00000000-0005-0000-0000-0000F4630000}"/>
    <cellStyle name="Normal 4 3 3 4 4 2 2 2" xfId="37174" xr:uid="{00000000-0005-0000-0000-0000F5630000}"/>
    <cellStyle name="Normal 4 3 3 4 4 2 3" xfId="28144" xr:uid="{00000000-0005-0000-0000-0000F6630000}"/>
    <cellStyle name="Normal 4 3 3 4 4 3" xfId="12640" xr:uid="{00000000-0005-0000-0000-0000F7630000}"/>
    <cellStyle name="Normal 4 3 3 4 4 3 2" xfId="32692" xr:uid="{00000000-0005-0000-0000-0000F8630000}"/>
    <cellStyle name="Normal 4 3 3 4 4 4" xfId="23662" xr:uid="{00000000-0005-0000-0000-0000F9630000}"/>
    <cellStyle name="Normal 4 3 3 4 5" xfId="5104" xr:uid="{00000000-0005-0000-0000-0000FA630000}"/>
    <cellStyle name="Normal 4 3 3 4 5 2" xfId="14134" xr:uid="{00000000-0005-0000-0000-0000FB630000}"/>
    <cellStyle name="Normal 4 3 3 4 5 2 2" xfId="34186" xr:uid="{00000000-0005-0000-0000-0000FC630000}"/>
    <cellStyle name="Normal 4 3 3 4 5 3" xfId="25156" xr:uid="{00000000-0005-0000-0000-0000FD630000}"/>
    <cellStyle name="Normal 4 3 3 4 6" xfId="9652" xr:uid="{00000000-0005-0000-0000-0000FE630000}"/>
    <cellStyle name="Normal 4 3 3 4 6 2" xfId="29704" xr:uid="{00000000-0005-0000-0000-0000FF630000}"/>
    <cellStyle name="Normal 4 3 3 4 7" xfId="20674" xr:uid="{00000000-0005-0000-0000-000000640000}"/>
    <cellStyle name="Normal 4 3 3 5" xfId="809" xr:uid="{00000000-0005-0000-0000-000001640000}"/>
    <cellStyle name="Normal 4 3 3 5 2" xfId="2303" xr:uid="{00000000-0005-0000-0000-000002640000}"/>
    <cellStyle name="Normal 4 3 3 5 2 2" xfId="6785" xr:uid="{00000000-0005-0000-0000-000003640000}"/>
    <cellStyle name="Normal 4 3 3 5 2 2 2" xfId="15815" xr:uid="{00000000-0005-0000-0000-000004640000}"/>
    <cellStyle name="Normal 4 3 3 5 2 2 2 2" xfId="35867" xr:uid="{00000000-0005-0000-0000-000005640000}"/>
    <cellStyle name="Normal 4 3 3 5 2 2 3" xfId="26837" xr:uid="{00000000-0005-0000-0000-000006640000}"/>
    <cellStyle name="Normal 4 3 3 5 2 3" xfId="11333" xr:uid="{00000000-0005-0000-0000-000007640000}"/>
    <cellStyle name="Normal 4 3 3 5 2 3 2" xfId="31385" xr:uid="{00000000-0005-0000-0000-000008640000}"/>
    <cellStyle name="Normal 4 3 3 5 2 4" xfId="22355" xr:uid="{00000000-0005-0000-0000-000009640000}"/>
    <cellStyle name="Normal 4 3 3 5 3" xfId="3797" xr:uid="{00000000-0005-0000-0000-00000A640000}"/>
    <cellStyle name="Normal 4 3 3 5 3 2" xfId="8279" xr:uid="{00000000-0005-0000-0000-00000B640000}"/>
    <cellStyle name="Normal 4 3 3 5 3 2 2" xfId="17309" xr:uid="{00000000-0005-0000-0000-00000C640000}"/>
    <cellStyle name="Normal 4 3 3 5 3 2 2 2" xfId="37361" xr:uid="{00000000-0005-0000-0000-00000D640000}"/>
    <cellStyle name="Normal 4 3 3 5 3 2 3" xfId="28331" xr:uid="{00000000-0005-0000-0000-00000E640000}"/>
    <cellStyle name="Normal 4 3 3 5 3 3" xfId="12827" xr:uid="{00000000-0005-0000-0000-00000F640000}"/>
    <cellStyle name="Normal 4 3 3 5 3 3 2" xfId="32879" xr:uid="{00000000-0005-0000-0000-000010640000}"/>
    <cellStyle name="Normal 4 3 3 5 3 4" xfId="23849" xr:uid="{00000000-0005-0000-0000-000011640000}"/>
    <cellStyle name="Normal 4 3 3 5 4" xfId="5291" xr:uid="{00000000-0005-0000-0000-000012640000}"/>
    <cellStyle name="Normal 4 3 3 5 4 2" xfId="14321" xr:uid="{00000000-0005-0000-0000-000013640000}"/>
    <cellStyle name="Normal 4 3 3 5 4 2 2" xfId="34373" xr:uid="{00000000-0005-0000-0000-000014640000}"/>
    <cellStyle name="Normal 4 3 3 5 4 3" xfId="25343" xr:uid="{00000000-0005-0000-0000-000015640000}"/>
    <cellStyle name="Normal 4 3 3 5 5" xfId="9839" xr:uid="{00000000-0005-0000-0000-000016640000}"/>
    <cellStyle name="Normal 4 3 3 5 5 2" xfId="29891" xr:uid="{00000000-0005-0000-0000-000017640000}"/>
    <cellStyle name="Normal 4 3 3 5 6" xfId="20861" xr:uid="{00000000-0005-0000-0000-000018640000}"/>
    <cellStyle name="Normal 4 3 3 6" xfId="1558" xr:uid="{00000000-0005-0000-0000-000019640000}"/>
    <cellStyle name="Normal 4 3 3 6 2" xfId="6040" xr:uid="{00000000-0005-0000-0000-00001A640000}"/>
    <cellStyle name="Normal 4 3 3 6 2 2" xfId="15070" xr:uid="{00000000-0005-0000-0000-00001B640000}"/>
    <cellStyle name="Normal 4 3 3 6 2 2 2" xfId="35122" xr:uid="{00000000-0005-0000-0000-00001C640000}"/>
    <cellStyle name="Normal 4 3 3 6 2 3" xfId="26092" xr:uid="{00000000-0005-0000-0000-00001D640000}"/>
    <cellStyle name="Normal 4 3 3 6 3" xfId="10588" xr:uid="{00000000-0005-0000-0000-00001E640000}"/>
    <cellStyle name="Normal 4 3 3 6 3 2" xfId="30640" xr:uid="{00000000-0005-0000-0000-00001F640000}"/>
    <cellStyle name="Normal 4 3 3 6 4" xfId="21610" xr:uid="{00000000-0005-0000-0000-000020640000}"/>
    <cellStyle name="Normal 4 3 3 7" xfId="3052" xr:uid="{00000000-0005-0000-0000-000021640000}"/>
    <cellStyle name="Normal 4 3 3 7 2" xfId="7534" xr:uid="{00000000-0005-0000-0000-000022640000}"/>
    <cellStyle name="Normal 4 3 3 7 2 2" xfId="16564" xr:uid="{00000000-0005-0000-0000-000023640000}"/>
    <cellStyle name="Normal 4 3 3 7 2 2 2" xfId="36616" xr:uid="{00000000-0005-0000-0000-000024640000}"/>
    <cellStyle name="Normal 4 3 3 7 2 3" xfId="27586" xr:uid="{00000000-0005-0000-0000-000025640000}"/>
    <cellStyle name="Normal 4 3 3 7 3" xfId="12082" xr:uid="{00000000-0005-0000-0000-000026640000}"/>
    <cellStyle name="Normal 4 3 3 7 3 2" xfId="32134" xr:uid="{00000000-0005-0000-0000-000027640000}"/>
    <cellStyle name="Normal 4 3 3 7 4" xfId="23104" xr:uid="{00000000-0005-0000-0000-000028640000}"/>
    <cellStyle name="Normal 4 3 3 8" xfId="4546" xr:uid="{00000000-0005-0000-0000-000029640000}"/>
    <cellStyle name="Normal 4 3 3 8 2" xfId="13576" xr:uid="{00000000-0005-0000-0000-00002A640000}"/>
    <cellStyle name="Normal 4 3 3 8 2 2" xfId="33628" xr:uid="{00000000-0005-0000-0000-00002B640000}"/>
    <cellStyle name="Normal 4 3 3 8 3" xfId="24598" xr:uid="{00000000-0005-0000-0000-00002C640000}"/>
    <cellStyle name="Normal 4 3 3 9" xfId="9094" xr:uid="{00000000-0005-0000-0000-00002D640000}"/>
    <cellStyle name="Normal 4 3 3 9 2" xfId="29146" xr:uid="{00000000-0005-0000-0000-00002E640000}"/>
    <cellStyle name="Normal 4 3 4" xfId="88" xr:uid="{00000000-0005-0000-0000-00002F640000}"/>
    <cellStyle name="Normal 4 3 4 10" xfId="20140" xr:uid="{00000000-0005-0000-0000-000030640000}"/>
    <cellStyle name="Normal 4 3 4 2" xfId="274" xr:uid="{00000000-0005-0000-0000-000031640000}"/>
    <cellStyle name="Normal 4 3 4 2 2" xfId="1018" xr:uid="{00000000-0005-0000-0000-000032640000}"/>
    <cellStyle name="Normal 4 3 4 2 2 2" xfId="2512" xr:uid="{00000000-0005-0000-0000-000033640000}"/>
    <cellStyle name="Normal 4 3 4 2 2 2 2" xfId="6994" xr:uid="{00000000-0005-0000-0000-000034640000}"/>
    <cellStyle name="Normal 4 3 4 2 2 2 2 2" xfId="16024" xr:uid="{00000000-0005-0000-0000-000035640000}"/>
    <cellStyle name="Normal 4 3 4 2 2 2 2 2 2" xfId="36076" xr:uid="{00000000-0005-0000-0000-000036640000}"/>
    <cellStyle name="Normal 4 3 4 2 2 2 2 3" xfId="27046" xr:uid="{00000000-0005-0000-0000-000037640000}"/>
    <cellStyle name="Normal 4 3 4 2 2 2 3" xfId="11542" xr:uid="{00000000-0005-0000-0000-000038640000}"/>
    <cellStyle name="Normal 4 3 4 2 2 2 3 2" xfId="31594" xr:uid="{00000000-0005-0000-0000-000039640000}"/>
    <cellStyle name="Normal 4 3 4 2 2 2 4" xfId="22564" xr:uid="{00000000-0005-0000-0000-00003A640000}"/>
    <cellStyle name="Normal 4 3 4 2 2 3" xfId="4006" xr:uid="{00000000-0005-0000-0000-00003B640000}"/>
    <cellStyle name="Normal 4 3 4 2 2 3 2" xfId="8488" xr:uid="{00000000-0005-0000-0000-00003C640000}"/>
    <cellStyle name="Normal 4 3 4 2 2 3 2 2" xfId="17518" xr:uid="{00000000-0005-0000-0000-00003D640000}"/>
    <cellStyle name="Normal 4 3 4 2 2 3 2 2 2" xfId="37570" xr:uid="{00000000-0005-0000-0000-00003E640000}"/>
    <cellStyle name="Normal 4 3 4 2 2 3 2 3" xfId="28540" xr:uid="{00000000-0005-0000-0000-00003F640000}"/>
    <cellStyle name="Normal 4 3 4 2 2 3 3" xfId="13036" xr:uid="{00000000-0005-0000-0000-000040640000}"/>
    <cellStyle name="Normal 4 3 4 2 2 3 3 2" xfId="33088" xr:uid="{00000000-0005-0000-0000-000041640000}"/>
    <cellStyle name="Normal 4 3 4 2 2 3 4" xfId="24058" xr:uid="{00000000-0005-0000-0000-000042640000}"/>
    <cellStyle name="Normal 4 3 4 2 2 4" xfId="5500" xr:uid="{00000000-0005-0000-0000-000043640000}"/>
    <cellStyle name="Normal 4 3 4 2 2 4 2" xfId="14530" xr:uid="{00000000-0005-0000-0000-000044640000}"/>
    <cellStyle name="Normal 4 3 4 2 2 4 2 2" xfId="34582" xr:uid="{00000000-0005-0000-0000-000045640000}"/>
    <cellStyle name="Normal 4 3 4 2 2 4 3" xfId="25552" xr:uid="{00000000-0005-0000-0000-000046640000}"/>
    <cellStyle name="Normal 4 3 4 2 2 5" xfId="10048" xr:uid="{00000000-0005-0000-0000-000047640000}"/>
    <cellStyle name="Normal 4 3 4 2 2 5 2" xfId="30100" xr:uid="{00000000-0005-0000-0000-000048640000}"/>
    <cellStyle name="Normal 4 3 4 2 2 6" xfId="21070" xr:uid="{00000000-0005-0000-0000-000049640000}"/>
    <cellStyle name="Normal 4 3 4 2 3" xfId="1768" xr:uid="{00000000-0005-0000-0000-00004A640000}"/>
    <cellStyle name="Normal 4 3 4 2 3 2" xfId="6250" xr:uid="{00000000-0005-0000-0000-00004B640000}"/>
    <cellStyle name="Normal 4 3 4 2 3 2 2" xfId="15280" xr:uid="{00000000-0005-0000-0000-00004C640000}"/>
    <cellStyle name="Normal 4 3 4 2 3 2 2 2" xfId="35332" xr:uid="{00000000-0005-0000-0000-00004D640000}"/>
    <cellStyle name="Normal 4 3 4 2 3 2 3" xfId="26302" xr:uid="{00000000-0005-0000-0000-00004E640000}"/>
    <cellStyle name="Normal 4 3 4 2 3 3" xfId="10798" xr:uid="{00000000-0005-0000-0000-00004F640000}"/>
    <cellStyle name="Normal 4 3 4 2 3 3 2" xfId="30850" xr:uid="{00000000-0005-0000-0000-000050640000}"/>
    <cellStyle name="Normal 4 3 4 2 3 4" xfId="21820" xr:uid="{00000000-0005-0000-0000-000051640000}"/>
    <cellStyle name="Normal 4 3 4 2 4" xfId="3262" xr:uid="{00000000-0005-0000-0000-000052640000}"/>
    <cellStyle name="Normal 4 3 4 2 4 2" xfId="7744" xr:uid="{00000000-0005-0000-0000-000053640000}"/>
    <cellStyle name="Normal 4 3 4 2 4 2 2" xfId="16774" xr:uid="{00000000-0005-0000-0000-000054640000}"/>
    <cellStyle name="Normal 4 3 4 2 4 2 2 2" xfId="36826" xr:uid="{00000000-0005-0000-0000-000055640000}"/>
    <cellStyle name="Normal 4 3 4 2 4 2 3" xfId="27796" xr:uid="{00000000-0005-0000-0000-000056640000}"/>
    <cellStyle name="Normal 4 3 4 2 4 3" xfId="12292" xr:uid="{00000000-0005-0000-0000-000057640000}"/>
    <cellStyle name="Normal 4 3 4 2 4 3 2" xfId="32344" xr:uid="{00000000-0005-0000-0000-000058640000}"/>
    <cellStyle name="Normal 4 3 4 2 4 4" xfId="23314" xr:uid="{00000000-0005-0000-0000-000059640000}"/>
    <cellStyle name="Normal 4 3 4 2 5" xfId="4756" xr:uid="{00000000-0005-0000-0000-00005A640000}"/>
    <cellStyle name="Normal 4 3 4 2 5 2" xfId="13786" xr:uid="{00000000-0005-0000-0000-00005B640000}"/>
    <cellStyle name="Normal 4 3 4 2 5 2 2" xfId="33838" xr:uid="{00000000-0005-0000-0000-00005C640000}"/>
    <cellStyle name="Normal 4 3 4 2 5 3" xfId="24808" xr:uid="{00000000-0005-0000-0000-00005D640000}"/>
    <cellStyle name="Normal 4 3 4 2 6" xfId="9304" xr:uid="{00000000-0005-0000-0000-00005E640000}"/>
    <cellStyle name="Normal 4 3 4 2 6 2" xfId="29356" xr:uid="{00000000-0005-0000-0000-00005F640000}"/>
    <cellStyle name="Normal 4 3 4 2 7" xfId="20326" xr:uid="{00000000-0005-0000-0000-000060640000}"/>
    <cellStyle name="Normal 4 3 4 3" xfId="460" xr:uid="{00000000-0005-0000-0000-000061640000}"/>
    <cellStyle name="Normal 4 3 4 3 2" xfId="1207" xr:uid="{00000000-0005-0000-0000-000062640000}"/>
    <cellStyle name="Normal 4 3 4 3 2 2" xfId="2701" xr:uid="{00000000-0005-0000-0000-000063640000}"/>
    <cellStyle name="Normal 4 3 4 3 2 2 2" xfId="7183" xr:uid="{00000000-0005-0000-0000-000064640000}"/>
    <cellStyle name="Normal 4 3 4 3 2 2 2 2" xfId="16213" xr:uid="{00000000-0005-0000-0000-000065640000}"/>
    <cellStyle name="Normal 4 3 4 3 2 2 2 2 2" xfId="36265" xr:uid="{00000000-0005-0000-0000-000066640000}"/>
    <cellStyle name="Normal 4 3 4 3 2 2 2 3" xfId="27235" xr:uid="{00000000-0005-0000-0000-000067640000}"/>
    <cellStyle name="Normal 4 3 4 3 2 2 3" xfId="11731" xr:uid="{00000000-0005-0000-0000-000068640000}"/>
    <cellStyle name="Normal 4 3 4 3 2 2 3 2" xfId="31783" xr:uid="{00000000-0005-0000-0000-000069640000}"/>
    <cellStyle name="Normal 4 3 4 3 2 2 4" xfId="22753" xr:uid="{00000000-0005-0000-0000-00006A640000}"/>
    <cellStyle name="Normal 4 3 4 3 2 3" xfId="4195" xr:uid="{00000000-0005-0000-0000-00006B640000}"/>
    <cellStyle name="Normal 4 3 4 3 2 3 2" xfId="8677" xr:uid="{00000000-0005-0000-0000-00006C640000}"/>
    <cellStyle name="Normal 4 3 4 3 2 3 2 2" xfId="17707" xr:uid="{00000000-0005-0000-0000-00006D640000}"/>
    <cellStyle name="Normal 4 3 4 3 2 3 2 2 2" xfId="37759" xr:uid="{00000000-0005-0000-0000-00006E640000}"/>
    <cellStyle name="Normal 4 3 4 3 2 3 2 3" xfId="28729" xr:uid="{00000000-0005-0000-0000-00006F640000}"/>
    <cellStyle name="Normal 4 3 4 3 2 3 3" xfId="13225" xr:uid="{00000000-0005-0000-0000-000070640000}"/>
    <cellStyle name="Normal 4 3 4 3 2 3 3 2" xfId="33277" xr:uid="{00000000-0005-0000-0000-000071640000}"/>
    <cellStyle name="Normal 4 3 4 3 2 3 4" xfId="24247" xr:uid="{00000000-0005-0000-0000-000072640000}"/>
    <cellStyle name="Normal 4 3 4 3 2 4" xfId="5689" xr:uid="{00000000-0005-0000-0000-000073640000}"/>
    <cellStyle name="Normal 4 3 4 3 2 4 2" xfId="14719" xr:uid="{00000000-0005-0000-0000-000074640000}"/>
    <cellStyle name="Normal 4 3 4 3 2 4 2 2" xfId="34771" xr:uid="{00000000-0005-0000-0000-000075640000}"/>
    <cellStyle name="Normal 4 3 4 3 2 4 3" xfId="25741" xr:uid="{00000000-0005-0000-0000-000076640000}"/>
    <cellStyle name="Normal 4 3 4 3 2 5" xfId="10237" xr:uid="{00000000-0005-0000-0000-000077640000}"/>
    <cellStyle name="Normal 4 3 4 3 2 5 2" xfId="30289" xr:uid="{00000000-0005-0000-0000-000078640000}"/>
    <cellStyle name="Normal 4 3 4 3 2 6" xfId="21259" xr:uid="{00000000-0005-0000-0000-000079640000}"/>
    <cellStyle name="Normal 4 3 4 3 3" xfId="1954" xr:uid="{00000000-0005-0000-0000-00007A640000}"/>
    <cellStyle name="Normal 4 3 4 3 3 2" xfId="6436" xr:uid="{00000000-0005-0000-0000-00007B640000}"/>
    <cellStyle name="Normal 4 3 4 3 3 2 2" xfId="15466" xr:uid="{00000000-0005-0000-0000-00007C640000}"/>
    <cellStyle name="Normal 4 3 4 3 3 2 2 2" xfId="35518" xr:uid="{00000000-0005-0000-0000-00007D640000}"/>
    <cellStyle name="Normal 4 3 4 3 3 2 3" xfId="26488" xr:uid="{00000000-0005-0000-0000-00007E640000}"/>
    <cellStyle name="Normal 4 3 4 3 3 3" xfId="10984" xr:uid="{00000000-0005-0000-0000-00007F640000}"/>
    <cellStyle name="Normal 4 3 4 3 3 3 2" xfId="31036" xr:uid="{00000000-0005-0000-0000-000080640000}"/>
    <cellStyle name="Normal 4 3 4 3 3 4" xfId="22006" xr:uid="{00000000-0005-0000-0000-000081640000}"/>
    <cellStyle name="Normal 4 3 4 3 4" xfId="3448" xr:uid="{00000000-0005-0000-0000-000082640000}"/>
    <cellStyle name="Normal 4 3 4 3 4 2" xfId="7930" xr:uid="{00000000-0005-0000-0000-000083640000}"/>
    <cellStyle name="Normal 4 3 4 3 4 2 2" xfId="16960" xr:uid="{00000000-0005-0000-0000-000084640000}"/>
    <cellStyle name="Normal 4 3 4 3 4 2 2 2" xfId="37012" xr:uid="{00000000-0005-0000-0000-000085640000}"/>
    <cellStyle name="Normal 4 3 4 3 4 2 3" xfId="27982" xr:uid="{00000000-0005-0000-0000-000086640000}"/>
    <cellStyle name="Normal 4 3 4 3 4 3" xfId="12478" xr:uid="{00000000-0005-0000-0000-000087640000}"/>
    <cellStyle name="Normal 4 3 4 3 4 3 2" xfId="32530" xr:uid="{00000000-0005-0000-0000-000088640000}"/>
    <cellStyle name="Normal 4 3 4 3 4 4" xfId="23500" xr:uid="{00000000-0005-0000-0000-000089640000}"/>
    <cellStyle name="Normal 4 3 4 3 5" xfId="4942" xr:uid="{00000000-0005-0000-0000-00008A640000}"/>
    <cellStyle name="Normal 4 3 4 3 5 2" xfId="13972" xr:uid="{00000000-0005-0000-0000-00008B640000}"/>
    <cellStyle name="Normal 4 3 4 3 5 2 2" xfId="34024" xr:uid="{00000000-0005-0000-0000-00008C640000}"/>
    <cellStyle name="Normal 4 3 4 3 5 3" xfId="24994" xr:uid="{00000000-0005-0000-0000-00008D640000}"/>
    <cellStyle name="Normal 4 3 4 3 6" xfId="9490" xr:uid="{00000000-0005-0000-0000-00008E640000}"/>
    <cellStyle name="Normal 4 3 4 3 6 2" xfId="29542" xr:uid="{00000000-0005-0000-0000-00008F640000}"/>
    <cellStyle name="Normal 4 3 4 3 7" xfId="20512" xr:uid="{00000000-0005-0000-0000-000090640000}"/>
    <cellStyle name="Normal 4 3 4 4" xfId="646" xr:uid="{00000000-0005-0000-0000-000091640000}"/>
    <cellStyle name="Normal 4 3 4 4 2" xfId="1393" xr:uid="{00000000-0005-0000-0000-000092640000}"/>
    <cellStyle name="Normal 4 3 4 4 2 2" xfId="2887" xr:uid="{00000000-0005-0000-0000-000093640000}"/>
    <cellStyle name="Normal 4 3 4 4 2 2 2" xfId="7369" xr:uid="{00000000-0005-0000-0000-000094640000}"/>
    <cellStyle name="Normal 4 3 4 4 2 2 2 2" xfId="16399" xr:uid="{00000000-0005-0000-0000-000095640000}"/>
    <cellStyle name="Normal 4 3 4 4 2 2 2 2 2" xfId="36451" xr:uid="{00000000-0005-0000-0000-000096640000}"/>
    <cellStyle name="Normal 4 3 4 4 2 2 2 3" xfId="27421" xr:uid="{00000000-0005-0000-0000-000097640000}"/>
    <cellStyle name="Normal 4 3 4 4 2 2 3" xfId="11917" xr:uid="{00000000-0005-0000-0000-000098640000}"/>
    <cellStyle name="Normal 4 3 4 4 2 2 3 2" xfId="31969" xr:uid="{00000000-0005-0000-0000-000099640000}"/>
    <cellStyle name="Normal 4 3 4 4 2 2 4" xfId="22939" xr:uid="{00000000-0005-0000-0000-00009A640000}"/>
    <cellStyle name="Normal 4 3 4 4 2 3" xfId="4381" xr:uid="{00000000-0005-0000-0000-00009B640000}"/>
    <cellStyle name="Normal 4 3 4 4 2 3 2" xfId="8863" xr:uid="{00000000-0005-0000-0000-00009C640000}"/>
    <cellStyle name="Normal 4 3 4 4 2 3 2 2" xfId="17893" xr:uid="{00000000-0005-0000-0000-00009D640000}"/>
    <cellStyle name="Normal 4 3 4 4 2 3 2 2 2" xfId="37945" xr:uid="{00000000-0005-0000-0000-00009E640000}"/>
    <cellStyle name="Normal 4 3 4 4 2 3 2 3" xfId="28915" xr:uid="{00000000-0005-0000-0000-00009F640000}"/>
    <cellStyle name="Normal 4 3 4 4 2 3 3" xfId="13411" xr:uid="{00000000-0005-0000-0000-0000A0640000}"/>
    <cellStyle name="Normal 4 3 4 4 2 3 3 2" xfId="33463" xr:uid="{00000000-0005-0000-0000-0000A1640000}"/>
    <cellStyle name="Normal 4 3 4 4 2 3 4" xfId="24433" xr:uid="{00000000-0005-0000-0000-0000A2640000}"/>
    <cellStyle name="Normal 4 3 4 4 2 4" xfId="5875" xr:uid="{00000000-0005-0000-0000-0000A3640000}"/>
    <cellStyle name="Normal 4 3 4 4 2 4 2" xfId="14905" xr:uid="{00000000-0005-0000-0000-0000A4640000}"/>
    <cellStyle name="Normal 4 3 4 4 2 4 2 2" xfId="34957" xr:uid="{00000000-0005-0000-0000-0000A5640000}"/>
    <cellStyle name="Normal 4 3 4 4 2 4 3" xfId="25927" xr:uid="{00000000-0005-0000-0000-0000A6640000}"/>
    <cellStyle name="Normal 4 3 4 4 2 5" xfId="10423" xr:uid="{00000000-0005-0000-0000-0000A7640000}"/>
    <cellStyle name="Normal 4 3 4 4 2 5 2" xfId="30475" xr:uid="{00000000-0005-0000-0000-0000A8640000}"/>
    <cellStyle name="Normal 4 3 4 4 2 6" xfId="21445" xr:uid="{00000000-0005-0000-0000-0000A9640000}"/>
    <cellStyle name="Normal 4 3 4 4 3" xfId="2140" xr:uid="{00000000-0005-0000-0000-0000AA640000}"/>
    <cellStyle name="Normal 4 3 4 4 3 2" xfId="6622" xr:uid="{00000000-0005-0000-0000-0000AB640000}"/>
    <cellStyle name="Normal 4 3 4 4 3 2 2" xfId="15652" xr:uid="{00000000-0005-0000-0000-0000AC640000}"/>
    <cellStyle name="Normal 4 3 4 4 3 2 2 2" xfId="35704" xr:uid="{00000000-0005-0000-0000-0000AD640000}"/>
    <cellStyle name="Normal 4 3 4 4 3 2 3" xfId="26674" xr:uid="{00000000-0005-0000-0000-0000AE640000}"/>
    <cellStyle name="Normal 4 3 4 4 3 3" xfId="11170" xr:uid="{00000000-0005-0000-0000-0000AF640000}"/>
    <cellStyle name="Normal 4 3 4 4 3 3 2" xfId="31222" xr:uid="{00000000-0005-0000-0000-0000B0640000}"/>
    <cellStyle name="Normal 4 3 4 4 3 4" xfId="22192" xr:uid="{00000000-0005-0000-0000-0000B1640000}"/>
    <cellStyle name="Normal 4 3 4 4 4" xfId="3634" xr:uid="{00000000-0005-0000-0000-0000B2640000}"/>
    <cellStyle name="Normal 4 3 4 4 4 2" xfId="8116" xr:uid="{00000000-0005-0000-0000-0000B3640000}"/>
    <cellStyle name="Normal 4 3 4 4 4 2 2" xfId="17146" xr:uid="{00000000-0005-0000-0000-0000B4640000}"/>
    <cellStyle name="Normal 4 3 4 4 4 2 2 2" xfId="37198" xr:uid="{00000000-0005-0000-0000-0000B5640000}"/>
    <cellStyle name="Normal 4 3 4 4 4 2 3" xfId="28168" xr:uid="{00000000-0005-0000-0000-0000B6640000}"/>
    <cellStyle name="Normal 4 3 4 4 4 3" xfId="12664" xr:uid="{00000000-0005-0000-0000-0000B7640000}"/>
    <cellStyle name="Normal 4 3 4 4 4 3 2" xfId="32716" xr:uid="{00000000-0005-0000-0000-0000B8640000}"/>
    <cellStyle name="Normal 4 3 4 4 4 4" xfId="23686" xr:uid="{00000000-0005-0000-0000-0000B9640000}"/>
    <cellStyle name="Normal 4 3 4 4 5" xfId="5128" xr:uid="{00000000-0005-0000-0000-0000BA640000}"/>
    <cellStyle name="Normal 4 3 4 4 5 2" xfId="14158" xr:uid="{00000000-0005-0000-0000-0000BB640000}"/>
    <cellStyle name="Normal 4 3 4 4 5 2 2" xfId="34210" xr:uid="{00000000-0005-0000-0000-0000BC640000}"/>
    <cellStyle name="Normal 4 3 4 4 5 3" xfId="25180" xr:uid="{00000000-0005-0000-0000-0000BD640000}"/>
    <cellStyle name="Normal 4 3 4 4 6" xfId="9676" xr:uid="{00000000-0005-0000-0000-0000BE640000}"/>
    <cellStyle name="Normal 4 3 4 4 6 2" xfId="29728" xr:uid="{00000000-0005-0000-0000-0000BF640000}"/>
    <cellStyle name="Normal 4 3 4 4 7" xfId="20698" xr:uid="{00000000-0005-0000-0000-0000C0640000}"/>
    <cellStyle name="Normal 4 3 4 5" xfId="833" xr:uid="{00000000-0005-0000-0000-0000C1640000}"/>
    <cellStyle name="Normal 4 3 4 5 2" xfId="2327" xr:uid="{00000000-0005-0000-0000-0000C2640000}"/>
    <cellStyle name="Normal 4 3 4 5 2 2" xfId="6809" xr:uid="{00000000-0005-0000-0000-0000C3640000}"/>
    <cellStyle name="Normal 4 3 4 5 2 2 2" xfId="15839" xr:uid="{00000000-0005-0000-0000-0000C4640000}"/>
    <cellStyle name="Normal 4 3 4 5 2 2 2 2" xfId="35891" xr:uid="{00000000-0005-0000-0000-0000C5640000}"/>
    <cellStyle name="Normal 4 3 4 5 2 2 3" xfId="26861" xr:uid="{00000000-0005-0000-0000-0000C6640000}"/>
    <cellStyle name="Normal 4 3 4 5 2 3" xfId="11357" xr:uid="{00000000-0005-0000-0000-0000C7640000}"/>
    <cellStyle name="Normal 4 3 4 5 2 3 2" xfId="31409" xr:uid="{00000000-0005-0000-0000-0000C8640000}"/>
    <cellStyle name="Normal 4 3 4 5 2 4" xfId="22379" xr:uid="{00000000-0005-0000-0000-0000C9640000}"/>
    <cellStyle name="Normal 4 3 4 5 3" xfId="3821" xr:uid="{00000000-0005-0000-0000-0000CA640000}"/>
    <cellStyle name="Normal 4 3 4 5 3 2" xfId="8303" xr:uid="{00000000-0005-0000-0000-0000CB640000}"/>
    <cellStyle name="Normal 4 3 4 5 3 2 2" xfId="17333" xr:uid="{00000000-0005-0000-0000-0000CC640000}"/>
    <cellStyle name="Normal 4 3 4 5 3 2 2 2" xfId="37385" xr:uid="{00000000-0005-0000-0000-0000CD640000}"/>
    <cellStyle name="Normal 4 3 4 5 3 2 3" xfId="28355" xr:uid="{00000000-0005-0000-0000-0000CE640000}"/>
    <cellStyle name="Normal 4 3 4 5 3 3" xfId="12851" xr:uid="{00000000-0005-0000-0000-0000CF640000}"/>
    <cellStyle name="Normal 4 3 4 5 3 3 2" xfId="32903" xr:uid="{00000000-0005-0000-0000-0000D0640000}"/>
    <cellStyle name="Normal 4 3 4 5 3 4" xfId="23873" xr:uid="{00000000-0005-0000-0000-0000D1640000}"/>
    <cellStyle name="Normal 4 3 4 5 4" xfId="5315" xr:uid="{00000000-0005-0000-0000-0000D2640000}"/>
    <cellStyle name="Normal 4 3 4 5 4 2" xfId="14345" xr:uid="{00000000-0005-0000-0000-0000D3640000}"/>
    <cellStyle name="Normal 4 3 4 5 4 2 2" xfId="34397" xr:uid="{00000000-0005-0000-0000-0000D4640000}"/>
    <cellStyle name="Normal 4 3 4 5 4 3" xfId="25367" xr:uid="{00000000-0005-0000-0000-0000D5640000}"/>
    <cellStyle name="Normal 4 3 4 5 5" xfId="9863" xr:uid="{00000000-0005-0000-0000-0000D6640000}"/>
    <cellStyle name="Normal 4 3 4 5 5 2" xfId="29915" xr:uid="{00000000-0005-0000-0000-0000D7640000}"/>
    <cellStyle name="Normal 4 3 4 5 6" xfId="20885" xr:uid="{00000000-0005-0000-0000-0000D8640000}"/>
    <cellStyle name="Normal 4 3 4 6" xfId="1582" xr:uid="{00000000-0005-0000-0000-0000D9640000}"/>
    <cellStyle name="Normal 4 3 4 6 2" xfId="6064" xr:uid="{00000000-0005-0000-0000-0000DA640000}"/>
    <cellStyle name="Normal 4 3 4 6 2 2" xfId="15094" xr:uid="{00000000-0005-0000-0000-0000DB640000}"/>
    <cellStyle name="Normal 4 3 4 6 2 2 2" xfId="35146" xr:uid="{00000000-0005-0000-0000-0000DC640000}"/>
    <cellStyle name="Normal 4 3 4 6 2 3" xfId="26116" xr:uid="{00000000-0005-0000-0000-0000DD640000}"/>
    <cellStyle name="Normal 4 3 4 6 3" xfId="10612" xr:uid="{00000000-0005-0000-0000-0000DE640000}"/>
    <cellStyle name="Normal 4 3 4 6 3 2" xfId="30664" xr:uid="{00000000-0005-0000-0000-0000DF640000}"/>
    <cellStyle name="Normal 4 3 4 6 4" xfId="21634" xr:uid="{00000000-0005-0000-0000-0000E0640000}"/>
    <cellStyle name="Normal 4 3 4 7" xfId="3076" xr:uid="{00000000-0005-0000-0000-0000E1640000}"/>
    <cellStyle name="Normal 4 3 4 7 2" xfId="7558" xr:uid="{00000000-0005-0000-0000-0000E2640000}"/>
    <cellStyle name="Normal 4 3 4 7 2 2" xfId="16588" xr:uid="{00000000-0005-0000-0000-0000E3640000}"/>
    <cellStyle name="Normal 4 3 4 7 2 2 2" xfId="36640" xr:uid="{00000000-0005-0000-0000-0000E4640000}"/>
    <cellStyle name="Normal 4 3 4 7 2 3" xfId="27610" xr:uid="{00000000-0005-0000-0000-0000E5640000}"/>
    <cellStyle name="Normal 4 3 4 7 3" xfId="12106" xr:uid="{00000000-0005-0000-0000-0000E6640000}"/>
    <cellStyle name="Normal 4 3 4 7 3 2" xfId="32158" xr:uid="{00000000-0005-0000-0000-0000E7640000}"/>
    <cellStyle name="Normal 4 3 4 7 4" xfId="23128" xr:uid="{00000000-0005-0000-0000-0000E8640000}"/>
    <cellStyle name="Normal 4 3 4 8" xfId="4570" xr:uid="{00000000-0005-0000-0000-0000E9640000}"/>
    <cellStyle name="Normal 4 3 4 8 2" xfId="13600" xr:uid="{00000000-0005-0000-0000-0000EA640000}"/>
    <cellStyle name="Normal 4 3 4 8 2 2" xfId="33652" xr:uid="{00000000-0005-0000-0000-0000EB640000}"/>
    <cellStyle name="Normal 4 3 4 8 3" xfId="24622" xr:uid="{00000000-0005-0000-0000-0000EC640000}"/>
    <cellStyle name="Normal 4 3 4 9" xfId="9118" xr:uid="{00000000-0005-0000-0000-0000ED640000}"/>
    <cellStyle name="Normal 4 3 4 9 2" xfId="29170" xr:uid="{00000000-0005-0000-0000-0000EE640000}"/>
    <cellStyle name="Normal 4 3 5" xfId="116" xr:uid="{00000000-0005-0000-0000-0000EF640000}"/>
    <cellStyle name="Normal 4 3 5 10" xfId="20168" xr:uid="{00000000-0005-0000-0000-0000F0640000}"/>
    <cellStyle name="Normal 4 3 5 2" xfId="302" xr:uid="{00000000-0005-0000-0000-0000F1640000}"/>
    <cellStyle name="Normal 4 3 5 2 2" xfId="1045" xr:uid="{00000000-0005-0000-0000-0000F2640000}"/>
    <cellStyle name="Normal 4 3 5 2 2 2" xfId="2539" xr:uid="{00000000-0005-0000-0000-0000F3640000}"/>
    <cellStyle name="Normal 4 3 5 2 2 2 2" xfId="7021" xr:uid="{00000000-0005-0000-0000-0000F4640000}"/>
    <cellStyle name="Normal 4 3 5 2 2 2 2 2" xfId="16051" xr:uid="{00000000-0005-0000-0000-0000F5640000}"/>
    <cellStyle name="Normal 4 3 5 2 2 2 2 2 2" xfId="36103" xr:uid="{00000000-0005-0000-0000-0000F6640000}"/>
    <cellStyle name="Normal 4 3 5 2 2 2 2 3" xfId="27073" xr:uid="{00000000-0005-0000-0000-0000F7640000}"/>
    <cellStyle name="Normal 4 3 5 2 2 2 3" xfId="11569" xr:uid="{00000000-0005-0000-0000-0000F8640000}"/>
    <cellStyle name="Normal 4 3 5 2 2 2 3 2" xfId="31621" xr:uid="{00000000-0005-0000-0000-0000F9640000}"/>
    <cellStyle name="Normal 4 3 5 2 2 2 4" xfId="22591" xr:uid="{00000000-0005-0000-0000-0000FA640000}"/>
    <cellStyle name="Normal 4 3 5 2 2 3" xfId="4033" xr:uid="{00000000-0005-0000-0000-0000FB640000}"/>
    <cellStyle name="Normal 4 3 5 2 2 3 2" xfId="8515" xr:uid="{00000000-0005-0000-0000-0000FC640000}"/>
    <cellStyle name="Normal 4 3 5 2 2 3 2 2" xfId="17545" xr:uid="{00000000-0005-0000-0000-0000FD640000}"/>
    <cellStyle name="Normal 4 3 5 2 2 3 2 2 2" xfId="37597" xr:uid="{00000000-0005-0000-0000-0000FE640000}"/>
    <cellStyle name="Normal 4 3 5 2 2 3 2 3" xfId="28567" xr:uid="{00000000-0005-0000-0000-0000FF640000}"/>
    <cellStyle name="Normal 4 3 5 2 2 3 3" xfId="13063" xr:uid="{00000000-0005-0000-0000-000000650000}"/>
    <cellStyle name="Normal 4 3 5 2 2 3 3 2" xfId="33115" xr:uid="{00000000-0005-0000-0000-000001650000}"/>
    <cellStyle name="Normal 4 3 5 2 2 3 4" xfId="24085" xr:uid="{00000000-0005-0000-0000-000002650000}"/>
    <cellStyle name="Normal 4 3 5 2 2 4" xfId="5527" xr:uid="{00000000-0005-0000-0000-000003650000}"/>
    <cellStyle name="Normal 4 3 5 2 2 4 2" xfId="14557" xr:uid="{00000000-0005-0000-0000-000004650000}"/>
    <cellStyle name="Normal 4 3 5 2 2 4 2 2" xfId="34609" xr:uid="{00000000-0005-0000-0000-000005650000}"/>
    <cellStyle name="Normal 4 3 5 2 2 4 3" xfId="25579" xr:uid="{00000000-0005-0000-0000-000006650000}"/>
    <cellStyle name="Normal 4 3 5 2 2 5" xfId="10075" xr:uid="{00000000-0005-0000-0000-000007650000}"/>
    <cellStyle name="Normal 4 3 5 2 2 5 2" xfId="30127" xr:uid="{00000000-0005-0000-0000-000008650000}"/>
    <cellStyle name="Normal 4 3 5 2 2 6" xfId="21097" xr:uid="{00000000-0005-0000-0000-000009650000}"/>
    <cellStyle name="Normal 4 3 5 2 3" xfId="1796" xr:uid="{00000000-0005-0000-0000-00000A650000}"/>
    <cellStyle name="Normal 4 3 5 2 3 2" xfId="6278" xr:uid="{00000000-0005-0000-0000-00000B650000}"/>
    <cellStyle name="Normal 4 3 5 2 3 2 2" xfId="15308" xr:uid="{00000000-0005-0000-0000-00000C650000}"/>
    <cellStyle name="Normal 4 3 5 2 3 2 2 2" xfId="35360" xr:uid="{00000000-0005-0000-0000-00000D650000}"/>
    <cellStyle name="Normal 4 3 5 2 3 2 3" xfId="26330" xr:uid="{00000000-0005-0000-0000-00000E650000}"/>
    <cellStyle name="Normal 4 3 5 2 3 3" xfId="10826" xr:uid="{00000000-0005-0000-0000-00000F650000}"/>
    <cellStyle name="Normal 4 3 5 2 3 3 2" xfId="30878" xr:uid="{00000000-0005-0000-0000-000010650000}"/>
    <cellStyle name="Normal 4 3 5 2 3 4" xfId="21848" xr:uid="{00000000-0005-0000-0000-000011650000}"/>
    <cellStyle name="Normal 4 3 5 2 4" xfId="3290" xr:uid="{00000000-0005-0000-0000-000012650000}"/>
    <cellStyle name="Normal 4 3 5 2 4 2" xfId="7772" xr:uid="{00000000-0005-0000-0000-000013650000}"/>
    <cellStyle name="Normal 4 3 5 2 4 2 2" xfId="16802" xr:uid="{00000000-0005-0000-0000-000014650000}"/>
    <cellStyle name="Normal 4 3 5 2 4 2 2 2" xfId="36854" xr:uid="{00000000-0005-0000-0000-000015650000}"/>
    <cellStyle name="Normal 4 3 5 2 4 2 3" xfId="27824" xr:uid="{00000000-0005-0000-0000-000016650000}"/>
    <cellStyle name="Normal 4 3 5 2 4 3" xfId="12320" xr:uid="{00000000-0005-0000-0000-000017650000}"/>
    <cellStyle name="Normal 4 3 5 2 4 3 2" xfId="32372" xr:uid="{00000000-0005-0000-0000-000018650000}"/>
    <cellStyle name="Normal 4 3 5 2 4 4" xfId="23342" xr:uid="{00000000-0005-0000-0000-000019650000}"/>
    <cellStyle name="Normal 4 3 5 2 5" xfId="4784" xr:uid="{00000000-0005-0000-0000-00001A650000}"/>
    <cellStyle name="Normal 4 3 5 2 5 2" xfId="13814" xr:uid="{00000000-0005-0000-0000-00001B650000}"/>
    <cellStyle name="Normal 4 3 5 2 5 2 2" xfId="33866" xr:uid="{00000000-0005-0000-0000-00001C650000}"/>
    <cellStyle name="Normal 4 3 5 2 5 3" xfId="24836" xr:uid="{00000000-0005-0000-0000-00001D650000}"/>
    <cellStyle name="Normal 4 3 5 2 6" xfId="9332" xr:uid="{00000000-0005-0000-0000-00001E650000}"/>
    <cellStyle name="Normal 4 3 5 2 6 2" xfId="29384" xr:uid="{00000000-0005-0000-0000-00001F650000}"/>
    <cellStyle name="Normal 4 3 5 2 7" xfId="20354" xr:uid="{00000000-0005-0000-0000-000020650000}"/>
    <cellStyle name="Normal 4 3 5 3" xfId="488" xr:uid="{00000000-0005-0000-0000-000021650000}"/>
    <cellStyle name="Normal 4 3 5 3 2" xfId="1235" xr:uid="{00000000-0005-0000-0000-000022650000}"/>
    <cellStyle name="Normal 4 3 5 3 2 2" xfId="2729" xr:uid="{00000000-0005-0000-0000-000023650000}"/>
    <cellStyle name="Normal 4 3 5 3 2 2 2" xfId="7211" xr:uid="{00000000-0005-0000-0000-000024650000}"/>
    <cellStyle name="Normal 4 3 5 3 2 2 2 2" xfId="16241" xr:uid="{00000000-0005-0000-0000-000025650000}"/>
    <cellStyle name="Normal 4 3 5 3 2 2 2 2 2" xfId="36293" xr:uid="{00000000-0005-0000-0000-000026650000}"/>
    <cellStyle name="Normal 4 3 5 3 2 2 2 3" xfId="27263" xr:uid="{00000000-0005-0000-0000-000027650000}"/>
    <cellStyle name="Normal 4 3 5 3 2 2 3" xfId="11759" xr:uid="{00000000-0005-0000-0000-000028650000}"/>
    <cellStyle name="Normal 4 3 5 3 2 2 3 2" xfId="31811" xr:uid="{00000000-0005-0000-0000-000029650000}"/>
    <cellStyle name="Normal 4 3 5 3 2 2 4" xfId="22781" xr:uid="{00000000-0005-0000-0000-00002A650000}"/>
    <cellStyle name="Normal 4 3 5 3 2 3" xfId="4223" xr:uid="{00000000-0005-0000-0000-00002B650000}"/>
    <cellStyle name="Normal 4 3 5 3 2 3 2" xfId="8705" xr:uid="{00000000-0005-0000-0000-00002C650000}"/>
    <cellStyle name="Normal 4 3 5 3 2 3 2 2" xfId="17735" xr:uid="{00000000-0005-0000-0000-00002D650000}"/>
    <cellStyle name="Normal 4 3 5 3 2 3 2 2 2" xfId="37787" xr:uid="{00000000-0005-0000-0000-00002E650000}"/>
    <cellStyle name="Normal 4 3 5 3 2 3 2 3" xfId="28757" xr:uid="{00000000-0005-0000-0000-00002F650000}"/>
    <cellStyle name="Normal 4 3 5 3 2 3 3" xfId="13253" xr:uid="{00000000-0005-0000-0000-000030650000}"/>
    <cellStyle name="Normal 4 3 5 3 2 3 3 2" xfId="33305" xr:uid="{00000000-0005-0000-0000-000031650000}"/>
    <cellStyle name="Normal 4 3 5 3 2 3 4" xfId="24275" xr:uid="{00000000-0005-0000-0000-000032650000}"/>
    <cellStyle name="Normal 4 3 5 3 2 4" xfId="5717" xr:uid="{00000000-0005-0000-0000-000033650000}"/>
    <cellStyle name="Normal 4 3 5 3 2 4 2" xfId="14747" xr:uid="{00000000-0005-0000-0000-000034650000}"/>
    <cellStyle name="Normal 4 3 5 3 2 4 2 2" xfId="34799" xr:uid="{00000000-0005-0000-0000-000035650000}"/>
    <cellStyle name="Normal 4 3 5 3 2 4 3" xfId="25769" xr:uid="{00000000-0005-0000-0000-000036650000}"/>
    <cellStyle name="Normal 4 3 5 3 2 5" xfId="10265" xr:uid="{00000000-0005-0000-0000-000037650000}"/>
    <cellStyle name="Normal 4 3 5 3 2 5 2" xfId="30317" xr:uid="{00000000-0005-0000-0000-000038650000}"/>
    <cellStyle name="Normal 4 3 5 3 2 6" xfId="21287" xr:uid="{00000000-0005-0000-0000-000039650000}"/>
    <cellStyle name="Normal 4 3 5 3 3" xfId="1982" xr:uid="{00000000-0005-0000-0000-00003A650000}"/>
    <cellStyle name="Normal 4 3 5 3 3 2" xfId="6464" xr:uid="{00000000-0005-0000-0000-00003B650000}"/>
    <cellStyle name="Normal 4 3 5 3 3 2 2" xfId="15494" xr:uid="{00000000-0005-0000-0000-00003C650000}"/>
    <cellStyle name="Normal 4 3 5 3 3 2 2 2" xfId="35546" xr:uid="{00000000-0005-0000-0000-00003D650000}"/>
    <cellStyle name="Normal 4 3 5 3 3 2 3" xfId="26516" xr:uid="{00000000-0005-0000-0000-00003E650000}"/>
    <cellStyle name="Normal 4 3 5 3 3 3" xfId="11012" xr:uid="{00000000-0005-0000-0000-00003F650000}"/>
    <cellStyle name="Normal 4 3 5 3 3 3 2" xfId="31064" xr:uid="{00000000-0005-0000-0000-000040650000}"/>
    <cellStyle name="Normal 4 3 5 3 3 4" xfId="22034" xr:uid="{00000000-0005-0000-0000-000041650000}"/>
    <cellStyle name="Normal 4 3 5 3 4" xfId="3476" xr:uid="{00000000-0005-0000-0000-000042650000}"/>
    <cellStyle name="Normal 4 3 5 3 4 2" xfId="7958" xr:uid="{00000000-0005-0000-0000-000043650000}"/>
    <cellStyle name="Normal 4 3 5 3 4 2 2" xfId="16988" xr:uid="{00000000-0005-0000-0000-000044650000}"/>
    <cellStyle name="Normal 4 3 5 3 4 2 2 2" xfId="37040" xr:uid="{00000000-0005-0000-0000-000045650000}"/>
    <cellStyle name="Normal 4 3 5 3 4 2 3" xfId="28010" xr:uid="{00000000-0005-0000-0000-000046650000}"/>
    <cellStyle name="Normal 4 3 5 3 4 3" xfId="12506" xr:uid="{00000000-0005-0000-0000-000047650000}"/>
    <cellStyle name="Normal 4 3 5 3 4 3 2" xfId="32558" xr:uid="{00000000-0005-0000-0000-000048650000}"/>
    <cellStyle name="Normal 4 3 5 3 4 4" xfId="23528" xr:uid="{00000000-0005-0000-0000-000049650000}"/>
    <cellStyle name="Normal 4 3 5 3 5" xfId="4970" xr:uid="{00000000-0005-0000-0000-00004A650000}"/>
    <cellStyle name="Normal 4 3 5 3 5 2" xfId="14000" xr:uid="{00000000-0005-0000-0000-00004B650000}"/>
    <cellStyle name="Normal 4 3 5 3 5 2 2" xfId="34052" xr:uid="{00000000-0005-0000-0000-00004C650000}"/>
    <cellStyle name="Normal 4 3 5 3 5 3" xfId="25022" xr:uid="{00000000-0005-0000-0000-00004D650000}"/>
    <cellStyle name="Normal 4 3 5 3 6" xfId="9518" xr:uid="{00000000-0005-0000-0000-00004E650000}"/>
    <cellStyle name="Normal 4 3 5 3 6 2" xfId="29570" xr:uid="{00000000-0005-0000-0000-00004F650000}"/>
    <cellStyle name="Normal 4 3 5 3 7" xfId="20540" xr:uid="{00000000-0005-0000-0000-000050650000}"/>
    <cellStyle name="Normal 4 3 5 4" xfId="674" xr:uid="{00000000-0005-0000-0000-000051650000}"/>
    <cellStyle name="Normal 4 3 5 4 2" xfId="1421" xr:uid="{00000000-0005-0000-0000-000052650000}"/>
    <cellStyle name="Normal 4 3 5 4 2 2" xfId="2915" xr:uid="{00000000-0005-0000-0000-000053650000}"/>
    <cellStyle name="Normal 4 3 5 4 2 2 2" xfId="7397" xr:uid="{00000000-0005-0000-0000-000054650000}"/>
    <cellStyle name="Normal 4 3 5 4 2 2 2 2" xfId="16427" xr:uid="{00000000-0005-0000-0000-000055650000}"/>
    <cellStyle name="Normal 4 3 5 4 2 2 2 2 2" xfId="36479" xr:uid="{00000000-0005-0000-0000-000056650000}"/>
    <cellStyle name="Normal 4 3 5 4 2 2 2 3" xfId="27449" xr:uid="{00000000-0005-0000-0000-000057650000}"/>
    <cellStyle name="Normal 4 3 5 4 2 2 3" xfId="11945" xr:uid="{00000000-0005-0000-0000-000058650000}"/>
    <cellStyle name="Normal 4 3 5 4 2 2 3 2" xfId="31997" xr:uid="{00000000-0005-0000-0000-000059650000}"/>
    <cellStyle name="Normal 4 3 5 4 2 2 4" xfId="22967" xr:uid="{00000000-0005-0000-0000-00005A650000}"/>
    <cellStyle name="Normal 4 3 5 4 2 3" xfId="4409" xr:uid="{00000000-0005-0000-0000-00005B650000}"/>
    <cellStyle name="Normal 4 3 5 4 2 3 2" xfId="8891" xr:uid="{00000000-0005-0000-0000-00005C650000}"/>
    <cellStyle name="Normal 4 3 5 4 2 3 2 2" xfId="17921" xr:uid="{00000000-0005-0000-0000-00005D650000}"/>
    <cellStyle name="Normal 4 3 5 4 2 3 2 2 2" xfId="37973" xr:uid="{00000000-0005-0000-0000-00005E650000}"/>
    <cellStyle name="Normal 4 3 5 4 2 3 2 3" xfId="28943" xr:uid="{00000000-0005-0000-0000-00005F650000}"/>
    <cellStyle name="Normal 4 3 5 4 2 3 3" xfId="13439" xr:uid="{00000000-0005-0000-0000-000060650000}"/>
    <cellStyle name="Normal 4 3 5 4 2 3 3 2" xfId="33491" xr:uid="{00000000-0005-0000-0000-000061650000}"/>
    <cellStyle name="Normal 4 3 5 4 2 3 4" xfId="24461" xr:uid="{00000000-0005-0000-0000-000062650000}"/>
    <cellStyle name="Normal 4 3 5 4 2 4" xfId="5903" xr:uid="{00000000-0005-0000-0000-000063650000}"/>
    <cellStyle name="Normal 4 3 5 4 2 4 2" xfId="14933" xr:uid="{00000000-0005-0000-0000-000064650000}"/>
    <cellStyle name="Normal 4 3 5 4 2 4 2 2" xfId="34985" xr:uid="{00000000-0005-0000-0000-000065650000}"/>
    <cellStyle name="Normal 4 3 5 4 2 4 3" xfId="25955" xr:uid="{00000000-0005-0000-0000-000066650000}"/>
    <cellStyle name="Normal 4 3 5 4 2 5" xfId="10451" xr:uid="{00000000-0005-0000-0000-000067650000}"/>
    <cellStyle name="Normal 4 3 5 4 2 5 2" xfId="30503" xr:uid="{00000000-0005-0000-0000-000068650000}"/>
    <cellStyle name="Normal 4 3 5 4 2 6" xfId="21473" xr:uid="{00000000-0005-0000-0000-000069650000}"/>
    <cellStyle name="Normal 4 3 5 4 3" xfId="2168" xr:uid="{00000000-0005-0000-0000-00006A650000}"/>
    <cellStyle name="Normal 4 3 5 4 3 2" xfId="6650" xr:uid="{00000000-0005-0000-0000-00006B650000}"/>
    <cellStyle name="Normal 4 3 5 4 3 2 2" xfId="15680" xr:uid="{00000000-0005-0000-0000-00006C650000}"/>
    <cellStyle name="Normal 4 3 5 4 3 2 2 2" xfId="35732" xr:uid="{00000000-0005-0000-0000-00006D650000}"/>
    <cellStyle name="Normal 4 3 5 4 3 2 3" xfId="26702" xr:uid="{00000000-0005-0000-0000-00006E650000}"/>
    <cellStyle name="Normal 4 3 5 4 3 3" xfId="11198" xr:uid="{00000000-0005-0000-0000-00006F650000}"/>
    <cellStyle name="Normal 4 3 5 4 3 3 2" xfId="31250" xr:uid="{00000000-0005-0000-0000-000070650000}"/>
    <cellStyle name="Normal 4 3 5 4 3 4" xfId="22220" xr:uid="{00000000-0005-0000-0000-000071650000}"/>
    <cellStyle name="Normal 4 3 5 4 4" xfId="3662" xr:uid="{00000000-0005-0000-0000-000072650000}"/>
    <cellStyle name="Normal 4 3 5 4 4 2" xfId="8144" xr:uid="{00000000-0005-0000-0000-000073650000}"/>
    <cellStyle name="Normal 4 3 5 4 4 2 2" xfId="17174" xr:uid="{00000000-0005-0000-0000-000074650000}"/>
    <cellStyle name="Normal 4 3 5 4 4 2 2 2" xfId="37226" xr:uid="{00000000-0005-0000-0000-000075650000}"/>
    <cellStyle name="Normal 4 3 5 4 4 2 3" xfId="28196" xr:uid="{00000000-0005-0000-0000-000076650000}"/>
    <cellStyle name="Normal 4 3 5 4 4 3" xfId="12692" xr:uid="{00000000-0005-0000-0000-000077650000}"/>
    <cellStyle name="Normal 4 3 5 4 4 3 2" xfId="32744" xr:uid="{00000000-0005-0000-0000-000078650000}"/>
    <cellStyle name="Normal 4 3 5 4 4 4" xfId="23714" xr:uid="{00000000-0005-0000-0000-000079650000}"/>
    <cellStyle name="Normal 4 3 5 4 5" xfId="5156" xr:uid="{00000000-0005-0000-0000-00007A650000}"/>
    <cellStyle name="Normal 4 3 5 4 5 2" xfId="14186" xr:uid="{00000000-0005-0000-0000-00007B650000}"/>
    <cellStyle name="Normal 4 3 5 4 5 2 2" xfId="34238" xr:uid="{00000000-0005-0000-0000-00007C650000}"/>
    <cellStyle name="Normal 4 3 5 4 5 3" xfId="25208" xr:uid="{00000000-0005-0000-0000-00007D650000}"/>
    <cellStyle name="Normal 4 3 5 4 6" xfId="9704" xr:uid="{00000000-0005-0000-0000-00007E650000}"/>
    <cellStyle name="Normal 4 3 5 4 6 2" xfId="29756" xr:uid="{00000000-0005-0000-0000-00007F650000}"/>
    <cellStyle name="Normal 4 3 5 4 7" xfId="20726" xr:uid="{00000000-0005-0000-0000-000080650000}"/>
    <cellStyle name="Normal 4 3 5 5" xfId="861" xr:uid="{00000000-0005-0000-0000-000081650000}"/>
    <cellStyle name="Normal 4 3 5 5 2" xfId="2355" xr:uid="{00000000-0005-0000-0000-000082650000}"/>
    <cellStyle name="Normal 4 3 5 5 2 2" xfId="6837" xr:uid="{00000000-0005-0000-0000-000083650000}"/>
    <cellStyle name="Normal 4 3 5 5 2 2 2" xfId="15867" xr:uid="{00000000-0005-0000-0000-000084650000}"/>
    <cellStyle name="Normal 4 3 5 5 2 2 2 2" xfId="35919" xr:uid="{00000000-0005-0000-0000-000085650000}"/>
    <cellStyle name="Normal 4 3 5 5 2 2 3" xfId="26889" xr:uid="{00000000-0005-0000-0000-000086650000}"/>
    <cellStyle name="Normal 4 3 5 5 2 3" xfId="11385" xr:uid="{00000000-0005-0000-0000-000087650000}"/>
    <cellStyle name="Normal 4 3 5 5 2 3 2" xfId="31437" xr:uid="{00000000-0005-0000-0000-000088650000}"/>
    <cellStyle name="Normal 4 3 5 5 2 4" xfId="22407" xr:uid="{00000000-0005-0000-0000-000089650000}"/>
    <cellStyle name="Normal 4 3 5 5 3" xfId="3849" xr:uid="{00000000-0005-0000-0000-00008A650000}"/>
    <cellStyle name="Normal 4 3 5 5 3 2" xfId="8331" xr:uid="{00000000-0005-0000-0000-00008B650000}"/>
    <cellStyle name="Normal 4 3 5 5 3 2 2" xfId="17361" xr:uid="{00000000-0005-0000-0000-00008C650000}"/>
    <cellStyle name="Normal 4 3 5 5 3 2 2 2" xfId="37413" xr:uid="{00000000-0005-0000-0000-00008D650000}"/>
    <cellStyle name="Normal 4 3 5 5 3 2 3" xfId="28383" xr:uid="{00000000-0005-0000-0000-00008E650000}"/>
    <cellStyle name="Normal 4 3 5 5 3 3" xfId="12879" xr:uid="{00000000-0005-0000-0000-00008F650000}"/>
    <cellStyle name="Normal 4 3 5 5 3 3 2" xfId="32931" xr:uid="{00000000-0005-0000-0000-000090650000}"/>
    <cellStyle name="Normal 4 3 5 5 3 4" xfId="23901" xr:uid="{00000000-0005-0000-0000-000091650000}"/>
    <cellStyle name="Normal 4 3 5 5 4" xfId="5343" xr:uid="{00000000-0005-0000-0000-000092650000}"/>
    <cellStyle name="Normal 4 3 5 5 4 2" xfId="14373" xr:uid="{00000000-0005-0000-0000-000093650000}"/>
    <cellStyle name="Normal 4 3 5 5 4 2 2" xfId="34425" xr:uid="{00000000-0005-0000-0000-000094650000}"/>
    <cellStyle name="Normal 4 3 5 5 4 3" xfId="25395" xr:uid="{00000000-0005-0000-0000-000095650000}"/>
    <cellStyle name="Normal 4 3 5 5 5" xfId="9891" xr:uid="{00000000-0005-0000-0000-000096650000}"/>
    <cellStyle name="Normal 4 3 5 5 5 2" xfId="29943" xr:uid="{00000000-0005-0000-0000-000097650000}"/>
    <cellStyle name="Normal 4 3 5 5 6" xfId="20913" xr:uid="{00000000-0005-0000-0000-000098650000}"/>
    <cellStyle name="Normal 4 3 5 6" xfId="1610" xr:uid="{00000000-0005-0000-0000-000099650000}"/>
    <cellStyle name="Normal 4 3 5 6 2" xfId="6092" xr:uid="{00000000-0005-0000-0000-00009A650000}"/>
    <cellStyle name="Normal 4 3 5 6 2 2" xfId="15122" xr:uid="{00000000-0005-0000-0000-00009B650000}"/>
    <cellStyle name="Normal 4 3 5 6 2 2 2" xfId="35174" xr:uid="{00000000-0005-0000-0000-00009C650000}"/>
    <cellStyle name="Normal 4 3 5 6 2 3" xfId="26144" xr:uid="{00000000-0005-0000-0000-00009D650000}"/>
    <cellStyle name="Normal 4 3 5 6 3" xfId="10640" xr:uid="{00000000-0005-0000-0000-00009E650000}"/>
    <cellStyle name="Normal 4 3 5 6 3 2" xfId="30692" xr:uid="{00000000-0005-0000-0000-00009F650000}"/>
    <cellStyle name="Normal 4 3 5 6 4" xfId="21662" xr:uid="{00000000-0005-0000-0000-0000A0650000}"/>
    <cellStyle name="Normal 4 3 5 7" xfId="3104" xr:uid="{00000000-0005-0000-0000-0000A1650000}"/>
    <cellStyle name="Normal 4 3 5 7 2" xfId="7586" xr:uid="{00000000-0005-0000-0000-0000A2650000}"/>
    <cellStyle name="Normal 4 3 5 7 2 2" xfId="16616" xr:uid="{00000000-0005-0000-0000-0000A3650000}"/>
    <cellStyle name="Normal 4 3 5 7 2 2 2" xfId="36668" xr:uid="{00000000-0005-0000-0000-0000A4650000}"/>
    <cellStyle name="Normal 4 3 5 7 2 3" xfId="27638" xr:uid="{00000000-0005-0000-0000-0000A5650000}"/>
    <cellStyle name="Normal 4 3 5 7 3" xfId="12134" xr:uid="{00000000-0005-0000-0000-0000A6650000}"/>
    <cellStyle name="Normal 4 3 5 7 3 2" xfId="32186" xr:uid="{00000000-0005-0000-0000-0000A7650000}"/>
    <cellStyle name="Normal 4 3 5 7 4" xfId="23156" xr:uid="{00000000-0005-0000-0000-0000A8650000}"/>
    <cellStyle name="Normal 4 3 5 8" xfId="4598" xr:uid="{00000000-0005-0000-0000-0000A9650000}"/>
    <cellStyle name="Normal 4 3 5 8 2" xfId="13628" xr:uid="{00000000-0005-0000-0000-0000AA650000}"/>
    <cellStyle name="Normal 4 3 5 8 2 2" xfId="33680" xr:uid="{00000000-0005-0000-0000-0000AB650000}"/>
    <cellStyle name="Normal 4 3 5 8 3" xfId="24650" xr:uid="{00000000-0005-0000-0000-0000AC650000}"/>
    <cellStyle name="Normal 4 3 5 9" xfId="9146" xr:uid="{00000000-0005-0000-0000-0000AD650000}"/>
    <cellStyle name="Normal 4 3 5 9 2" xfId="29198" xr:uid="{00000000-0005-0000-0000-0000AE650000}"/>
    <cellStyle name="Normal 4 3 6" xfId="135" xr:uid="{00000000-0005-0000-0000-0000AF650000}"/>
    <cellStyle name="Normal 4 3 6 10" xfId="20187" xr:uid="{00000000-0005-0000-0000-0000B0650000}"/>
    <cellStyle name="Normal 4 3 6 2" xfId="321" xr:uid="{00000000-0005-0000-0000-0000B1650000}"/>
    <cellStyle name="Normal 4 3 6 2 2" xfId="1064" xr:uid="{00000000-0005-0000-0000-0000B2650000}"/>
    <cellStyle name="Normal 4 3 6 2 2 2" xfId="2558" xr:uid="{00000000-0005-0000-0000-0000B3650000}"/>
    <cellStyle name="Normal 4 3 6 2 2 2 2" xfId="7040" xr:uid="{00000000-0005-0000-0000-0000B4650000}"/>
    <cellStyle name="Normal 4 3 6 2 2 2 2 2" xfId="16070" xr:uid="{00000000-0005-0000-0000-0000B5650000}"/>
    <cellStyle name="Normal 4 3 6 2 2 2 2 2 2" xfId="36122" xr:uid="{00000000-0005-0000-0000-0000B6650000}"/>
    <cellStyle name="Normal 4 3 6 2 2 2 2 3" xfId="27092" xr:uid="{00000000-0005-0000-0000-0000B7650000}"/>
    <cellStyle name="Normal 4 3 6 2 2 2 3" xfId="11588" xr:uid="{00000000-0005-0000-0000-0000B8650000}"/>
    <cellStyle name="Normal 4 3 6 2 2 2 3 2" xfId="31640" xr:uid="{00000000-0005-0000-0000-0000B9650000}"/>
    <cellStyle name="Normal 4 3 6 2 2 2 4" xfId="22610" xr:uid="{00000000-0005-0000-0000-0000BA650000}"/>
    <cellStyle name="Normal 4 3 6 2 2 3" xfId="4052" xr:uid="{00000000-0005-0000-0000-0000BB650000}"/>
    <cellStyle name="Normal 4 3 6 2 2 3 2" xfId="8534" xr:uid="{00000000-0005-0000-0000-0000BC650000}"/>
    <cellStyle name="Normal 4 3 6 2 2 3 2 2" xfId="17564" xr:uid="{00000000-0005-0000-0000-0000BD650000}"/>
    <cellStyle name="Normal 4 3 6 2 2 3 2 2 2" xfId="37616" xr:uid="{00000000-0005-0000-0000-0000BE650000}"/>
    <cellStyle name="Normal 4 3 6 2 2 3 2 3" xfId="28586" xr:uid="{00000000-0005-0000-0000-0000BF650000}"/>
    <cellStyle name="Normal 4 3 6 2 2 3 3" xfId="13082" xr:uid="{00000000-0005-0000-0000-0000C0650000}"/>
    <cellStyle name="Normal 4 3 6 2 2 3 3 2" xfId="33134" xr:uid="{00000000-0005-0000-0000-0000C1650000}"/>
    <cellStyle name="Normal 4 3 6 2 2 3 4" xfId="24104" xr:uid="{00000000-0005-0000-0000-0000C2650000}"/>
    <cellStyle name="Normal 4 3 6 2 2 4" xfId="5546" xr:uid="{00000000-0005-0000-0000-0000C3650000}"/>
    <cellStyle name="Normal 4 3 6 2 2 4 2" xfId="14576" xr:uid="{00000000-0005-0000-0000-0000C4650000}"/>
    <cellStyle name="Normal 4 3 6 2 2 4 2 2" xfId="34628" xr:uid="{00000000-0005-0000-0000-0000C5650000}"/>
    <cellStyle name="Normal 4 3 6 2 2 4 3" xfId="25598" xr:uid="{00000000-0005-0000-0000-0000C6650000}"/>
    <cellStyle name="Normal 4 3 6 2 2 5" xfId="10094" xr:uid="{00000000-0005-0000-0000-0000C7650000}"/>
    <cellStyle name="Normal 4 3 6 2 2 5 2" xfId="30146" xr:uid="{00000000-0005-0000-0000-0000C8650000}"/>
    <cellStyle name="Normal 4 3 6 2 2 6" xfId="21116" xr:uid="{00000000-0005-0000-0000-0000C9650000}"/>
    <cellStyle name="Normal 4 3 6 2 3" xfId="1815" xr:uid="{00000000-0005-0000-0000-0000CA650000}"/>
    <cellStyle name="Normal 4 3 6 2 3 2" xfId="6297" xr:uid="{00000000-0005-0000-0000-0000CB650000}"/>
    <cellStyle name="Normal 4 3 6 2 3 2 2" xfId="15327" xr:uid="{00000000-0005-0000-0000-0000CC650000}"/>
    <cellStyle name="Normal 4 3 6 2 3 2 2 2" xfId="35379" xr:uid="{00000000-0005-0000-0000-0000CD650000}"/>
    <cellStyle name="Normal 4 3 6 2 3 2 3" xfId="26349" xr:uid="{00000000-0005-0000-0000-0000CE650000}"/>
    <cellStyle name="Normal 4 3 6 2 3 3" xfId="10845" xr:uid="{00000000-0005-0000-0000-0000CF650000}"/>
    <cellStyle name="Normal 4 3 6 2 3 3 2" xfId="30897" xr:uid="{00000000-0005-0000-0000-0000D0650000}"/>
    <cellStyle name="Normal 4 3 6 2 3 4" xfId="21867" xr:uid="{00000000-0005-0000-0000-0000D1650000}"/>
    <cellStyle name="Normal 4 3 6 2 4" xfId="3309" xr:uid="{00000000-0005-0000-0000-0000D2650000}"/>
    <cellStyle name="Normal 4 3 6 2 4 2" xfId="7791" xr:uid="{00000000-0005-0000-0000-0000D3650000}"/>
    <cellStyle name="Normal 4 3 6 2 4 2 2" xfId="16821" xr:uid="{00000000-0005-0000-0000-0000D4650000}"/>
    <cellStyle name="Normal 4 3 6 2 4 2 2 2" xfId="36873" xr:uid="{00000000-0005-0000-0000-0000D5650000}"/>
    <cellStyle name="Normal 4 3 6 2 4 2 3" xfId="27843" xr:uid="{00000000-0005-0000-0000-0000D6650000}"/>
    <cellStyle name="Normal 4 3 6 2 4 3" xfId="12339" xr:uid="{00000000-0005-0000-0000-0000D7650000}"/>
    <cellStyle name="Normal 4 3 6 2 4 3 2" xfId="32391" xr:uid="{00000000-0005-0000-0000-0000D8650000}"/>
    <cellStyle name="Normal 4 3 6 2 4 4" xfId="23361" xr:uid="{00000000-0005-0000-0000-0000D9650000}"/>
    <cellStyle name="Normal 4 3 6 2 5" xfId="4803" xr:uid="{00000000-0005-0000-0000-0000DA650000}"/>
    <cellStyle name="Normal 4 3 6 2 5 2" xfId="13833" xr:uid="{00000000-0005-0000-0000-0000DB650000}"/>
    <cellStyle name="Normal 4 3 6 2 5 2 2" xfId="33885" xr:uid="{00000000-0005-0000-0000-0000DC650000}"/>
    <cellStyle name="Normal 4 3 6 2 5 3" xfId="24855" xr:uid="{00000000-0005-0000-0000-0000DD650000}"/>
    <cellStyle name="Normal 4 3 6 2 6" xfId="9351" xr:uid="{00000000-0005-0000-0000-0000DE650000}"/>
    <cellStyle name="Normal 4 3 6 2 6 2" xfId="29403" xr:uid="{00000000-0005-0000-0000-0000DF650000}"/>
    <cellStyle name="Normal 4 3 6 2 7" xfId="20373" xr:uid="{00000000-0005-0000-0000-0000E0650000}"/>
    <cellStyle name="Normal 4 3 6 3" xfId="507" xr:uid="{00000000-0005-0000-0000-0000E1650000}"/>
    <cellStyle name="Normal 4 3 6 3 2" xfId="1254" xr:uid="{00000000-0005-0000-0000-0000E2650000}"/>
    <cellStyle name="Normal 4 3 6 3 2 2" xfId="2748" xr:uid="{00000000-0005-0000-0000-0000E3650000}"/>
    <cellStyle name="Normal 4 3 6 3 2 2 2" xfId="7230" xr:uid="{00000000-0005-0000-0000-0000E4650000}"/>
    <cellStyle name="Normal 4 3 6 3 2 2 2 2" xfId="16260" xr:uid="{00000000-0005-0000-0000-0000E5650000}"/>
    <cellStyle name="Normal 4 3 6 3 2 2 2 2 2" xfId="36312" xr:uid="{00000000-0005-0000-0000-0000E6650000}"/>
    <cellStyle name="Normal 4 3 6 3 2 2 2 3" xfId="27282" xr:uid="{00000000-0005-0000-0000-0000E7650000}"/>
    <cellStyle name="Normal 4 3 6 3 2 2 3" xfId="11778" xr:uid="{00000000-0005-0000-0000-0000E8650000}"/>
    <cellStyle name="Normal 4 3 6 3 2 2 3 2" xfId="31830" xr:uid="{00000000-0005-0000-0000-0000E9650000}"/>
    <cellStyle name="Normal 4 3 6 3 2 2 4" xfId="22800" xr:uid="{00000000-0005-0000-0000-0000EA650000}"/>
    <cellStyle name="Normal 4 3 6 3 2 3" xfId="4242" xr:uid="{00000000-0005-0000-0000-0000EB650000}"/>
    <cellStyle name="Normal 4 3 6 3 2 3 2" xfId="8724" xr:uid="{00000000-0005-0000-0000-0000EC650000}"/>
    <cellStyle name="Normal 4 3 6 3 2 3 2 2" xfId="17754" xr:uid="{00000000-0005-0000-0000-0000ED650000}"/>
    <cellStyle name="Normal 4 3 6 3 2 3 2 2 2" xfId="37806" xr:uid="{00000000-0005-0000-0000-0000EE650000}"/>
    <cellStyle name="Normal 4 3 6 3 2 3 2 3" xfId="28776" xr:uid="{00000000-0005-0000-0000-0000EF650000}"/>
    <cellStyle name="Normal 4 3 6 3 2 3 3" xfId="13272" xr:uid="{00000000-0005-0000-0000-0000F0650000}"/>
    <cellStyle name="Normal 4 3 6 3 2 3 3 2" xfId="33324" xr:uid="{00000000-0005-0000-0000-0000F1650000}"/>
    <cellStyle name="Normal 4 3 6 3 2 3 4" xfId="24294" xr:uid="{00000000-0005-0000-0000-0000F2650000}"/>
    <cellStyle name="Normal 4 3 6 3 2 4" xfId="5736" xr:uid="{00000000-0005-0000-0000-0000F3650000}"/>
    <cellStyle name="Normal 4 3 6 3 2 4 2" xfId="14766" xr:uid="{00000000-0005-0000-0000-0000F4650000}"/>
    <cellStyle name="Normal 4 3 6 3 2 4 2 2" xfId="34818" xr:uid="{00000000-0005-0000-0000-0000F5650000}"/>
    <cellStyle name="Normal 4 3 6 3 2 4 3" xfId="25788" xr:uid="{00000000-0005-0000-0000-0000F6650000}"/>
    <cellStyle name="Normal 4 3 6 3 2 5" xfId="10284" xr:uid="{00000000-0005-0000-0000-0000F7650000}"/>
    <cellStyle name="Normal 4 3 6 3 2 5 2" xfId="30336" xr:uid="{00000000-0005-0000-0000-0000F8650000}"/>
    <cellStyle name="Normal 4 3 6 3 2 6" xfId="21306" xr:uid="{00000000-0005-0000-0000-0000F9650000}"/>
    <cellStyle name="Normal 4 3 6 3 3" xfId="2001" xr:uid="{00000000-0005-0000-0000-0000FA650000}"/>
    <cellStyle name="Normal 4 3 6 3 3 2" xfId="6483" xr:uid="{00000000-0005-0000-0000-0000FB650000}"/>
    <cellStyle name="Normal 4 3 6 3 3 2 2" xfId="15513" xr:uid="{00000000-0005-0000-0000-0000FC650000}"/>
    <cellStyle name="Normal 4 3 6 3 3 2 2 2" xfId="35565" xr:uid="{00000000-0005-0000-0000-0000FD650000}"/>
    <cellStyle name="Normal 4 3 6 3 3 2 3" xfId="26535" xr:uid="{00000000-0005-0000-0000-0000FE650000}"/>
    <cellStyle name="Normal 4 3 6 3 3 3" xfId="11031" xr:uid="{00000000-0005-0000-0000-0000FF650000}"/>
    <cellStyle name="Normal 4 3 6 3 3 3 2" xfId="31083" xr:uid="{00000000-0005-0000-0000-000000660000}"/>
    <cellStyle name="Normal 4 3 6 3 3 4" xfId="22053" xr:uid="{00000000-0005-0000-0000-000001660000}"/>
    <cellStyle name="Normal 4 3 6 3 4" xfId="3495" xr:uid="{00000000-0005-0000-0000-000002660000}"/>
    <cellStyle name="Normal 4 3 6 3 4 2" xfId="7977" xr:uid="{00000000-0005-0000-0000-000003660000}"/>
    <cellStyle name="Normal 4 3 6 3 4 2 2" xfId="17007" xr:uid="{00000000-0005-0000-0000-000004660000}"/>
    <cellStyle name="Normal 4 3 6 3 4 2 2 2" xfId="37059" xr:uid="{00000000-0005-0000-0000-000005660000}"/>
    <cellStyle name="Normal 4 3 6 3 4 2 3" xfId="28029" xr:uid="{00000000-0005-0000-0000-000006660000}"/>
    <cellStyle name="Normal 4 3 6 3 4 3" xfId="12525" xr:uid="{00000000-0005-0000-0000-000007660000}"/>
    <cellStyle name="Normal 4 3 6 3 4 3 2" xfId="32577" xr:uid="{00000000-0005-0000-0000-000008660000}"/>
    <cellStyle name="Normal 4 3 6 3 4 4" xfId="23547" xr:uid="{00000000-0005-0000-0000-000009660000}"/>
    <cellStyle name="Normal 4 3 6 3 5" xfId="4989" xr:uid="{00000000-0005-0000-0000-00000A660000}"/>
    <cellStyle name="Normal 4 3 6 3 5 2" xfId="14019" xr:uid="{00000000-0005-0000-0000-00000B660000}"/>
    <cellStyle name="Normal 4 3 6 3 5 2 2" xfId="34071" xr:uid="{00000000-0005-0000-0000-00000C660000}"/>
    <cellStyle name="Normal 4 3 6 3 5 3" xfId="25041" xr:uid="{00000000-0005-0000-0000-00000D660000}"/>
    <cellStyle name="Normal 4 3 6 3 6" xfId="9537" xr:uid="{00000000-0005-0000-0000-00000E660000}"/>
    <cellStyle name="Normal 4 3 6 3 6 2" xfId="29589" xr:uid="{00000000-0005-0000-0000-00000F660000}"/>
    <cellStyle name="Normal 4 3 6 3 7" xfId="20559" xr:uid="{00000000-0005-0000-0000-000010660000}"/>
    <cellStyle name="Normal 4 3 6 4" xfId="693" xr:uid="{00000000-0005-0000-0000-000011660000}"/>
    <cellStyle name="Normal 4 3 6 4 2" xfId="1440" xr:uid="{00000000-0005-0000-0000-000012660000}"/>
    <cellStyle name="Normal 4 3 6 4 2 2" xfId="2934" xr:uid="{00000000-0005-0000-0000-000013660000}"/>
    <cellStyle name="Normal 4 3 6 4 2 2 2" xfId="7416" xr:uid="{00000000-0005-0000-0000-000014660000}"/>
    <cellStyle name="Normal 4 3 6 4 2 2 2 2" xfId="16446" xr:uid="{00000000-0005-0000-0000-000015660000}"/>
    <cellStyle name="Normal 4 3 6 4 2 2 2 2 2" xfId="36498" xr:uid="{00000000-0005-0000-0000-000016660000}"/>
    <cellStyle name="Normal 4 3 6 4 2 2 2 3" xfId="27468" xr:uid="{00000000-0005-0000-0000-000017660000}"/>
    <cellStyle name="Normal 4 3 6 4 2 2 3" xfId="11964" xr:uid="{00000000-0005-0000-0000-000018660000}"/>
    <cellStyle name="Normal 4 3 6 4 2 2 3 2" xfId="32016" xr:uid="{00000000-0005-0000-0000-000019660000}"/>
    <cellStyle name="Normal 4 3 6 4 2 2 4" xfId="22986" xr:uid="{00000000-0005-0000-0000-00001A660000}"/>
    <cellStyle name="Normal 4 3 6 4 2 3" xfId="4428" xr:uid="{00000000-0005-0000-0000-00001B660000}"/>
    <cellStyle name="Normal 4 3 6 4 2 3 2" xfId="8910" xr:uid="{00000000-0005-0000-0000-00001C660000}"/>
    <cellStyle name="Normal 4 3 6 4 2 3 2 2" xfId="17940" xr:uid="{00000000-0005-0000-0000-00001D660000}"/>
    <cellStyle name="Normal 4 3 6 4 2 3 2 2 2" xfId="37992" xr:uid="{00000000-0005-0000-0000-00001E660000}"/>
    <cellStyle name="Normal 4 3 6 4 2 3 2 3" xfId="28962" xr:uid="{00000000-0005-0000-0000-00001F660000}"/>
    <cellStyle name="Normal 4 3 6 4 2 3 3" xfId="13458" xr:uid="{00000000-0005-0000-0000-000020660000}"/>
    <cellStyle name="Normal 4 3 6 4 2 3 3 2" xfId="33510" xr:uid="{00000000-0005-0000-0000-000021660000}"/>
    <cellStyle name="Normal 4 3 6 4 2 3 4" xfId="24480" xr:uid="{00000000-0005-0000-0000-000022660000}"/>
    <cellStyle name="Normal 4 3 6 4 2 4" xfId="5922" xr:uid="{00000000-0005-0000-0000-000023660000}"/>
    <cellStyle name="Normal 4 3 6 4 2 4 2" xfId="14952" xr:uid="{00000000-0005-0000-0000-000024660000}"/>
    <cellStyle name="Normal 4 3 6 4 2 4 2 2" xfId="35004" xr:uid="{00000000-0005-0000-0000-000025660000}"/>
    <cellStyle name="Normal 4 3 6 4 2 4 3" xfId="25974" xr:uid="{00000000-0005-0000-0000-000026660000}"/>
    <cellStyle name="Normal 4 3 6 4 2 5" xfId="10470" xr:uid="{00000000-0005-0000-0000-000027660000}"/>
    <cellStyle name="Normal 4 3 6 4 2 5 2" xfId="30522" xr:uid="{00000000-0005-0000-0000-000028660000}"/>
    <cellStyle name="Normal 4 3 6 4 2 6" xfId="21492" xr:uid="{00000000-0005-0000-0000-000029660000}"/>
    <cellStyle name="Normal 4 3 6 4 3" xfId="2187" xr:uid="{00000000-0005-0000-0000-00002A660000}"/>
    <cellStyle name="Normal 4 3 6 4 3 2" xfId="6669" xr:uid="{00000000-0005-0000-0000-00002B660000}"/>
    <cellStyle name="Normal 4 3 6 4 3 2 2" xfId="15699" xr:uid="{00000000-0005-0000-0000-00002C660000}"/>
    <cellStyle name="Normal 4 3 6 4 3 2 2 2" xfId="35751" xr:uid="{00000000-0005-0000-0000-00002D660000}"/>
    <cellStyle name="Normal 4 3 6 4 3 2 3" xfId="26721" xr:uid="{00000000-0005-0000-0000-00002E660000}"/>
    <cellStyle name="Normal 4 3 6 4 3 3" xfId="11217" xr:uid="{00000000-0005-0000-0000-00002F660000}"/>
    <cellStyle name="Normal 4 3 6 4 3 3 2" xfId="31269" xr:uid="{00000000-0005-0000-0000-000030660000}"/>
    <cellStyle name="Normal 4 3 6 4 3 4" xfId="22239" xr:uid="{00000000-0005-0000-0000-000031660000}"/>
    <cellStyle name="Normal 4 3 6 4 4" xfId="3681" xr:uid="{00000000-0005-0000-0000-000032660000}"/>
    <cellStyle name="Normal 4 3 6 4 4 2" xfId="8163" xr:uid="{00000000-0005-0000-0000-000033660000}"/>
    <cellStyle name="Normal 4 3 6 4 4 2 2" xfId="17193" xr:uid="{00000000-0005-0000-0000-000034660000}"/>
    <cellStyle name="Normal 4 3 6 4 4 2 2 2" xfId="37245" xr:uid="{00000000-0005-0000-0000-000035660000}"/>
    <cellStyle name="Normal 4 3 6 4 4 2 3" xfId="28215" xr:uid="{00000000-0005-0000-0000-000036660000}"/>
    <cellStyle name="Normal 4 3 6 4 4 3" xfId="12711" xr:uid="{00000000-0005-0000-0000-000037660000}"/>
    <cellStyle name="Normal 4 3 6 4 4 3 2" xfId="32763" xr:uid="{00000000-0005-0000-0000-000038660000}"/>
    <cellStyle name="Normal 4 3 6 4 4 4" xfId="23733" xr:uid="{00000000-0005-0000-0000-000039660000}"/>
    <cellStyle name="Normal 4 3 6 4 5" xfId="5175" xr:uid="{00000000-0005-0000-0000-00003A660000}"/>
    <cellStyle name="Normal 4 3 6 4 5 2" xfId="14205" xr:uid="{00000000-0005-0000-0000-00003B660000}"/>
    <cellStyle name="Normal 4 3 6 4 5 2 2" xfId="34257" xr:uid="{00000000-0005-0000-0000-00003C660000}"/>
    <cellStyle name="Normal 4 3 6 4 5 3" xfId="25227" xr:uid="{00000000-0005-0000-0000-00003D660000}"/>
    <cellStyle name="Normal 4 3 6 4 6" xfId="9723" xr:uid="{00000000-0005-0000-0000-00003E660000}"/>
    <cellStyle name="Normal 4 3 6 4 6 2" xfId="29775" xr:uid="{00000000-0005-0000-0000-00003F660000}"/>
    <cellStyle name="Normal 4 3 6 4 7" xfId="20745" xr:uid="{00000000-0005-0000-0000-000040660000}"/>
    <cellStyle name="Normal 4 3 6 5" xfId="880" xr:uid="{00000000-0005-0000-0000-000041660000}"/>
    <cellStyle name="Normal 4 3 6 5 2" xfId="2374" xr:uid="{00000000-0005-0000-0000-000042660000}"/>
    <cellStyle name="Normal 4 3 6 5 2 2" xfId="6856" xr:uid="{00000000-0005-0000-0000-000043660000}"/>
    <cellStyle name="Normal 4 3 6 5 2 2 2" xfId="15886" xr:uid="{00000000-0005-0000-0000-000044660000}"/>
    <cellStyle name="Normal 4 3 6 5 2 2 2 2" xfId="35938" xr:uid="{00000000-0005-0000-0000-000045660000}"/>
    <cellStyle name="Normal 4 3 6 5 2 2 3" xfId="26908" xr:uid="{00000000-0005-0000-0000-000046660000}"/>
    <cellStyle name="Normal 4 3 6 5 2 3" xfId="11404" xr:uid="{00000000-0005-0000-0000-000047660000}"/>
    <cellStyle name="Normal 4 3 6 5 2 3 2" xfId="31456" xr:uid="{00000000-0005-0000-0000-000048660000}"/>
    <cellStyle name="Normal 4 3 6 5 2 4" xfId="22426" xr:uid="{00000000-0005-0000-0000-000049660000}"/>
    <cellStyle name="Normal 4 3 6 5 3" xfId="3868" xr:uid="{00000000-0005-0000-0000-00004A660000}"/>
    <cellStyle name="Normal 4 3 6 5 3 2" xfId="8350" xr:uid="{00000000-0005-0000-0000-00004B660000}"/>
    <cellStyle name="Normal 4 3 6 5 3 2 2" xfId="17380" xr:uid="{00000000-0005-0000-0000-00004C660000}"/>
    <cellStyle name="Normal 4 3 6 5 3 2 2 2" xfId="37432" xr:uid="{00000000-0005-0000-0000-00004D660000}"/>
    <cellStyle name="Normal 4 3 6 5 3 2 3" xfId="28402" xr:uid="{00000000-0005-0000-0000-00004E660000}"/>
    <cellStyle name="Normal 4 3 6 5 3 3" xfId="12898" xr:uid="{00000000-0005-0000-0000-00004F660000}"/>
    <cellStyle name="Normal 4 3 6 5 3 3 2" xfId="32950" xr:uid="{00000000-0005-0000-0000-000050660000}"/>
    <cellStyle name="Normal 4 3 6 5 3 4" xfId="23920" xr:uid="{00000000-0005-0000-0000-000051660000}"/>
    <cellStyle name="Normal 4 3 6 5 4" xfId="5362" xr:uid="{00000000-0005-0000-0000-000052660000}"/>
    <cellStyle name="Normal 4 3 6 5 4 2" xfId="14392" xr:uid="{00000000-0005-0000-0000-000053660000}"/>
    <cellStyle name="Normal 4 3 6 5 4 2 2" xfId="34444" xr:uid="{00000000-0005-0000-0000-000054660000}"/>
    <cellStyle name="Normal 4 3 6 5 4 3" xfId="25414" xr:uid="{00000000-0005-0000-0000-000055660000}"/>
    <cellStyle name="Normal 4 3 6 5 5" xfId="9910" xr:uid="{00000000-0005-0000-0000-000056660000}"/>
    <cellStyle name="Normal 4 3 6 5 5 2" xfId="29962" xr:uid="{00000000-0005-0000-0000-000057660000}"/>
    <cellStyle name="Normal 4 3 6 5 6" xfId="20932" xr:uid="{00000000-0005-0000-0000-000058660000}"/>
    <cellStyle name="Normal 4 3 6 6" xfId="1629" xr:uid="{00000000-0005-0000-0000-000059660000}"/>
    <cellStyle name="Normal 4 3 6 6 2" xfId="6111" xr:uid="{00000000-0005-0000-0000-00005A660000}"/>
    <cellStyle name="Normal 4 3 6 6 2 2" xfId="15141" xr:uid="{00000000-0005-0000-0000-00005B660000}"/>
    <cellStyle name="Normal 4 3 6 6 2 2 2" xfId="35193" xr:uid="{00000000-0005-0000-0000-00005C660000}"/>
    <cellStyle name="Normal 4 3 6 6 2 3" xfId="26163" xr:uid="{00000000-0005-0000-0000-00005D660000}"/>
    <cellStyle name="Normal 4 3 6 6 3" xfId="10659" xr:uid="{00000000-0005-0000-0000-00005E660000}"/>
    <cellStyle name="Normal 4 3 6 6 3 2" xfId="30711" xr:uid="{00000000-0005-0000-0000-00005F660000}"/>
    <cellStyle name="Normal 4 3 6 6 4" xfId="21681" xr:uid="{00000000-0005-0000-0000-000060660000}"/>
    <cellStyle name="Normal 4 3 6 7" xfId="3123" xr:uid="{00000000-0005-0000-0000-000061660000}"/>
    <cellStyle name="Normal 4 3 6 7 2" xfId="7605" xr:uid="{00000000-0005-0000-0000-000062660000}"/>
    <cellStyle name="Normal 4 3 6 7 2 2" xfId="16635" xr:uid="{00000000-0005-0000-0000-000063660000}"/>
    <cellStyle name="Normal 4 3 6 7 2 2 2" xfId="36687" xr:uid="{00000000-0005-0000-0000-000064660000}"/>
    <cellStyle name="Normal 4 3 6 7 2 3" xfId="27657" xr:uid="{00000000-0005-0000-0000-000065660000}"/>
    <cellStyle name="Normal 4 3 6 7 3" xfId="12153" xr:uid="{00000000-0005-0000-0000-000066660000}"/>
    <cellStyle name="Normal 4 3 6 7 3 2" xfId="32205" xr:uid="{00000000-0005-0000-0000-000067660000}"/>
    <cellStyle name="Normal 4 3 6 7 4" xfId="23175" xr:uid="{00000000-0005-0000-0000-000068660000}"/>
    <cellStyle name="Normal 4 3 6 8" xfId="4617" xr:uid="{00000000-0005-0000-0000-000069660000}"/>
    <cellStyle name="Normal 4 3 6 8 2" xfId="13647" xr:uid="{00000000-0005-0000-0000-00006A660000}"/>
    <cellStyle name="Normal 4 3 6 8 2 2" xfId="33699" xr:uid="{00000000-0005-0000-0000-00006B660000}"/>
    <cellStyle name="Normal 4 3 6 8 3" xfId="24669" xr:uid="{00000000-0005-0000-0000-00006C660000}"/>
    <cellStyle name="Normal 4 3 6 9" xfId="9165" xr:uid="{00000000-0005-0000-0000-00006D660000}"/>
    <cellStyle name="Normal 4 3 6 9 2" xfId="29217" xr:uid="{00000000-0005-0000-0000-00006E660000}"/>
    <cellStyle name="Normal 4 3 7" xfId="158" xr:uid="{00000000-0005-0000-0000-00006F660000}"/>
    <cellStyle name="Normal 4 3 7 10" xfId="20210" xr:uid="{00000000-0005-0000-0000-000070660000}"/>
    <cellStyle name="Normal 4 3 7 2" xfId="344" xr:uid="{00000000-0005-0000-0000-000071660000}"/>
    <cellStyle name="Normal 4 3 7 2 2" xfId="1087" xr:uid="{00000000-0005-0000-0000-000072660000}"/>
    <cellStyle name="Normal 4 3 7 2 2 2" xfId="2581" xr:uid="{00000000-0005-0000-0000-000073660000}"/>
    <cellStyle name="Normal 4 3 7 2 2 2 2" xfId="7063" xr:uid="{00000000-0005-0000-0000-000074660000}"/>
    <cellStyle name="Normal 4 3 7 2 2 2 2 2" xfId="16093" xr:uid="{00000000-0005-0000-0000-000075660000}"/>
    <cellStyle name="Normal 4 3 7 2 2 2 2 2 2" xfId="36145" xr:uid="{00000000-0005-0000-0000-000076660000}"/>
    <cellStyle name="Normal 4 3 7 2 2 2 2 3" xfId="27115" xr:uid="{00000000-0005-0000-0000-000077660000}"/>
    <cellStyle name="Normal 4 3 7 2 2 2 3" xfId="11611" xr:uid="{00000000-0005-0000-0000-000078660000}"/>
    <cellStyle name="Normal 4 3 7 2 2 2 3 2" xfId="31663" xr:uid="{00000000-0005-0000-0000-000079660000}"/>
    <cellStyle name="Normal 4 3 7 2 2 2 4" xfId="22633" xr:uid="{00000000-0005-0000-0000-00007A660000}"/>
    <cellStyle name="Normal 4 3 7 2 2 3" xfId="4075" xr:uid="{00000000-0005-0000-0000-00007B660000}"/>
    <cellStyle name="Normal 4 3 7 2 2 3 2" xfId="8557" xr:uid="{00000000-0005-0000-0000-00007C660000}"/>
    <cellStyle name="Normal 4 3 7 2 2 3 2 2" xfId="17587" xr:uid="{00000000-0005-0000-0000-00007D660000}"/>
    <cellStyle name="Normal 4 3 7 2 2 3 2 2 2" xfId="37639" xr:uid="{00000000-0005-0000-0000-00007E660000}"/>
    <cellStyle name="Normal 4 3 7 2 2 3 2 3" xfId="28609" xr:uid="{00000000-0005-0000-0000-00007F660000}"/>
    <cellStyle name="Normal 4 3 7 2 2 3 3" xfId="13105" xr:uid="{00000000-0005-0000-0000-000080660000}"/>
    <cellStyle name="Normal 4 3 7 2 2 3 3 2" xfId="33157" xr:uid="{00000000-0005-0000-0000-000081660000}"/>
    <cellStyle name="Normal 4 3 7 2 2 3 4" xfId="24127" xr:uid="{00000000-0005-0000-0000-000082660000}"/>
    <cellStyle name="Normal 4 3 7 2 2 4" xfId="5569" xr:uid="{00000000-0005-0000-0000-000083660000}"/>
    <cellStyle name="Normal 4 3 7 2 2 4 2" xfId="14599" xr:uid="{00000000-0005-0000-0000-000084660000}"/>
    <cellStyle name="Normal 4 3 7 2 2 4 2 2" xfId="34651" xr:uid="{00000000-0005-0000-0000-000085660000}"/>
    <cellStyle name="Normal 4 3 7 2 2 4 3" xfId="25621" xr:uid="{00000000-0005-0000-0000-000086660000}"/>
    <cellStyle name="Normal 4 3 7 2 2 5" xfId="10117" xr:uid="{00000000-0005-0000-0000-000087660000}"/>
    <cellStyle name="Normal 4 3 7 2 2 5 2" xfId="30169" xr:uid="{00000000-0005-0000-0000-000088660000}"/>
    <cellStyle name="Normal 4 3 7 2 2 6" xfId="21139" xr:uid="{00000000-0005-0000-0000-000089660000}"/>
    <cellStyle name="Normal 4 3 7 2 3" xfId="1838" xr:uid="{00000000-0005-0000-0000-00008A660000}"/>
    <cellStyle name="Normal 4 3 7 2 3 2" xfId="6320" xr:uid="{00000000-0005-0000-0000-00008B660000}"/>
    <cellStyle name="Normal 4 3 7 2 3 2 2" xfId="15350" xr:uid="{00000000-0005-0000-0000-00008C660000}"/>
    <cellStyle name="Normal 4 3 7 2 3 2 2 2" xfId="35402" xr:uid="{00000000-0005-0000-0000-00008D660000}"/>
    <cellStyle name="Normal 4 3 7 2 3 2 3" xfId="26372" xr:uid="{00000000-0005-0000-0000-00008E660000}"/>
    <cellStyle name="Normal 4 3 7 2 3 3" xfId="10868" xr:uid="{00000000-0005-0000-0000-00008F660000}"/>
    <cellStyle name="Normal 4 3 7 2 3 3 2" xfId="30920" xr:uid="{00000000-0005-0000-0000-000090660000}"/>
    <cellStyle name="Normal 4 3 7 2 3 4" xfId="21890" xr:uid="{00000000-0005-0000-0000-000091660000}"/>
    <cellStyle name="Normal 4 3 7 2 4" xfId="3332" xr:uid="{00000000-0005-0000-0000-000092660000}"/>
    <cellStyle name="Normal 4 3 7 2 4 2" xfId="7814" xr:uid="{00000000-0005-0000-0000-000093660000}"/>
    <cellStyle name="Normal 4 3 7 2 4 2 2" xfId="16844" xr:uid="{00000000-0005-0000-0000-000094660000}"/>
    <cellStyle name="Normal 4 3 7 2 4 2 2 2" xfId="36896" xr:uid="{00000000-0005-0000-0000-000095660000}"/>
    <cellStyle name="Normal 4 3 7 2 4 2 3" xfId="27866" xr:uid="{00000000-0005-0000-0000-000096660000}"/>
    <cellStyle name="Normal 4 3 7 2 4 3" xfId="12362" xr:uid="{00000000-0005-0000-0000-000097660000}"/>
    <cellStyle name="Normal 4 3 7 2 4 3 2" xfId="32414" xr:uid="{00000000-0005-0000-0000-000098660000}"/>
    <cellStyle name="Normal 4 3 7 2 4 4" xfId="23384" xr:uid="{00000000-0005-0000-0000-000099660000}"/>
    <cellStyle name="Normal 4 3 7 2 5" xfId="4826" xr:uid="{00000000-0005-0000-0000-00009A660000}"/>
    <cellStyle name="Normal 4 3 7 2 5 2" xfId="13856" xr:uid="{00000000-0005-0000-0000-00009B660000}"/>
    <cellStyle name="Normal 4 3 7 2 5 2 2" xfId="33908" xr:uid="{00000000-0005-0000-0000-00009C660000}"/>
    <cellStyle name="Normal 4 3 7 2 5 3" xfId="24878" xr:uid="{00000000-0005-0000-0000-00009D660000}"/>
    <cellStyle name="Normal 4 3 7 2 6" xfId="9374" xr:uid="{00000000-0005-0000-0000-00009E660000}"/>
    <cellStyle name="Normal 4 3 7 2 6 2" xfId="29426" xr:uid="{00000000-0005-0000-0000-00009F660000}"/>
    <cellStyle name="Normal 4 3 7 2 7" xfId="20396" xr:uid="{00000000-0005-0000-0000-0000A0660000}"/>
    <cellStyle name="Normal 4 3 7 3" xfId="530" xr:uid="{00000000-0005-0000-0000-0000A1660000}"/>
    <cellStyle name="Normal 4 3 7 3 2" xfId="1277" xr:uid="{00000000-0005-0000-0000-0000A2660000}"/>
    <cellStyle name="Normal 4 3 7 3 2 2" xfId="2771" xr:uid="{00000000-0005-0000-0000-0000A3660000}"/>
    <cellStyle name="Normal 4 3 7 3 2 2 2" xfId="7253" xr:uid="{00000000-0005-0000-0000-0000A4660000}"/>
    <cellStyle name="Normal 4 3 7 3 2 2 2 2" xfId="16283" xr:uid="{00000000-0005-0000-0000-0000A5660000}"/>
    <cellStyle name="Normal 4 3 7 3 2 2 2 2 2" xfId="36335" xr:uid="{00000000-0005-0000-0000-0000A6660000}"/>
    <cellStyle name="Normal 4 3 7 3 2 2 2 3" xfId="27305" xr:uid="{00000000-0005-0000-0000-0000A7660000}"/>
    <cellStyle name="Normal 4 3 7 3 2 2 3" xfId="11801" xr:uid="{00000000-0005-0000-0000-0000A8660000}"/>
    <cellStyle name="Normal 4 3 7 3 2 2 3 2" xfId="31853" xr:uid="{00000000-0005-0000-0000-0000A9660000}"/>
    <cellStyle name="Normal 4 3 7 3 2 2 4" xfId="22823" xr:uid="{00000000-0005-0000-0000-0000AA660000}"/>
    <cellStyle name="Normal 4 3 7 3 2 3" xfId="4265" xr:uid="{00000000-0005-0000-0000-0000AB660000}"/>
    <cellStyle name="Normal 4 3 7 3 2 3 2" xfId="8747" xr:uid="{00000000-0005-0000-0000-0000AC660000}"/>
    <cellStyle name="Normal 4 3 7 3 2 3 2 2" xfId="17777" xr:uid="{00000000-0005-0000-0000-0000AD660000}"/>
    <cellStyle name="Normal 4 3 7 3 2 3 2 2 2" xfId="37829" xr:uid="{00000000-0005-0000-0000-0000AE660000}"/>
    <cellStyle name="Normal 4 3 7 3 2 3 2 3" xfId="28799" xr:uid="{00000000-0005-0000-0000-0000AF660000}"/>
    <cellStyle name="Normal 4 3 7 3 2 3 3" xfId="13295" xr:uid="{00000000-0005-0000-0000-0000B0660000}"/>
    <cellStyle name="Normal 4 3 7 3 2 3 3 2" xfId="33347" xr:uid="{00000000-0005-0000-0000-0000B1660000}"/>
    <cellStyle name="Normal 4 3 7 3 2 3 4" xfId="24317" xr:uid="{00000000-0005-0000-0000-0000B2660000}"/>
    <cellStyle name="Normal 4 3 7 3 2 4" xfId="5759" xr:uid="{00000000-0005-0000-0000-0000B3660000}"/>
    <cellStyle name="Normal 4 3 7 3 2 4 2" xfId="14789" xr:uid="{00000000-0005-0000-0000-0000B4660000}"/>
    <cellStyle name="Normal 4 3 7 3 2 4 2 2" xfId="34841" xr:uid="{00000000-0005-0000-0000-0000B5660000}"/>
    <cellStyle name="Normal 4 3 7 3 2 4 3" xfId="25811" xr:uid="{00000000-0005-0000-0000-0000B6660000}"/>
    <cellStyle name="Normal 4 3 7 3 2 5" xfId="10307" xr:uid="{00000000-0005-0000-0000-0000B7660000}"/>
    <cellStyle name="Normal 4 3 7 3 2 5 2" xfId="30359" xr:uid="{00000000-0005-0000-0000-0000B8660000}"/>
    <cellStyle name="Normal 4 3 7 3 2 6" xfId="21329" xr:uid="{00000000-0005-0000-0000-0000B9660000}"/>
    <cellStyle name="Normal 4 3 7 3 3" xfId="2024" xr:uid="{00000000-0005-0000-0000-0000BA660000}"/>
    <cellStyle name="Normal 4 3 7 3 3 2" xfId="6506" xr:uid="{00000000-0005-0000-0000-0000BB660000}"/>
    <cellStyle name="Normal 4 3 7 3 3 2 2" xfId="15536" xr:uid="{00000000-0005-0000-0000-0000BC660000}"/>
    <cellStyle name="Normal 4 3 7 3 3 2 2 2" xfId="35588" xr:uid="{00000000-0005-0000-0000-0000BD660000}"/>
    <cellStyle name="Normal 4 3 7 3 3 2 3" xfId="26558" xr:uid="{00000000-0005-0000-0000-0000BE660000}"/>
    <cellStyle name="Normal 4 3 7 3 3 3" xfId="11054" xr:uid="{00000000-0005-0000-0000-0000BF660000}"/>
    <cellStyle name="Normal 4 3 7 3 3 3 2" xfId="31106" xr:uid="{00000000-0005-0000-0000-0000C0660000}"/>
    <cellStyle name="Normal 4 3 7 3 3 4" xfId="22076" xr:uid="{00000000-0005-0000-0000-0000C1660000}"/>
    <cellStyle name="Normal 4 3 7 3 4" xfId="3518" xr:uid="{00000000-0005-0000-0000-0000C2660000}"/>
    <cellStyle name="Normal 4 3 7 3 4 2" xfId="8000" xr:uid="{00000000-0005-0000-0000-0000C3660000}"/>
    <cellStyle name="Normal 4 3 7 3 4 2 2" xfId="17030" xr:uid="{00000000-0005-0000-0000-0000C4660000}"/>
    <cellStyle name="Normal 4 3 7 3 4 2 2 2" xfId="37082" xr:uid="{00000000-0005-0000-0000-0000C5660000}"/>
    <cellStyle name="Normal 4 3 7 3 4 2 3" xfId="28052" xr:uid="{00000000-0005-0000-0000-0000C6660000}"/>
    <cellStyle name="Normal 4 3 7 3 4 3" xfId="12548" xr:uid="{00000000-0005-0000-0000-0000C7660000}"/>
    <cellStyle name="Normal 4 3 7 3 4 3 2" xfId="32600" xr:uid="{00000000-0005-0000-0000-0000C8660000}"/>
    <cellStyle name="Normal 4 3 7 3 4 4" xfId="23570" xr:uid="{00000000-0005-0000-0000-0000C9660000}"/>
    <cellStyle name="Normal 4 3 7 3 5" xfId="5012" xr:uid="{00000000-0005-0000-0000-0000CA660000}"/>
    <cellStyle name="Normal 4 3 7 3 5 2" xfId="14042" xr:uid="{00000000-0005-0000-0000-0000CB660000}"/>
    <cellStyle name="Normal 4 3 7 3 5 2 2" xfId="34094" xr:uid="{00000000-0005-0000-0000-0000CC660000}"/>
    <cellStyle name="Normal 4 3 7 3 5 3" xfId="25064" xr:uid="{00000000-0005-0000-0000-0000CD660000}"/>
    <cellStyle name="Normal 4 3 7 3 6" xfId="9560" xr:uid="{00000000-0005-0000-0000-0000CE660000}"/>
    <cellStyle name="Normal 4 3 7 3 6 2" xfId="29612" xr:uid="{00000000-0005-0000-0000-0000CF660000}"/>
    <cellStyle name="Normal 4 3 7 3 7" xfId="20582" xr:uid="{00000000-0005-0000-0000-0000D0660000}"/>
    <cellStyle name="Normal 4 3 7 4" xfId="716" xr:uid="{00000000-0005-0000-0000-0000D1660000}"/>
    <cellStyle name="Normal 4 3 7 4 2" xfId="1463" xr:uid="{00000000-0005-0000-0000-0000D2660000}"/>
    <cellStyle name="Normal 4 3 7 4 2 2" xfId="2957" xr:uid="{00000000-0005-0000-0000-0000D3660000}"/>
    <cellStyle name="Normal 4 3 7 4 2 2 2" xfId="7439" xr:uid="{00000000-0005-0000-0000-0000D4660000}"/>
    <cellStyle name="Normal 4 3 7 4 2 2 2 2" xfId="16469" xr:uid="{00000000-0005-0000-0000-0000D5660000}"/>
    <cellStyle name="Normal 4 3 7 4 2 2 2 2 2" xfId="36521" xr:uid="{00000000-0005-0000-0000-0000D6660000}"/>
    <cellStyle name="Normal 4 3 7 4 2 2 2 3" xfId="27491" xr:uid="{00000000-0005-0000-0000-0000D7660000}"/>
    <cellStyle name="Normal 4 3 7 4 2 2 3" xfId="11987" xr:uid="{00000000-0005-0000-0000-0000D8660000}"/>
    <cellStyle name="Normal 4 3 7 4 2 2 3 2" xfId="32039" xr:uid="{00000000-0005-0000-0000-0000D9660000}"/>
    <cellStyle name="Normal 4 3 7 4 2 2 4" xfId="23009" xr:uid="{00000000-0005-0000-0000-0000DA660000}"/>
    <cellStyle name="Normal 4 3 7 4 2 3" xfId="4451" xr:uid="{00000000-0005-0000-0000-0000DB660000}"/>
    <cellStyle name="Normal 4 3 7 4 2 3 2" xfId="8933" xr:uid="{00000000-0005-0000-0000-0000DC660000}"/>
    <cellStyle name="Normal 4 3 7 4 2 3 2 2" xfId="17963" xr:uid="{00000000-0005-0000-0000-0000DD660000}"/>
    <cellStyle name="Normal 4 3 7 4 2 3 2 2 2" xfId="38015" xr:uid="{00000000-0005-0000-0000-0000DE660000}"/>
    <cellStyle name="Normal 4 3 7 4 2 3 2 3" xfId="28985" xr:uid="{00000000-0005-0000-0000-0000DF660000}"/>
    <cellStyle name="Normal 4 3 7 4 2 3 3" xfId="13481" xr:uid="{00000000-0005-0000-0000-0000E0660000}"/>
    <cellStyle name="Normal 4 3 7 4 2 3 3 2" xfId="33533" xr:uid="{00000000-0005-0000-0000-0000E1660000}"/>
    <cellStyle name="Normal 4 3 7 4 2 3 4" xfId="24503" xr:uid="{00000000-0005-0000-0000-0000E2660000}"/>
    <cellStyle name="Normal 4 3 7 4 2 4" xfId="5945" xr:uid="{00000000-0005-0000-0000-0000E3660000}"/>
    <cellStyle name="Normal 4 3 7 4 2 4 2" xfId="14975" xr:uid="{00000000-0005-0000-0000-0000E4660000}"/>
    <cellStyle name="Normal 4 3 7 4 2 4 2 2" xfId="35027" xr:uid="{00000000-0005-0000-0000-0000E5660000}"/>
    <cellStyle name="Normal 4 3 7 4 2 4 3" xfId="25997" xr:uid="{00000000-0005-0000-0000-0000E6660000}"/>
    <cellStyle name="Normal 4 3 7 4 2 5" xfId="10493" xr:uid="{00000000-0005-0000-0000-0000E7660000}"/>
    <cellStyle name="Normal 4 3 7 4 2 5 2" xfId="30545" xr:uid="{00000000-0005-0000-0000-0000E8660000}"/>
    <cellStyle name="Normal 4 3 7 4 2 6" xfId="21515" xr:uid="{00000000-0005-0000-0000-0000E9660000}"/>
    <cellStyle name="Normal 4 3 7 4 3" xfId="2210" xr:uid="{00000000-0005-0000-0000-0000EA660000}"/>
    <cellStyle name="Normal 4 3 7 4 3 2" xfId="6692" xr:uid="{00000000-0005-0000-0000-0000EB660000}"/>
    <cellStyle name="Normal 4 3 7 4 3 2 2" xfId="15722" xr:uid="{00000000-0005-0000-0000-0000EC660000}"/>
    <cellStyle name="Normal 4 3 7 4 3 2 2 2" xfId="35774" xr:uid="{00000000-0005-0000-0000-0000ED660000}"/>
    <cellStyle name="Normal 4 3 7 4 3 2 3" xfId="26744" xr:uid="{00000000-0005-0000-0000-0000EE660000}"/>
    <cellStyle name="Normal 4 3 7 4 3 3" xfId="11240" xr:uid="{00000000-0005-0000-0000-0000EF660000}"/>
    <cellStyle name="Normal 4 3 7 4 3 3 2" xfId="31292" xr:uid="{00000000-0005-0000-0000-0000F0660000}"/>
    <cellStyle name="Normal 4 3 7 4 3 4" xfId="22262" xr:uid="{00000000-0005-0000-0000-0000F1660000}"/>
    <cellStyle name="Normal 4 3 7 4 4" xfId="3704" xr:uid="{00000000-0005-0000-0000-0000F2660000}"/>
    <cellStyle name="Normal 4 3 7 4 4 2" xfId="8186" xr:uid="{00000000-0005-0000-0000-0000F3660000}"/>
    <cellStyle name="Normal 4 3 7 4 4 2 2" xfId="17216" xr:uid="{00000000-0005-0000-0000-0000F4660000}"/>
    <cellStyle name="Normal 4 3 7 4 4 2 2 2" xfId="37268" xr:uid="{00000000-0005-0000-0000-0000F5660000}"/>
    <cellStyle name="Normal 4 3 7 4 4 2 3" xfId="28238" xr:uid="{00000000-0005-0000-0000-0000F6660000}"/>
    <cellStyle name="Normal 4 3 7 4 4 3" xfId="12734" xr:uid="{00000000-0005-0000-0000-0000F7660000}"/>
    <cellStyle name="Normal 4 3 7 4 4 3 2" xfId="32786" xr:uid="{00000000-0005-0000-0000-0000F8660000}"/>
    <cellStyle name="Normal 4 3 7 4 4 4" xfId="23756" xr:uid="{00000000-0005-0000-0000-0000F9660000}"/>
    <cellStyle name="Normal 4 3 7 4 5" xfId="5198" xr:uid="{00000000-0005-0000-0000-0000FA660000}"/>
    <cellStyle name="Normal 4 3 7 4 5 2" xfId="14228" xr:uid="{00000000-0005-0000-0000-0000FB660000}"/>
    <cellStyle name="Normal 4 3 7 4 5 2 2" xfId="34280" xr:uid="{00000000-0005-0000-0000-0000FC660000}"/>
    <cellStyle name="Normal 4 3 7 4 5 3" xfId="25250" xr:uid="{00000000-0005-0000-0000-0000FD660000}"/>
    <cellStyle name="Normal 4 3 7 4 6" xfId="9746" xr:uid="{00000000-0005-0000-0000-0000FE660000}"/>
    <cellStyle name="Normal 4 3 7 4 6 2" xfId="29798" xr:uid="{00000000-0005-0000-0000-0000FF660000}"/>
    <cellStyle name="Normal 4 3 7 4 7" xfId="20768" xr:uid="{00000000-0005-0000-0000-000000670000}"/>
    <cellStyle name="Normal 4 3 7 5" xfId="903" xr:uid="{00000000-0005-0000-0000-000001670000}"/>
    <cellStyle name="Normal 4 3 7 5 2" xfId="2397" xr:uid="{00000000-0005-0000-0000-000002670000}"/>
    <cellStyle name="Normal 4 3 7 5 2 2" xfId="6879" xr:uid="{00000000-0005-0000-0000-000003670000}"/>
    <cellStyle name="Normal 4 3 7 5 2 2 2" xfId="15909" xr:uid="{00000000-0005-0000-0000-000004670000}"/>
    <cellStyle name="Normal 4 3 7 5 2 2 2 2" xfId="35961" xr:uid="{00000000-0005-0000-0000-000005670000}"/>
    <cellStyle name="Normal 4 3 7 5 2 2 3" xfId="26931" xr:uid="{00000000-0005-0000-0000-000006670000}"/>
    <cellStyle name="Normal 4 3 7 5 2 3" xfId="11427" xr:uid="{00000000-0005-0000-0000-000007670000}"/>
    <cellStyle name="Normal 4 3 7 5 2 3 2" xfId="31479" xr:uid="{00000000-0005-0000-0000-000008670000}"/>
    <cellStyle name="Normal 4 3 7 5 2 4" xfId="22449" xr:uid="{00000000-0005-0000-0000-000009670000}"/>
    <cellStyle name="Normal 4 3 7 5 3" xfId="3891" xr:uid="{00000000-0005-0000-0000-00000A670000}"/>
    <cellStyle name="Normal 4 3 7 5 3 2" xfId="8373" xr:uid="{00000000-0005-0000-0000-00000B670000}"/>
    <cellStyle name="Normal 4 3 7 5 3 2 2" xfId="17403" xr:uid="{00000000-0005-0000-0000-00000C670000}"/>
    <cellStyle name="Normal 4 3 7 5 3 2 2 2" xfId="37455" xr:uid="{00000000-0005-0000-0000-00000D670000}"/>
    <cellStyle name="Normal 4 3 7 5 3 2 3" xfId="28425" xr:uid="{00000000-0005-0000-0000-00000E670000}"/>
    <cellStyle name="Normal 4 3 7 5 3 3" xfId="12921" xr:uid="{00000000-0005-0000-0000-00000F670000}"/>
    <cellStyle name="Normal 4 3 7 5 3 3 2" xfId="32973" xr:uid="{00000000-0005-0000-0000-000010670000}"/>
    <cellStyle name="Normal 4 3 7 5 3 4" xfId="23943" xr:uid="{00000000-0005-0000-0000-000011670000}"/>
    <cellStyle name="Normal 4 3 7 5 4" xfId="5385" xr:uid="{00000000-0005-0000-0000-000012670000}"/>
    <cellStyle name="Normal 4 3 7 5 4 2" xfId="14415" xr:uid="{00000000-0005-0000-0000-000013670000}"/>
    <cellStyle name="Normal 4 3 7 5 4 2 2" xfId="34467" xr:uid="{00000000-0005-0000-0000-000014670000}"/>
    <cellStyle name="Normal 4 3 7 5 4 3" xfId="25437" xr:uid="{00000000-0005-0000-0000-000015670000}"/>
    <cellStyle name="Normal 4 3 7 5 5" xfId="9933" xr:uid="{00000000-0005-0000-0000-000016670000}"/>
    <cellStyle name="Normal 4 3 7 5 5 2" xfId="29985" xr:uid="{00000000-0005-0000-0000-000017670000}"/>
    <cellStyle name="Normal 4 3 7 5 6" xfId="20955" xr:uid="{00000000-0005-0000-0000-000018670000}"/>
    <cellStyle name="Normal 4 3 7 6" xfId="1652" xr:uid="{00000000-0005-0000-0000-000019670000}"/>
    <cellStyle name="Normal 4 3 7 6 2" xfId="6134" xr:uid="{00000000-0005-0000-0000-00001A670000}"/>
    <cellStyle name="Normal 4 3 7 6 2 2" xfId="15164" xr:uid="{00000000-0005-0000-0000-00001B670000}"/>
    <cellStyle name="Normal 4 3 7 6 2 2 2" xfId="35216" xr:uid="{00000000-0005-0000-0000-00001C670000}"/>
    <cellStyle name="Normal 4 3 7 6 2 3" xfId="26186" xr:uid="{00000000-0005-0000-0000-00001D670000}"/>
    <cellStyle name="Normal 4 3 7 6 3" xfId="10682" xr:uid="{00000000-0005-0000-0000-00001E670000}"/>
    <cellStyle name="Normal 4 3 7 6 3 2" xfId="30734" xr:uid="{00000000-0005-0000-0000-00001F670000}"/>
    <cellStyle name="Normal 4 3 7 6 4" xfId="21704" xr:uid="{00000000-0005-0000-0000-000020670000}"/>
    <cellStyle name="Normal 4 3 7 7" xfId="3146" xr:uid="{00000000-0005-0000-0000-000021670000}"/>
    <cellStyle name="Normal 4 3 7 7 2" xfId="7628" xr:uid="{00000000-0005-0000-0000-000022670000}"/>
    <cellStyle name="Normal 4 3 7 7 2 2" xfId="16658" xr:uid="{00000000-0005-0000-0000-000023670000}"/>
    <cellStyle name="Normal 4 3 7 7 2 2 2" xfId="36710" xr:uid="{00000000-0005-0000-0000-000024670000}"/>
    <cellStyle name="Normal 4 3 7 7 2 3" xfId="27680" xr:uid="{00000000-0005-0000-0000-000025670000}"/>
    <cellStyle name="Normal 4 3 7 7 3" xfId="12176" xr:uid="{00000000-0005-0000-0000-000026670000}"/>
    <cellStyle name="Normal 4 3 7 7 3 2" xfId="32228" xr:uid="{00000000-0005-0000-0000-000027670000}"/>
    <cellStyle name="Normal 4 3 7 7 4" xfId="23198" xr:uid="{00000000-0005-0000-0000-000028670000}"/>
    <cellStyle name="Normal 4 3 7 8" xfId="4640" xr:uid="{00000000-0005-0000-0000-000029670000}"/>
    <cellStyle name="Normal 4 3 7 8 2" xfId="13670" xr:uid="{00000000-0005-0000-0000-00002A670000}"/>
    <cellStyle name="Normal 4 3 7 8 2 2" xfId="33722" xr:uid="{00000000-0005-0000-0000-00002B670000}"/>
    <cellStyle name="Normal 4 3 7 8 3" xfId="24692" xr:uid="{00000000-0005-0000-0000-00002C670000}"/>
    <cellStyle name="Normal 4 3 7 9" xfId="9188" xr:uid="{00000000-0005-0000-0000-00002D670000}"/>
    <cellStyle name="Normal 4 3 7 9 2" xfId="29240" xr:uid="{00000000-0005-0000-0000-00002E670000}"/>
    <cellStyle name="Normal 4 3 8" xfId="181" xr:uid="{00000000-0005-0000-0000-00002F670000}"/>
    <cellStyle name="Normal 4 3 8 10" xfId="20233" xr:uid="{00000000-0005-0000-0000-000030670000}"/>
    <cellStyle name="Normal 4 3 8 2" xfId="367" xr:uid="{00000000-0005-0000-0000-000031670000}"/>
    <cellStyle name="Normal 4 3 8 2 2" xfId="1110" xr:uid="{00000000-0005-0000-0000-000032670000}"/>
    <cellStyle name="Normal 4 3 8 2 2 2" xfId="2604" xr:uid="{00000000-0005-0000-0000-000033670000}"/>
    <cellStyle name="Normal 4 3 8 2 2 2 2" xfId="7086" xr:uid="{00000000-0005-0000-0000-000034670000}"/>
    <cellStyle name="Normal 4 3 8 2 2 2 2 2" xfId="16116" xr:uid="{00000000-0005-0000-0000-000035670000}"/>
    <cellStyle name="Normal 4 3 8 2 2 2 2 2 2" xfId="36168" xr:uid="{00000000-0005-0000-0000-000036670000}"/>
    <cellStyle name="Normal 4 3 8 2 2 2 2 3" xfId="27138" xr:uid="{00000000-0005-0000-0000-000037670000}"/>
    <cellStyle name="Normal 4 3 8 2 2 2 3" xfId="11634" xr:uid="{00000000-0005-0000-0000-000038670000}"/>
    <cellStyle name="Normal 4 3 8 2 2 2 3 2" xfId="31686" xr:uid="{00000000-0005-0000-0000-000039670000}"/>
    <cellStyle name="Normal 4 3 8 2 2 2 4" xfId="22656" xr:uid="{00000000-0005-0000-0000-00003A670000}"/>
    <cellStyle name="Normal 4 3 8 2 2 3" xfId="4098" xr:uid="{00000000-0005-0000-0000-00003B670000}"/>
    <cellStyle name="Normal 4 3 8 2 2 3 2" xfId="8580" xr:uid="{00000000-0005-0000-0000-00003C670000}"/>
    <cellStyle name="Normal 4 3 8 2 2 3 2 2" xfId="17610" xr:uid="{00000000-0005-0000-0000-00003D670000}"/>
    <cellStyle name="Normal 4 3 8 2 2 3 2 2 2" xfId="37662" xr:uid="{00000000-0005-0000-0000-00003E670000}"/>
    <cellStyle name="Normal 4 3 8 2 2 3 2 3" xfId="28632" xr:uid="{00000000-0005-0000-0000-00003F670000}"/>
    <cellStyle name="Normal 4 3 8 2 2 3 3" xfId="13128" xr:uid="{00000000-0005-0000-0000-000040670000}"/>
    <cellStyle name="Normal 4 3 8 2 2 3 3 2" xfId="33180" xr:uid="{00000000-0005-0000-0000-000041670000}"/>
    <cellStyle name="Normal 4 3 8 2 2 3 4" xfId="24150" xr:uid="{00000000-0005-0000-0000-000042670000}"/>
    <cellStyle name="Normal 4 3 8 2 2 4" xfId="5592" xr:uid="{00000000-0005-0000-0000-000043670000}"/>
    <cellStyle name="Normal 4 3 8 2 2 4 2" xfId="14622" xr:uid="{00000000-0005-0000-0000-000044670000}"/>
    <cellStyle name="Normal 4 3 8 2 2 4 2 2" xfId="34674" xr:uid="{00000000-0005-0000-0000-000045670000}"/>
    <cellStyle name="Normal 4 3 8 2 2 4 3" xfId="25644" xr:uid="{00000000-0005-0000-0000-000046670000}"/>
    <cellStyle name="Normal 4 3 8 2 2 5" xfId="10140" xr:uid="{00000000-0005-0000-0000-000047670000}"/>
    <cellStyle name="Normal 4 3 8 2 2 5 2" xfId="30192" xr:uid="{00000000-0005-0000-0000-000048670000}"/>
    <cellStyle name="Normal 4 3 8 2 2 6" xfId="21162" xr:uid="{00000000-0005-0000-0000-000049670000}"/>
    <cellStyle name="Normal 4 3 8 2 3" xfId="1861" xr:uid="{00000000-0005-0000-0000-00004A670000}"/>
    <cellStyle name="Normal 4 3 8 2 3 2" xfId="6343" xr:uid="{00000000-0005-0000-0000-00004B670000}"/>
    <cellStyle name="Normal 4 3 8 2 3 2 2" xfId="15373" xr:uid="{00000000-0005-0000-0000-00004C670000}"/>
    <cellStyle name="Normal 4 3 8 2 3 2 2 2" xfId="35425" xr:uid="{00000000-0005-0000-0000-00004D670000}"/>
    <cellStyle name="Normal 4 3 8 2 3 2 3" xfId="26395" xr:uid="{00000000-0005-0000-0000-00004E670000}"/>
    <cellStyle name="Normal 4 3 8 2 3 3" xfId="10891" xr:uid="{00000000-0005-0000-0000-00004F670000}"/>
    <cellStyle name="Normal 4 3 8 2 3 3 2" xfId="30943" xr:uid="{00000000-0005-0000-0000-000050670000}"/>
    <cellStyle name="Normal 4 3 8 2 3 4" xfId="21913" xr:uid="{00000000-0005-0000-0000-000051670000}"/>
    <cellStyle name="Normal 4 3 8 2 4" xfId="3355" xr:uid="{00000000-0005-0000-0000-000052670000}"/>
    <cellStyle name="Normal 4 3 8 2 4 2" xfId="7837" xr:uid="{00000000-0005-0000-0000-000053670000}"/>
    <cellStyle name="Normal 4 3 8 2 4 2 2" xfId="16867" xr:uid="{00000000-0005-0000-0000-000054670000}"/>
    <cellStyle name="Normal 4 3 8 2 4 2 2 2" xfId="36919" xr:uid="{00000000-0005-0000-0000-000055670000}"/>
    <cellStyle name="Normal 4 3 8 2 4 2 3" xfId="27889" xr:uid="{00000000-0005-0000-0000-000056670000}"/>
    <cellStyle name="Normal 4 3 8 2 4 3" xfId="12385" xr:uid="{00000000-0005-0000-0000-000057670000}"/>
    <cellStyle name="Normal 4 3 8 2 4 3 2" xfId="32437" xr:uid="{00000000-0005-0000-0000-000058670000}"/>
    <cellStyle name="Normal 4 3 8 2 4 4" xfId="23407" xr:uid="{00000000-0005-0000-0000-000059670000}"/>
    <cellStyle name="Normal 4 3 8 2 5" xfId="4849" xr:uid="{00000000-0005-0000-0000-00005A670000}"/>
    <cellStyle name="Normal 4 3 8 2 5 2" xfId="13879" xr:uid="{00000000-0005-0000-0000-00005B670000}"/>
    <cellStyle name="Normal 4 3 8 2 5 2 2" xfId="33931" xr:uid="{00000000-0005-0000-0000-00005C670000}"/>
    <cellStyle name="Normal 4 3 8 2 5 3" xfId="24901" xr:uid="{00000000-0005-0000-0000-00005D670000}"/>
    <cellStyle name="Normal 4 3 8 2 6" xfId="9397" xr:uid="{00000000-0005-0000-0000-00005E670000}"/>
    <cellStyle name="Normal 4 3 8 2 6 2" xfId="29449" xr:uid="{00000000-0005-0000-0000-00005F670000}"/>
    <cellStyle name="Normal 4 3 8 2 7" xfId="20419" xr:uid="{00000000-0005-0000-0000-000060670000}"/>
    <cellStyle name="Normal 4 3 8 3" xfId="553" xr:uid="{00000000-0005-0000-0000-000061670000}"/>
    <cellStyle name="Normal 4 3 8 3 2" xfId="1300" xr:uid="{00000000-0005-0000-0000-000062670000}"/>
    <cellStyle name="Normal 4 3 8 3 2 2" xfId="2794" xr:uid="{00000000-0005-0000-0000-000063670000}"/>
    <cellStyle name="Normal 4 3 8 3 2 2 2" xfId="7276" xr:uid="{00000000-0005-0000-0000-000064670000}"/>
    <cellStyle name="Normal 4 3 8 3 2 2 2 2" xfId="16306" xr:uid="{00000000-0005-0000-0000-000065670000}"/>
    <cellStyle name="Normal 4 3 8 3 2 2 2 2 2" xfId="36358" xr:uid="{00000000-0005-0000-0000-000066670000}"/>
    <cellStyle name="Normal 4 3 8 3 2 2 2 3" xfId="27328" xr:uid="{00000000-0005-0000-0000-000067670000}"/>
    <cellStyle name="Normal 4 3 8 3 2 2 3" xfId="11824" xr:uid="{00000000-0005-0000-0000-000068670000}"/>
    <cellStyle name="Normal 4 3 8 3 2 2 3 2" xfId="31876" xr:uid="{00000000-0005-0000-0000-000069670000}"/>
    <cellStyle name="Normal 4 3 8 3 2 2 4" xfId="22846" xr:uid="{00000000-0005-0000-0000-00006A670000}"/>
    <cellStyle name="Normal 4 3 8 3 2 3" xfId="4288" xr:uid="{00000000-0005-0000-0000-00006B670000}"/>
    <cellStyle name="Normal 4 3 8 3 2 3 2" xfId="8770" xr:uid="{00000000-0005-0000-0000-00006C670000}"/>
    <cellStyle name="Normal 4 3 8 3 2 3 2 2" xfId="17800" xr:uid="{00000000-0005-0000-0000-00006D670000}"/>
    <cellStyle name="Normal 4 3 8 3 2 3 2 2 2" xfId="37852" xr:uid="{00000000-0005-0000-0000-00006E670000}"/>
    <cellStyle name="Normal 4 3 8 3 2 3 2 3" xfId="28822" xr:uid="{00000000-0005-0000-0000-00006F670000}"/>
    <cellStyle name="Normal 4 3 8 3 2 3 3" xfId="13318" xr:uid="{00000000-0005-0000-0000-000070670000}"/>
    <cellStyle name="Normal 4 3 8 3 2 3 3 2" xfId="33370" xr:uid="{00000000-0005-0000-0000-000071670000}"/>
    <cellStyle name="Normal 4 3 8 3 2 3 4" xfId="24340" xr:uid="{00000000-0005-0000-0000-000072670000}"/>
    <cellStyle name="Normal 4 3 8 3 2 4" xfId="5782" xr:uid="{00000000-0005-0000-0000-000073670000}"/>
    <cellStyle name="Normal 4 3 8 3 2 4 2" xfId="14812" xr:uid="{00000000-0005-0000-0000-000074670000}"/>
    <cellStyle name="Normal 4 3 8 3 2 4 2 2" xfId="34864" xr:uid="{00000000-0005-0000-0000-000075670000}"/>
    <cellStyle name="Normal 4 3 8 3 2 4 3" xfId="25834" xr:uid="{00000000-0005-0000-0000-000076670000}"/>
    <cellStyle name="Normal 4 3 8 3 2 5" xfId="10330" xr:uid="{00000000-0005-0000-0000-000077670000}"/>
    <cellStyle name="Normal 4 3 8 3 2 5 2" xfId="30382" xr:uid="{00000000-0005-0000-0000-000078670000}"/>
    <cellStyle name="Normal 4 3 8 3 2 6" xfId="21352" xr:uid="{00000000-0005-0000-0000-000079670000}"/>
    <cellStyle name="Normal 4 3 8 3 3" xfId="2047" xr:uid="{00000000-0005-0000-0000-00007A670000}"/>
    <cellStyle name="Normal 4 3 8 3 3 2" xfId="6529" xr:uid="{00000000-0005-0000-0000-00007B670000}"/>
    <cellStyle name="Normal 4 3 8 3 3 2 2" xfId="15559" xr:uid="{00000000-0005-0000-0000-00007C670000}"/>
    <cellStyle name="Normal 4 3 8 3 3 2 2 2" xfId="35611" xr:uid="{00000000-0005-0000-0000-00007D670000}"/>
    <cellStyle name="Normal 4 3 8 3 3 2 3" xfId="26581" xr:uid="{00000000-0005-0000-0000-00007E670000}"/>
    <cellStyle name="Normal 4 3 8 3 3 3" xfId="11077" xr:uid="{00000000-0005-0000-0000-00007F670000}"/>
    <cellStyle name="Normal 4 3 8 3 3 3 2" xfId="31129" xr:uid="{00000000-0005-0000-0000-000080670000}"/>
    <cellStyle name="Normal 4 3 8 3 3 4" xfId="22099" xr:uid="{00000000-0005-0000-0000-000081670000}"/>
    <cellStyle name="Normal 4 3 8 3 4" xfId="3541" xr:uid="{00000000-0005-0000-0000-000082670000}"/>
    <cellStyle name="Normal 4 3 8 3 4 2" xfId="8023" xr:uid="{00000000-0005-0000-0000-000083670000}"/>
    <cellStyle name="Normal 4 3 8 3 4 2 2" xfId="17053" xr:uid="{00000000-0005-0000-0000-000084670000}"/>
    <cellStyle name="Normal 4 3 8 3 4 2 2 2" xfId="37105" xr:uid="{00000000-0005-0000-0000-000085670000}"/>
    <cellStyle name="Normal 4 3 8 3 4 2 3" xfId="28075" xr:uid="{00000000-0005-0000-0000-000086670000}"/>
    <cellStyle name="Normal 4 3 8 3 4 3" xfId="12571" xr:uid="{00000000-0005-0000-0000-000087670000}"/>
    <cellStyle name="Normal 4 3 8 3 4 3 2" xfId="32623" xr:uid="{00000000-0005-0000-0000-000088670000}"/>
    <cellStyle name="Normal 4 3 8 3 4 4" xfId="23593" xr:uid="{00000000-0005-0000-0000-000089670000}"/>
    <cellStyle name="Normal 4 3 8 3 5" xfId="5035" xr:uid="{00000000-0005-0000-0000-00008A670000}"/>
    <cellStyle name="Normal 4 3 8 3 5 2" xfId="14065" xr:uid="{00000000-0005-0000-0000-00008B670000}"/>
    <cellStyle name="Normal 4 3 8 3 5 2 2" xfId="34117" xr:uid="{00000000-0005-0000-0000-00008C670000}"/>
    <cellStyle name="Normal 4 3 8 3 5 3" xfId="25087" xr:uid="{00000000-0005-0000-0000-00008D670000}"/>
    <cellStyle name="Normal 4 3 8 3 6" xfId="9583" xr:uid="{00000000-0005-0000-0000-00008E670000}"/>
    <cellStyle name="Normal 4 3 8 3 6 2" xfId="29635" xr:uid="{00000000-0005-0000-0000-00008F670000}"/>
    <cellStyle name="Normal 4 3 8 3 7" xfId="20605" xr:uid="{00000000-0005-0000-0000-000090670000}"/>
    <cellStyle name="Normal 4 3 8 4" xfId="739" xr:uid="{00000000-0005-0000-0000-000091670000}"/>
    <cellStyle name="Normal 4 3 8 4 2" xfId="1486" xr:uid="{00000000-0005-0000-0000-000092670000}"/>
    <cellStyle name="Normal 4 3 8 4 2 2" xfId="2980" xr:uid="{00000000-0005-0000-0000-000093670000}"/>
    <cellStyle name="Normal 4 3 8 4 2 2 2" xfId="7462" xr:uid="{00000000-0005-0000-0000-000094670000}"/>
    <cellStyle name="Normal 4 3 8 4 2 2 2 2" xfId="16492" xr:uid="{00000000-0005-0000-0000-000095670000}"/>
    <cellStyle name="Normal 4 3 8 4 2 2 2 2 2" xfId="36544" xr:uid="{00000000-0005-0000-0000-000096670000}"/>
    <cellStyle name="Normal 4 3 8 4 2 2 2 3" xfId="27514" xr:uid="{00000000-0005-0000-0000-000097670000}"/>
    <cellStyle name="Normal 4 3 8 4 2 2 3" xfId="12010" xr:uid="{00000000-0005-0000-0000-000098670000}"/>
    <cellStyle name="Normal 4 3 8 4 2 2 3 2" xfId="32062" xr:uid="{00000000-0005-0000-0000-000099670000}"/>
    <cellStyle name="Normal 4 3 8 4 2 2 4" xfId="23032" xr:uid="{00000000-0005-0000-0000-00009A670000}"/>
    <cellStyle name="Normal 4 3 8 4 2 3" xfId="4474" xr:uid="{00000000-0005-0000-0000-00009B670000}"/>
    <cellStyle name="Normal 4 3 8 4 2 3 2" xfId="8956" xr:uid="{00000000-0005-0000-0000-00009C670000}"/>
    <cellStyle name="Normal 4 3 8 4 2 3 2 2" xfId="17986" xr:uid="{00000000-0005-0000-0000-00009D670000}"/>
    <cellStyle name="Normal 4 3 8 4 2 3 2 2 2" xfId="38038" xr:uid="{00000000-0005-0000-0000-00009E670000}"/>
    <cellStyle name="Normal 4 3 8 4 2 3 2 3" xfId="29008" xr:uid="{00000000-0005-0000-0000-00009F670000}"/>
    <cellStyle name="Normal 4 3 8 4 2 3 3" xfId="13504" xr:uid="{00000000-0005-0000-0000-0000A0670000}"/>
    <cellStyle name="Normal 4 3 8 4 2 3 3 2" xfId="33556" xr:uid="{00000000-0005-0000-0000-0000A1670000}"/>
    <cellStyle name="Normal 4 3 8 4 2 3 4" xfId="24526" xr:uid="{00000000-0005-0000-0000-0000A2670000}"/>
    <cellStyle name="Normal 4 3 8 4 2 4" xfId="5968" xr:uid="{00000000-0005-0000-0000-0000A3670000}"/>
    <cellStyle name="Normal 4 3 8 4 2 4 2" xfId="14998" xr:uid="{00000000-0005-0000-0000-0000A4670000}"/>
    <cellStyle name="Normal 4 3 8 4 2 4 2 2" xfId="35050" xr:uid="{00000000-0005-0000-0000-0000A5670000}"/>
    <cellStyle name="Normal 4 3 8 4 2 4 3" xfId="26020" xr:uid="{00000000-0005-0000-0000-0000A6670000}"/>
    <cellStyle name="Normal 4 3 8 4 2 5" xfId="10516" xr:uid="{00000000-0005-0000-0000-0000A7670000}"/>
    <cellStyle name="Normal 4 3 8 4 2 5 2" xfId="30568" xr:uid="{00000000-0005-0000-0000-0000A8670000}"/>
    <cellStyle name="Normal 4 3 8 4 2 6" xfId="21538" xr:uid="{00000000-0005-0000-0000-0000A9670000}"/>
    <cellStyle name="Normal 4 3 8 4 3" xfId="2233" xr:uid="{00000000-0005-0000-0000-0000AA670000}"/>
    <cellStyle name="Normal 4 3 8 4 3 2" xfId="6715" xr:uid="{00000000-0005-0000-0000-0000AB670000}"/>
    <cellStyle name="Normal 4 3 8 4 3 2 2" xfId="15745" xr:uid="{00000000-0005-0000-0000-0000AC670000}"/>
    <cellStyle name="Normal 4 3 8 4 3 2 2 2" xfId="35797" xr:uid="{00000000-0005-0000-0000-0000AD670000}"/>
    <cellStyle name="Normal 4 3 8 4 3 2 3" xfId="26767" xr:uid="{00000000-0005-0000-0000-0000AE670000}"/>
    <cellStyle name="Normal 4 3 8 4 3 3" xfId="11263" xr:uid="{00000000-0005-0000-0000-0000AF670000}"/>
    <cellStyle name="Normal 4 3 8 4 3 3 2" xfId="31315" xr:uid="{00000000-0005-0000-0000-0000B0670000}"/>
    <cellStyle name="Normal 4 3 8 4 3 4" xfId="22285" xr:uid="{00000000-0005-0000-0000-0000B1670000}"/>
    <cellStyle name="Normal 4 3 8 4 4" xfId="3727" xr:uid="{00000000-0005-0000-0000-0000B2670000}"/>
    <cellStyle name="Normal 4 3 8 4 4 2" xfId="8209" xr:uid="{00000000-0005-0000-0000-0000B3670000}"/>
    <cellStyle name="Normal 4 3 8 4 4 2 2" xfId="17239" xr:uid="{00000000-0005-0000-0000-0000B4670000}"/>
    <cellStyle name="Normal 4 3 8 4 4 2 2 2" xfId="37291" xr:uid="{00000000-0005-0000-0000-0000B5670000}"/>
    <cellStyle name="Normal 4 3 8 4 4 2 3" xfId="28261" xr:uid="{00000000-0005-0000-0000-0000B6670000}"/>
    <cellStyle name="Normal 4 3 8 4 4 3" xfId="12757" xr:uid="{00000000-0005-0000-0000-0000B7670000}"/>
    <cellStyle name="Normal 4 3 8 4 4 3 2" xfId="32809" xr:uid="{00000000-0005-0000-0000-0000B8670000}"/>
    <cellStyle name="Normal 4 3 8 4 4 4" xfId="23779" xr:uid="{00000000-0005-0000-0000-0000B9670000}"/>
    <cellStyle name="Normal 4 3 8 4 5" xfId="5221" xr:uid="{00000000-0005-0000-0000-0000BA670000}"/>
    <cellStyle name="Normal 4 3 8 4 5 2" xfId="14251" xr:uid="{00000000-0005-0000-0000-0000BB670000}"/>
    <cellStyle name="Normal 4 3 8 4 5 2 2" xfId="34303" xr:uid="{00000000-0005-0000-0000-0000BC670000}"/>
    <cellStyle name="Normal 4 3 8 4 5 3" xfId="25273" xr:uid="{00000000-0005-0000-0000-0000BD670000}"/>
    <cellStyle name="Normal 4 3 8 4 6" xfId="9769" xr:uid="{00000000-0005-0000-0000-0000BE670000}"/>
    <cellStyle name="Normal 4 3 8 4 6 2" xfId="29821" xr:uid="{00000000-0005-0000-0000-0000BF670000}"/>
    <cellStyle name="Normal 4 3 8 4 7" xfId="20791" xr:uid="{00000000-0005-0000-0000-0000C0670000}"/>
    <cellStyle name="Normal 4 3 8 5" xfId="926" xr:uid="{00000000-0005-0000-0000-0000C1670000}"/>
    <cellStyle name="Normal 4 3 8 5 2" xfId="2420" xr:uid="{00000000-0005-0000-0000-0000C2670000}"/>
    <cellStyle name="Normal 4 3 8 5 2 2" xfId="6902" xr:uid="{00000000-0005-0000-0000-0000C3670000}"/>
    <cellStyle name="Normal 4 3 8 5 2 2 2" xfId="15932" xr:uid="{00000000-0005-0000-0000-0000C4670000}"/>
    <cellStyle name="Normal 4 3 8 5 2 2 2 2" xfId="35984" xr:uid="{00000000-0005-0000-0000-0000C5670000}"/>
    <cellStyle name="Normal 4 3 8 5 2 2 3" xfId="26954" xr:uid="{00000000-0005-0000-0000-0000C6670000}"/>
    <cellStyle name="Normal 4 3 8 5 2 3" xfId="11450" xr:uid="{00000000-0005-0000-0000-0000C7670000}"/>
    <cellStyle name="Normal 4 3 8 5 2 3 2" xfId="31502" xr:uid="{00000000-0005-0000-0000-0000C8670000}"/>
    <cellStyle name="Normal 4 3 8 5 2 4" xfId="22472" xr:uid="{00000000-0005-0000-0000-0000C9670000}"/>
    <cellStyle name="Normal 4 3 8 5 3" xfId="3914" xr:uid="{00000000-0005-0000-0000-0000CA670000}"/>
    <cellStyle name="Normal 4 3 8 5 3 2" xfId="8396" xr:uid="{00000000-0005-0000-0000-0000CB670000}"/>
    <cellStyle name="Normal 4 3 8 5 3 2 2" xfId="17426" xr:uid="{00000000-0005-0000-0000-0000CC670000}"/>
    <cellStyle name="Normal 4 3 8 5 3 2 2 2" xfId="37478" xr:uid="{00000000-0005-0000-0000-0000CD670000}"/>
    <cellStyle name="Normal 4 3 8 5 3 2 3" xfId="28448" xr:uid="{00000000-0005-0000-0000-0000CE670000}"/>
    <cellStyle name="Normal 4 3 8 5 3 3" xfId="12944" xr:uid="{00000000-0005-0000-0000-0000CF670000}"/>
    <cellStyle name="Normal 4 3 8 5 3 3 2" xfId="32996" xr:uid="{00000000-0005-0000-0000-0000D0670000}"/>
    <cellStyle name="Normal 4 3 8 5 3 4" xfId="23966" xr:uid="{00000000-0005-0000-0000-0000D1670000}"/>
    <cellStyle name="Normal 4 3 8 5 4" xfId="5408" xr:uid="{00000000-0005-0000-0000-0000D2670000}"/>
    <cellStyle name="Normal 4 3 8 5 4 2" xfId="14438" xr:uid="{00000000-0005-0000-0000-0000D3670000}"/>
    <cellStyle name="Normal 4 3 8 5 4 2 2" xfId="34490" xr:uid="{00000000-0005-0000-0000-0000D4670000}"/>
    <cellStyle name="Normal 4 3 8 5 4 3" xfId="25460" xr:uid="{00000000-0005-0000-0000-0000D5670000}"/>
    <cellStyle name="Normal 4 3 8 5 5" xfId="9956" xr:uid="{00000000-0005-0000-0000-0000D6670000}"/>
    <cellStyle name="Normal 4 3 8 5 5 2" xfId="30008" xr:uid="{00000000-0005-0000-0000-0000D7670000}"/>
    <cellStyle name="Normal 4 3 8 5 6" xfId="20978" xr:uid="{00000000-0005-0000-0000-0000D8670000}"/>
    <cellStyle name="Normal 4 3 8 6" xfId="1675" xr:uid="{00000000-0005-0000-0000-0000D9670000}"/>
    <cellStyle name="Normal 4 3 8 6 2" xfId="6157" xr:uid="{00000000-0005-0000-0000-0000DA670000}"/>
    <cellStyle name="Normal 4 3 8 6 2 2" xfId="15187" xr:uid="{00000000-0005-0000-0000-0000DB670000}"/>
    <cellStyle name="Normal 4 3 8 6 2 2 2" xfId="35239" xr:uid="{00000000-0005-0000-0000-0000DC670000}"/>
    <cellStyle name="Normal 4 3 8 6 2 3" xfId="26209" xr:uid="{00000000-0005-0000-0000-0000DD670000}"/>
    <cellStyle name="Normal 4 3 8 6 3" xfId="10705" xr:uid="{00000000-0005-0000-0000-0000DE670000}"/>
    <cellStyle name="Normal 4 3 8 6 3 2" xfId="30757" xr:uid="{00000000-0005-0000-0000-0000DF670000}"/>
    <cellStyle name="Normal 4 3 8 6 4" xfId="21727" xr:uid="{00000000-0005-0000-0000-0000E0670000}"/>
    <cellStyle name="Normal 4 3 8 7" xfId="3169" xr:uid="{00000000-0005-0000-0000-0000E1670000}"/>
    <cellStyle name="Normal 4 3 8 7 2" xfId="7651" xr:uid="{00000000-0005-0000-0000-0000E2670000}"/>
    <cellStyle name="Normal 4 3 8 7 2 2" xfId="16681" xr:uid="{00000000-0005-0000-0000-0000E3670000}"/>
    <cellStyle name="Normal 4 3 8 7 2 2 2" xfId="36733" xr:uid="{00000000-0005-0000-0000-0000E4670000}"/>
    <cellStyle name="Normal 4 3 8 7 2 3" xfId="27703" xr:uid="{00000000-0005-0000-0000-0000E5670000}"/>
    <cellStyle name="Normal 4 3 8 7 3" xfId="12199" xr:uid="{00000000-0005-0000-0000-0000E6670000}"/>
    <cellStyle name="Normal 4 3 8 7 3 2" xfId="32251" xr:uid="{00000000-0005-0000-0000-0000E7670000}"/>
    <cellStyle name="Normal 4 3 8 7 4" xfId="23221" xr:uid="{00000000-0005-0000-0000-0000E8670000}"/>
    <cellStyle name="Normal 4 3 8 8" xfId="4663" xr:uid="{00000000-0005-0000-0000-0000E9670000}"/>
    <cellStyle name="Normal 4 3 8 8 2" xfId="13693" xr:uid="{00000000-0005-0000-0000-0000EA670000}"/>
    <cellStyle name="Normal 4 3 8 8 2 2" xfId="33745" xr:uid="{00000000-0005-0000-0000-0000EB670000}"/>
    <cellStyle name="Normal 4 3 8 8 3" xfId="24715" xr:uid="{00000000-0005-0000-0000-0000EC670000}"/>
    <cellStyle name="Normal 4 3 8 9" xfId="9211" xr:uid="{00000000-0005-0000-0000-0000ED670000}"/>
    <cellStyle name="Normal 4 3 8 9 2" xfId="29263" xr:uid="{00000000-0005-0000-0000-0000EE670000}"/>
    <cellStyle name="Normal 4 3 9" xfId="204" xr:uid="{00000000-0005-0000-0000-0000EF670000}"/>
    <cellStyle name="Normal 4 3 9 2" xfId="949" xr:uid="{00000000-0005-0000-0000-0000F0670000}"/>
    <cellStyle name="Normal 4 3 9 2 2" xfId="2443" xr:uid="{00000000-0005-0000-0000-0000F1670000}"/>
    <cellStyle name="Normal 4 3 9 2 2 2" xfId="6925" xr:uid="{00000000-0005-0000-0000-0000F2670000}"/>
    <cellStyle name="Normal 4 3 9 2 2 2 2" xfId="15955" xr:uid="{00000000-0005-0000-0000-0000F3670000}"/>
    <cellStyle name="Normal 4 3 9 2 2 2 2 2" xfId="36007" xr:uid="{00000000-0005-0000-0000-0000F4670000}"/>
    <cellStyle name="Normal 4 3 9 2 2 2 3" xfId="26977" xr:uid="{00000000-0005-0000-0000-0000F5670000}"/>
    <cellStyle name="Normal 4 3 9 2 2 3" xfId="11473" xr:uid="{00000000-0005-0000-0000-0000F6670000}"/>
    <cellStyle name="Normal 4 3 9 2 2 3 2" xfId="31525" xr:uid="{00000000-0005-0000-0000-0000F7670000}"/>
    <cellStyle name="Normal 4 3 9 2 2 4" xfId="22495" xr:uid="{00000000-0005-0000-0000-0000F8670000}"/>
    <cellStyle name="Normal 4 3 9 2 3" xfId="3937" xr:uid="{00000000-0005-0000-0000-0000F9670000}"/>
    <cellStyle name="Normal 4 3 9 2 3 2" xfId="8419" xr:uid="{00000000-0005-0000-0000-0000FA670000}"/>
    <cellStyle name="Normal 4 3 9 2 3 2 2" xfId="17449" xr:uid="{00000000-0005-0000-0000-0000FB670000}"/>
    <cellStyle name="Normal 4 3 9 2 3 2 2 2" xfId="37501" xr:uid="{00000000-0005-0000-0000-0000FC670000}"/>
    <cellStyle name="Normal 4 3 9 2 3 2 3" xfId="28471" xr:uid="{00000000-0005-0000-0000-0000FD670000}"/>
    <cellStyle name="Normal 4 3 9 2 3 3" xfId="12967" xr:uid="{00000000-0005-0000-0000-0000FE670000}"/>
    <cellStyle name="Normal 4 3 9 2 3 3 2" xfId="33019" xr:uid="{00000000-0005-0000-0000-0000FF670000}"/>
    <cellStyle name="Normal 4 3 9 2 3 4" xfId="23989" xr:uid="{00000000-0005-0000-0000-000000680000}"/>
    <cellStyle name="Normal 4 3 9 2 4" xfId="5431" xr:uid="{00000000-0005-0000-0000-000001680000}"/>
    <cellStyle name="Normal 4 3 9 2 4 2" xfId="14461" xr:uid="{00000000-0005-0000-0000-000002680000}"/>
    <cellStyle name="Normal 4 3 9 2 4 2 2" xfId="34513" xr:uid="{00000000-0005-0000-0000-000003680000}"/>
    <cellStyle name="Normal 4 3 9 2 4 3" xfId="25483" xr:uid="{00000000-0005-0000-0000-000004680000}"/>
    <cellStyle name="Normal 4 3 9 2 5" xfId="9979" xr:uid="{00000000-0005-0000-0000-000005680000}"/>
    <cellStyle name="Normal 4 3 9 2 5 2" xfId="30031" xr:uid="{00000000-0005-0000-0000-000006680000}"/>
    <cellStyle name="Normal 4 3 9 2 6" xfId="21001" xr:uid="{00000000-0005-0000-0000-000007680000}"/>
    <cellStyle name="Normal 4 3 9 3" xfId="1698" xr:uid="{00000000-0005-0000-0000-000008680000}"/>
    <cellStyle name="Normal 4 3 9 3 2" xfId="6180" xr:uid="{00000000-0005-0000-0000-000009680000}"/>
    <cellStyle name="Normal 4 3 9 3 2 2" xfId="15210" xr:uid="{00000000-0005-0000-0000-00000A680000}"/>
    <cellStyle name="Normal 4 3 9 3 2 2 2" xfId="35262" xr:uid="{00000000-0005-0000-0000-00000B680000}"/>
    <cellStyle name="Normal 4 3 9 3 2 3" xfId="26232" xr:uid="{00000000-0005-0000-0000-00000C680000}"/>
    <cellStyle name="Normal 4 3 9 3 3" xfId="10728" xr:uid="{00000000-0005-0000-0000-00000D680000}"/>
    <cellStyle name="Normal 4 3 9 3 3 2" xfId="30780" xr:uid="{00000000-0005-0000-0000-00000E680000}"/>
    <cellStyle name="Normal 4 3 9 3 4" xfId="21750" xr:uid="{00000000-0005-0000-0000-00000F680000}"/>
    <cellStyle name="Normal 4 3 9 4" xfId="3192" xr:uid="{00000000-0005-0000-0000-000010680000}"/>
    <cellStyle name="Normal 4 3 9 4 2" xfId="7674" xr:uid="{00000000-0005-0000-0000-000011680000}"/>
    <cellStyle name="Normal 4 3 9 4 2 2" xfId="16704" xr:uid="{00000000-0005-0000-0000-000012680000}"/>
    <cellStyle name="Normal 4 3 9 4 2 2 2" xfId="36756" xr:uid="{00000000-0005-0000-0000-000013680000}"/>
    <cellStyle name="Normal 4 3 9 4 2 3" xfId="27726" xr:uid="{00000000-0005-0000-0000-000014680000}"/>
    <cellStyle name="Normal 4 3 9 4 3" xfId="12222" xr:uid="{00000000-0005-0000-0000-000015680000}"/>
    <cellStyle name="Normal 4 3 9 4 3 2" xfId="32274" xr:uid="{00000000-0005-0000-0000-000016680000}"/>
    <cellStyle name="Normal 4 3 9 4 4" xfId="23244" xr:uid="{00000000-0005-0000-0000-000017680000}"/>
    <cellStyle name="Normal 4 3 9 5" xfId="4686" xr:uid="{00000000-0005-0000-0000-000018680000}"/>
    <cellStyle name="Normal 4 3 9 5 2" xfId="13716" xr:uid="{00000000-0005-0000-0000-000019680000}"/>
    <cellStyle name="Normal 4 3 9 5 2 2" xfId="33768" xr:uid="{00000000-0005-0000-0000-00001A680000}"/>
    <cellStyle name="Normal 4 3 9 5 3" xfId="24738" xr:uid="{00000000-0005-0000-0000-00001B680000}"/>
    <cellStyle name="Normal 4 3 9 6" xfId="9234" xr:uid="{00000000-0005-0000-0000-00001C680000}"/>
    <cellStyle name="Normal 4 3 9 6 2" xfId="29286" xr:uid="{00000000-0005-0000-0000-00001D680000}"/>
    <cellStyle name="Normal 4 3 9 7" xfId="20256" xr:uid="{00000000-0005-0000-0000-00001E680000}"/>
    <cellStyle name="Normal 4 4" xfId="31" xr:uid="{00000000-0005-0000-0000-00001F680000}"/>
    <cellStyle name="Normal 4 4 10" xfId="20083" xr:uid="{00000000-0005-0000-0000-000020680000}"/>
    <cellStyle name="Normal 4 4 2" xfId="217" xr:uid="{00000000-0005-0000-0000-000021680000}"/>
    <cellStyle name="Normal 4 4 2 2" xfId="962" xr:uid="{00000000-0005-0000-0000-000022680000}"/>
    <cellStyle name="Normal 4 4 2 2 2" xfId="2456" xr:uid="{00000000-0005-0000-0000-000023680000}"/>
    <cellStyle name="Normal 4 4 2 2 2 2" xfId="6938" xr:uid="{00000000-0005-0000-0000-000024680000}"/>
    <cellStyle name="Normal 4 4 2 2 2 2 2" xfId="15968" xr:uid="{00000000-0005-0000-0000-000025680000}"/>
    <cellStyle name="Normal 4 4 2 2 2 2 2 2" xfId="36020" xr:uid="{00000000-0005-0000-0000-000026680000}"/>
    <cellStyle name="Normal 4 4 2 2 2 2 3" xfId="26990" xr:uid="{00000000-0005-0000-0000-000027680000}"/>
    <cellStyle name="Normal 4 4 2 2 2 3" xfId="11486" xr:uid="{00000000-0005-0000-0000-000028680000}"/>
    <cellStyle name="Normal 4 4 2 2 2 3 2" xfId="31538" xr:uid="{00000000-0005-0000-0000-000029680000}"/>
    <cellStyle name="Normal 4 4 2 2 2 4" xfId="22508" xr:uid="{00000000-0005-0000-0000-00002A680000}"/>
    <cellStyle name="Normal 4 4 2 2 3" xfId="3950" xr:uid="{00000000-0005-0000-0000-00002B680000}"/>
    <cellStyle name="Normal 4 4 2 2 3 2" xfId="8432" xr:uid="{00000000-0005-0000-0000-00002C680000}"/>
    <cellStyle name="Normal 4 4 2 2 3 2 2" xfId="17462" xr:uid="{00000000-0005-0000-0000-00002D680000}"/>
    <cellStyle name="Normal 4 4 2 2 3 2 2 2" xfId="37514" xr:uid="{00000000-0005-0000-0000-00002E680000}"/>
    <cellStyle name="Normal 4 4 2 2 3 2 3" xfId="28484" xr:uid="{00000000-0005-0000-0000-00002F680000}"/>
    <cellStyle name="Normal 4 4 2 2 3 3" xfId="12980" xr:uid="{00000000-0005-0000-0000-000030680000}"/>
    <cellStyle name="Normal 4 4 2 2 3 3 2" xfId="33032" xr:uid="{00000000-0005-0000-0000-000031680000}"/>
    <cellStyle name="Normal 4 4 2 2 3 4" xfId="24002" xr:uid="{00000000-0005-0000-0000-000032680000}"/>
    <cellStyle name="Normal 4 4 2 2 4" xfId="5444" xr:uid="{00000000-0005-0000-0000-000033680000}"/>
    <cellStyle name="Normal 4 4 2 2 4 2" xfId="14474" xr:uid="{00000000-0005-0000-0000-000034680000}"/>
    <cellStyle name="Normal 4 4 2 2 4 2 2" xfId="34526" xr:uid="{00000000-0005-0000-0000-000035680000}"/>
    <cellStyle name="Normal 4 4 2 2 4 3" xfId="25496" xr:uid="{00000000-0005-0000-0000-000036680000}"/>
    <cellStyle name="Normal 4 4 2 2 5" xfId="9992" xr:uid="{00000000-0005-0000-0000-000037680000}"/>
    <cellStyle name="Normal 4 4 2 2 5 2" xfId="30044" xr:uid="{00000000-0005-0000-0000-000038680000}"/>
    <cellStyle name="Normal 4 4 2 2 6" xfId="21014" xr:uid="{00000000-0005-0000-0000-000039680000}"/>
    <cellStyle name="Normal 4 4 2 3" xfId="1711" xr:uid="{00000000-0005-0000-0000-00003A680000}"/>
    <cellStyle name="Normal 4 4 2 3 2" xfId="6193" xr:uid="{00000000-0005-0000-0000-00003B680000}"/>
    <cellStyle name="Normal 4 4 2 3 2 2" xfId="15223" xr:uid="{00000000-0005-0000-0000-00003C680000}"/>
    <cellStyle name="Normal 4 4 2 3 2 2 2" xfId="35275" xr:uid="{00000000-0005-0000-0000-00003D680000}"/>
    <cellStyle name="Normal 4 4 2 3 2 3" xfId="26245" xr:uid="{00000000-0005-0000-0000-00003E680000}"/>
    <cellStyle name="Normal 4 4 2 3 3" xfId="10741" xr:uid="{00000000-0005-0000-0000-00003F680000}"/>
    <cellStyle name="Normal 4 4 2 3 3 2" xfId="30793" xr:uid="{00000000-0005-0000-0000-000040680000}"/>
    <cellStyle name="Normal 4 4 2 3 4" xfId="21763" xr:uid="{00000000-0005-0000-0000-000041680000}"/>
    <cellStyle name="Normal 4 4 2 4" xfId="3205" xr:uid="{00000000-0005-0000-0000-000042680000}"/>
    <cellStyle name="Normal 4 4 2 4 2" xfId="7687" xr:uid="{00000000-0005-0000-0000-000043680000}"/>
    <cellStyle name="Normal 4 4 2 4 2 2" xfId="16717" xr:uid="{00000000-0005-0000-0000-000044680000}"/>
    <cellStyle name="Normal 4 4 2 4 2 2 2" xfId="36769" xr:uid="{00000000-0005-0000-0000-000045680000}"/>
    <cellStyle name="Normal 4 4 2 4 2 3" xfId="27739" xr:uid="{00000000-0005-0000-0000-000046680000}"/>
    <cellStyle name="Normal 4 4 2 4 3" xfId="12235" xr:uid="{00000000-0005-0000-0000-000047680000}"/>
    <cellStyle name="Normal 4 4 2 4 3 2" xfId="32287" xr:uid="{00000000-0005-0000-0000-000048680000}"/>
    <cellStyle name="Normal 4 4 2 4 4" xfId="23257" xr:uid="{00000000-0005-0000-0000-000049680000}"/>
    <cellStyle name="Normal 4 4 2 5" xfId="4699" xr:uid="{00000000-0005-0000-0000-00004A680000}"/>
    <cellStyle name="Normal 4 4 2 5 2" xfId="13729" xr:uid="{00000000-0005-0000-0000-00004B680000}"/>
    <cellStyle name="Normal 4 4 2 5 2 2" xfId="33781" xr:uid="{00000000-0005-0000-0000-00004C680000}"/>
    <cellStyle name="Normal 4 4 2 5 3" xfId="24751" xr:uid="{00000000-0005-0000-0000-00004D680000}"/>
    <cellStyle name="Normal 4 4 2 6" xfId="9247" xr:uid="{00000000-0005-0000-0000-00004E680000}"/>
    <cellStyle name="Normal 4 4 2 6 2" xfId="29299" xr:uid="{00000000-0005-0000-0000-00004F680000}"/>
    <cellStyle name="Normal 4 4 2 7" xfId="20269" xr:uid="{00000000-0005-0000-0000-000050680000}"/>
    <cellStyle name="Normal 4 4 3" xfId="403" xr:uid="{00000000-0005-0000-0000-000051680000}"/>
    <cellStyle name="Normal 4 4 3 2" xfId="1150" xr:uid="{00000000-0005-0000-0000-000052680000}"/>
    <cellStyle name="Normal 4 4 3 2 2" xfId="2644" xr:uid="{00000000-0005-0000-0000-000053680000}"/>
    <cellStyle name="Normal 4 4 3 2 2 2" xfId="7126" xr:uid="{00000000-0005-0000-0000-000054680000}"/>
    <cellStyle name="Normal 4 4 3 2 2 2 2" xfId="16156" xr:uid="{00000000-0005-0000-0000-000055680000}"/>
    <cellStyle name="Normal 4 4 3 2 2 2 2 2" xfId="36208" xr:uid="{00000000-0005-0000-0000-000056680000}"/>
    <cellStyle name="Normal 4 4 3 2 2 2 3" xfId="27178" xr:uid="{00000000-0005-0000-0000-000057680000}"/>
    <cellStyle name="Normal 4 4 3 2 2 3" xfId="11674" xr:uid="{00000000-0005-0000-0000-000058680000}"/>
    <cellStyle name="Normal 4 4 3 2 2 3 2" xfId="31726" xr:uid="{00000000-0005-0000-0000-000059680000}"/>
    <cellStyle name="Normal 4 4 3 2 2 4" xfId="22696" xr:uid="{00000000-0005-0000-0000-00005A680000}"/>
    <cellStyle name="Normal 4 4 3 2 3" xfId="4138" xr:uid="{00000000-0005-0000-0000-00005B680000}"/>
    <cellStyle name="Normal 4 4 3 2 3 2" xfId="8620" xr:uid="{00000000-0005-0000-0000-00005C680000}"/>
    <cellStyle name="Normal 4 4 3 2 3 2 2" xfId="17650" xr:uid="{00000000-0005-0000-0000-00005D680000}"/>
    <cellStyle name="Normal 4 4 3 2 3 2 2 2" xfId="37702" xr:uid="{00000000-0005-0000-0000-00005E680000}"/>
    <cellStyle name="Normal 4 4 3 2 3 2 3" xfId="28672" xr:uid="{00000000-0005-0000-0000-00005F680000}"/>
    <cellStyle name="Normal 4 4 3 2 3 3" xfId="13168" xr:uid="{00000000-0005-0000-0000-000060680000}"/>
    <cellStyle name="Normal 4 4 3 2 3 3 2" xfId="33220" xr:uid="{00000000-0005-0000-0000-000061680000}"/>
    <cellStyle name="Normal 4 4 3 2 3 4" xfId="24190" xr:uid="{00000000-0005-0000-0000-000062680000}"/>
    <cellStyle name="Normal 4 4 3 2 4" xfId="5632" xr:uid="{00000000-0005-0000-0000-000063680000}"/>
    <cellStyle name="Normal 4 4 3 2 4 2" xfId="14662" xr:uid="{00000000-0005-0000-0000-000064680000}"/>
    <cellStyle name="Normal 4 4 3 2 4 2 2" xfId="34714" xr:uid="{00000000-0005-0000-0000-000065680000}"/>
    <cellStyle name="Normal 4 4 3 2 4 3" xfId="25684" xr:uid="{00000000-0005-0000-0000-000066680000}"/>
    <cellStyle name="Normal 4 4 3 2 5" xfId="10180" xr:uid="{00000000-0005-0000-0000-000067680000}"/>
    <cellStyle name="Normal 4 4 3 2 5 2" xfId="30232" xr:uid="{00000000-0005-0000-0000-000068680000}"/>
    <cellStyle name="Normal 4 4 3 2 6" xfId="21202" xr:uid="{00000000-0005-0000-0000-000069680000}"/>
    <cellStyle name="Normal 4 4 3 3" xfId="1897" xr:uid="{00000000-0005-0000-0000-00006A680000}"/>
    <cellStyle name="Normal 4 4 3 3 2" xfId="6379" xr:uid="{00000000-0005-0000-0000-00006B680000}"/>
    <cellStyle name="Normal 4 4 3 3 2 2" xfId="15409" xr:uid="{00000000-0005-0000-0000-00006C680000}"/>
    <cellStyle name="Normal 4 4 3 3 2 2 2" xfId="35461" xr:uid="{00000000-0005-0000-0000-00006D680000}"/>
    <cellStyle name="Normal 4 4 3 3 2 3" xfId="26431" xr:uid="{00000000-0005-0000-0000-00006E680000}"/>
    <cellStyle name="Normal 4 4 3 3 3" xfId="10927" xr:uid="{00000000-0005-0000-0000-00006F680000}"/>
    <cellStyle name="Normal 4 4 3 3 3 2" xfId="30979" xr:uid="{00000000-0005-0000-0000-000070680000}"/>
    <cellStyle name="Normal 4 4 3 3 4" xfId="21949" xr:uid="{00000000-0005-0000-0000-000071680000}"/>
    <cellStyle name="Normal 4 4 3 4" xfId="3391" xr:uid="{00000000-0005-0000-0000-000072680000}"/>
    <cellStyle name="Normal 4 4 3 4 2" xfId="7873" xr:uid="{00000000-0005-0000-0000-000073680000}"/>
    <cellStyle name="Normal 4 4 3 4 2 2" xfId="16903" xr:uid="{00000000-0005-0000-0000-000074680000}"/>
    <cellStyle name="Normal 4 4 3 4 2 2 2" xfId="36955" xr:uid="{00000000-0005-0000-0000-000075680000}"/>
    <cellStyle name="Normal 4 4 3 4 2 3" xfId="27925" xr:uid="{00000000-0005-0000-0000-000076680000}"/>
    <cellStyle name="Normal 4 4 3 4 3" xfId="12421" xr:uid="{00000000-0005-0000-0000-000077680000}"/>
    <cellStyle name="Normal 4 4 3 4 3 2" xfId="32473" xr:uid="{00000000-0005-0000-0000-000078680000}"/>
    <cellStyle name="Normal 4 4 3 4 4" xfId="23443" xr:uid="{00000000-0005-0000-0000-000079680000}"/>
    <cellStyle name="Normal 4 4 3 5" xfId="4885" xr:uid="{00000000-0005-0000-0000-00007A680000}"/>
    <cellStyle name="Normal 4 4 3 5 2" xfId="13915" xr:uid="{00000000-0005-0000-0000-00007B680000}"/>
    <cellStyle name="Normal 4 4 3 5 2 2" xfId="33967" xr:uid="{00000000-0005-0000-0000-00007C680000}"/>
    <cellStyle name="Normal 4 4 3 5 3" xfId="24937" xr:uid="{00000000-0005-0000-0000-00007D680000}"/>
    <cellStyle name="Normal 4 4 3 6" xfId="9433" xr:uid="{00000000-0005-0000-0000-00007E680000}"/>
    <cellStyle name="Normal 4 4 3 6 2" xfId="29485" xr:uid="{00000000-0005-0000-0000-00007F680000}"/>
    <cellStyle name="Normal 4 4 3 7" xfId="20455" xr:uid="{00000000-0005-0000-0000-000080680000}"/>
    <cellStyle name="Normal 4 4 4" xfId="589" xr:uid="{00000000-0005-0000-0000-000081680000}"/>
    <cellStyle name="Normal 4 4 4 2" xfId="1336" xr:uid="{00000000-0005-0000-0000-000082680000}"/>
    <cellStyle name="Normal 4 4 4 2 2" xfId="2830" xr:uid="{00000000-0005-0000-0000-000083680000}"/>
    <cellStyle name="Normal 4 4 4 2 2 2" xfId="7312" xr:uid="{00000000-0005-0000-0000-000084680000}"/>
    <cellStyle name="Normal 4 4 4 2 2 2 2" xfId="16342" xr:uid="{00000000-0005-0000-0000-000085680000}"/>
    <cellStyle name="Normal 4 4 4 2 2 2 2 2" xfId="36394" xr:uid="{00000000-0005-0000-0000-000086680000}"/>
    <cellStyle name="Normal 4 4 4 2 2 2 3" xfId="27364" xr:uid="{00000000-0005-0000-0000-000087680000}"/>
    <cellStyle name="Normal 4 4 4 2 2 3" xfId="11860" xr:uid="{00000000-0005-0000-0000-000088680000}"/>
    <cellStyle name="Normal 4 4 4 2 2 3 2" xfId="31912" xr:uid="{00000000-0005-0000-0000-000089680000}"/>
    <cellStyle name="Normal 4 4 4 2 2 4" xfId="22882" xr:uid="{00000000-0005-0000-0000-00008A680000}"/>
    <cellStyle name="Normal 4 4 4 2 3" xfId="4324" xr:uid="{00000000-0005-0000-0000-00008B680000}"/>
    <cellStyle name="Normal 4 4 4 2 3 2" xfId="8806" xr:uid="{00000000-0005-0000-0000-00008C680000}"/>
    <cellStyle name="Normal 4 4 4 2 3 2 2" xfId="17836" xr:uid="{00000000-0005-0000-0000-00008D680000}"/>
    <cellStyle name="Normal 4 4 4 2 3 2 2 2" xfId="37888" xr:uid="{00000000-0005-0000-0000-00008E680000}"/>
    <cellStyle name="Normal 4 4 4 2 3 2 3" xfId="28858" xr:uid="{00000000-0005-0000-0000-00008F680000}"/>
    <cellStyle name="Normal 4 4 4 2 3 3" xfId="13354" xr:uid="{00000000-0005-0000-0000-000090680000}"/>
    <cellStyle name="Normal 4 4 4 2 3 3 2" xfId="33406" xr:uid="{00000000-0005-0000-0000-000091680000}"/>
    <cellStyle name="Normal 4 4 4 2 3 4" xfId="24376" xr:uid="{00000000-0005-0000-0000-000092680000}"/>
    <cellStyle name="Normal 4 4 4 2 4" xfId="5818" xr:uid="{00000000-0005-0000-0000-000093680000}"/>
    <cellStyle name="Normal 4 4 4 2 4 2" xfId="14848" xr:uid="{00000000-0005-0000-0000-000094680000}"/>
    <cellStyle name="Normal 4 4 4 2 4 2 2" xfId="34900" xr:uid="{00000000-0005-0000-0000-000095680000}"/>
    <cellStyle name="Normal 4 4 4 2 4 3" xfId="25870" xr:uid="{00000000-0005-0000-0000-000096680000}"/>
    <cellStyle name="Normal 4 4 4 2 5" xfId="10366" xr:uid="{00000000-0005-0000-0000-000097680000}"/>
    <cellStyle name="Normal 4 4 4 2 5 2" xfId="30418" xr:uid="{00000000-0005-0000-0000-000098680000}"/>
    <cellStyle name="Normal 4 4 4 2 6" xfId="21388" xr:uid="{00000000-0005-0000-0000-000099680000}"/>
    <cellStyle name="Normal 4 4 4 3" xfId="2083" xr:uid="{00000000-0005-0000-0000-00009A680000}"/>
    <cellStyle name="Normal 4 4 4 3 2" xfId="6565" xr:uid="{00000000-0005-0000-0000-00009B680000}"/>
    <cellStyle name="Normal 4 4 4 3 2 2" xfId="15595" xr:uid="{00000000-0005-0000-0000-00009C680000}"/>
    <cellStyle name="Normal 4 4 4 3 2 2 2" xfId="35647" xr:uid="{00000000-0005-0000-0000-00009D680000}"/>
    <cellStyle name="Normal 4 4 4 3 2 3" xfId="26617" xr:uid="{00000000-0005-0000-0000-00009E680000}"/>
    <cellStyle name="Normal 4 4 4 3 3" xfId="11113" xr:uid="{00000000-0005-0000-0000-00009F680000}"/>
    <cellStyle name="Normal 4 4 4 3 3 2" xfId="31165" xr:uid="{00000000-0005-0000-0000-0000A0680000}"/>
    <cellStyle name="Normal 4 4 4 3 4" xfId="22135" xr:uid="{00000000-0005-0000-0000-0000A1680000}"/>
    <cellStyle name="Normal 4 4 4 4" xfId="3577" xr:uid="{00000000-0005-0000-0000-0000A2680000}"/>
    <cellStyle name="Normal 4 4 4 4 2" xfId="8059" xr:uid="{00000000-0005-0000-0000-0000A3680000}"/>
    <cellStyle name="Normal 4 4 4 4 2 2" xfId="17089" xr:uid="{00000000-0005-0000-0000-0000A4680000}"/>
    <cellStyle name="Normal 4 4 4 4 2 2 2" xfId="37141" xr:uid="{00000000-0005-0000-0000-0000A5680000}"/>
    <cellStyle name="Normal 4 4 4 4 2 3" xfId="28111" xr:uid="{00000000-0005-0000-0000-0000A6680000}"/>
    <cellStyle name="Normal 4 4 4 4 3" xfId="12607" xr:uid="{00000000-0005-0000-0000-0000A7680000}"/>
    <cellStyle name="Normal 4 4 4 4 3 2" xfId="32659" xr:uid="{00000000-0005-0000-0000-0000A8680000}"/>
    <cellStyle name="Normal 4 4 4 4 4" xfId="23629" xr:uid="{00000000-0005-0000-0000-0000A9680000}"/>
    <cellStyle name="Normal 4 4 4 5" xfId="5071" xr:uid="{00000000-0005-0000-0000-0000AA680000}"/>
    <cellStyle name="Normal 4 4 4 5 2" xfId="14101" xr:uid="{00000000-0005-0000-0000-0000AB680000}"/>
    <cellStyle name="Normal 4 4 4 5 2 2" xfId="34153" xr:uid="{00000000-0005-0000-0000-0000AC680000}"/>
    <cellStyle name="Normal 4 4 4 5 3" xfId="25123" xr:uid="{00000000-0005-0000-0000-0000AD680000}"/>
    <cellStyle name="Normal 4 4 4 6" xfId="9619" xr:uid="{00000000-0005-0000-0000-0000AE680000}"/>
    <cellStyle name="Normal 4 4 4 6 2" xfId="29671" xr:uid="{00000000-0005-0000-0000-0000AF680000}"/>
    <cellStyle name="Normal 4 4 4 7" xfId="20641" xr:uid="{00000000-0005-0000-0000-0000B0680000}"/>
    <cellStyle name="Normal 4 4 5" xfId="776" xr:uid="{00000000-0005-0000-0000-0000B1680000}"/>
    <cellStyle name="Normal 4 4 5 2" xfId="2270" xr:uid="{00000000-0005-0000-0000-0000B2680000}"/>
    <cellStyle name="Normal 4 4 5 2 2" xfId="6752" xr:uid="{00000000-0005-0000-0000-0000B3680000}"/>
    <cellStyle name="Normal 4 4 5 2 2 2" xfId="15782" xr:uid="{00000000-0005-0000-0000-0000B4680000}"/>
    <cellStyle name="Normal 4 4 5 2 2 2 2" xfId="35834" xr:uid="{00000000-0005-0000-0000-0000B5680000}"/>
    <cellStyle name="Normal 4 4 5 2 2 3" xfId="26804" xr:uid="{00000000-0005-0000-0000-0000B6680000}"/>
    <cellStyle name="Normal 4 4 5 2 3" xfId="11300" xr:uid="{00000000-0005-0000-0000-0000B7680000}"/>
    <cellStyle name="Normal 4 4 5 2 3 2" xfId="31352" xr:uid="{00000000-0005-0000-0000-0000B8680000}"/>
    <cellStyle name="Normal 4 4 5 2 4" xfId="22322" xr:uid="{00000000-0005-0000-0000-0000B9680000}"/>
    <cellStyle name="Normal 4 4 5 3" xfId="3764" xr:uid="{00000000-0005-0000-0000-0000BA680000}"/>
    <cellStyle name="Normal 4 4 5 3 2" xfId="8246" xr:uid="{00000000-0005-0000-0000-0000BB680000}"/>
    <cellStyle name="Normal 4 4 5 3 2 2" xfId="17276" xr:uid="{00000000-0005-0000-0000-0000BC680000}"/>
    <cellStyle name="Normal 4 4 5 3 2 2 2" xfId="37328" xr:uid="{00000000-0005-0000-0000-0000BD680000}"/>
    <cellStyle name="Normal 4 4 5 3 2 3" xfId="28298" xr:uid="{00000000-0005-0000-0000-0000BE680000}"/>
    <cellStyle name="Normal 4 4 5 3 3" xfId="12794" xr:uid="{00000000-0005-0000-0000-0000BF680000}"/>
    <cellStyle name="Normal 4 4 5 3 3 2" xfId="32846" xr:uid="{00000000-0005-0000-0000-0000C0680000}"/>
    <cellStyle name="Normal 4 4 5 3 4" xfId="23816" xr:uid="{00000000-0005-0000-0000-0000C1680000}"/>
    <cellStyle name="Normal 4 4 5 4" xfId="5258" xr:uid="{00000000-0005-0000-0000-0000C2680000}"/>
    <cellStyle name="Normal 4 4 5 4 2" xfId="14288" xr:uid="{00000000-0005-0000-0000-0000C3680000}"/>
    <cellStyle name="Normal 4 4 5 4 2 2" xfId="34340" xr:uid="{00000000-0005-0000-0000-0000C4680000}"/>
    <cellStyle name="Normal 4 4 5 4 3" xfId="25310" xr:uid="{00000000-0005-0000-0000-0000C5680000}"/>
    <cellStyle name="Normal 4 4 5 5" xfId="9806" xr:uid="{00000000-0005-0000-0000-0000C6680000}"/>
    <cellStyle name="Normal 4 4 5 5 2" xfId="29858" xr:uid="{00000000-0005-0000-0000-0000C7680000}"/>
    <cellStyle name="Normal 4 4 5 6" xfId="20828" xr:uid="{00000000-0005-0000-0000-0000C8680000}"/>
    <cellStyle name="Normal 4 4 6" xfId="1525" xr:uid="{00000000-0005-0000-0000-0000C9680000}"/>
    <cellStyle name="Normal 4 4 6 2" xfId="6007" xr:uid="{00000000-0005-0000-0000-0000CA680000}"/>
    <cellStyle name="Normal 4 4 6 2 2" xfId="15037" xr:uid="{00000000-0005-0000-0000-0000CB680000}"/>
    <cellStyle name="Normal 4 4 6 2 2 2" xfId="35089" xr:uid="{00000000-0005-0000-0000-0000CC680000}"/>
    <cellStyle name="Normal 4 4 6 2 3" xfId="26059" xr:uid="{00000000-0005-0000-0000-0000CD680000}"/>
    <cellStyle name="Normal 4 4 6 3" xfId="10555" xr:uid="{00000000-0005-0000-0000-0000CE680000}"/>
    <cellStyle name="Normal 4 4 6 3 2" xfId="30607" xr:uid="{00000000-0005-0000-0000-0000CF680000}"/>
    <cellStyle name="Normal 4 4 6 4" xfId="21577" xr:uid="{00000000-0005-0000-0000-0000D0680000}"/>
    <cellStyle name="Normal 4 4 7" xfId="3019" xr:uid="{00000000-0005-0000-0000-0000D1680000}"/>
    <cellStyle name="Normal 4 4 7 2" xfId="7501" xr:uid="{00000000-0005-0000-0000-0000D2680000}"/>
    <cellStyle name="Normal 4 4 7 2 2" xfId="16531" xr:uid="{00000000-0005-0000-0000-0000D3680000}"/>
    <cellStyle name="Normal 4 4 7 2 2 2" xfId="36583" xr:uid="{00000000-0005-0000-0000-0000D4680000}"/>
    <cellStyle name="Normal 4 4 7 2 3" xfId="27553" xr:uid="{00000000-0005-0000-0000-0000D5680000}"/>
    <cellStyle name="Normal 4 4 7 3" xfId="12049" xr:uid="{00000000-0005-0000-0000-0000D6680000}"/>
    <cellStyle name="Normal 4 4 7 3 2" xfId="32101" xr:uid="{00000000-0005-0000-0000-0000D7680000}"/>
    <cellStyle name="Normal 4 4 7 4" xfId="23071" xr:uid="{00000000-0005-0000-0000-0000D8680000}"/>
    <cellStyle name="Normal 4 4 8" xfId="4513" xr:uid="{00000000-0005-0000-0000-0000D9680000}"/>
    <cellStyle name="Normal 4 4 8 2" xfId="13543" xr:uid="{00000000-0005-0000-0000-0000DA680000}"/>
    <cellStyle name="Normal 4 4 8 2 2" xfId="33595" xr:uid="{00000000-0005-0000-0000-0000DB680000}"/>
    <cellStyle name="Normal 4 4 8 3" xfId="24565" xr:uid="{00000000-0005-0000-0000-0000DC680000}"/>
    <cellStyle name="Normal 4 4 9" xfId="9061" xr:uid="{00000000-0005-0000-0000-0000DD680000}"/>
    <cellStyle name="Normal 4 4 9 2" xfId="29113" xr:uid="{00000000-0005-0000-0000-0000DE680000}"/>
    <cellStyle name="Normal 4 5" xfId="54" xr:uid="{00000000-0005-0000-0000-0000DF680000}"/>
    <cellStyle name="Normal 4 5 10" xfId="20106" xr:uid="{00000000-0005-0000-0000-0000E0680000}"/>
    <cellStyle name="Normal 4 5 2" xfId="240" xr:uid="{00000000-0005-0000-0000-0000E1680000}"/>
    <cellStyle name="Normal 4 5 2 2" xfId="985" xr:uid="{00000000-0005-0000-0000-0000E2680000}"/>
    <cellStyle name="Normal 4 5 2 2 2" xfId="2479" xr:uid="{00000000-0005-0000-0000-0000E3680000}"/>
    <cellStyle name="Normal 4 5 2 2 2 2" xfId="6961" xr:uid="{00000000-0005-0000-0000-0000E4680000}"/>
    <cellStyle name="Normal 4 5 2 2 2 2 2" xfId="15991" xr:uid="{00000000-0005-0000-0000-0000E5680000}"/>
    <cellStyle name="Normal 4 5 2 2 2 2 2 2" xfId="36043" xr:uid="{00000000-0005-0000-0000-0000E6680000}"/>
    <cellStyle name="Normal 4 5 2 2 2 2 3" xfId="27013" xr:uid="{00000000-0005-0000-0000-0000E7680000}"/>
    <cellStyle name="Normal 4 5 2 2 2 3" xfId="11509" xr:uid="{00000000-0005-0000-0000-0000E8680000}"/>
    <cellStyle name="Normal 4 5 2 2 2 3 2" xfId="31561" xr:uid="{00000000-0005-0000-0000-0000E9680000}"/>
    <cellStyle name="Normal 4 5 2 2 2 4" xfId="22531" xr:uid="{00000000-0005-0000-0000-0000EA680000}"/>
    <cellStyle name="Normal 4 5 2 2 3" xfId="3973" xr:uid="{00000000-0005-0000-0000-0000EB680000}"/>
    <cellStyle name="Normal 4 5 2 2 3 2" xfId="8455" xr:uid="{00000000-0005-0000-0000-0000EC680000}"/>
    <cellStyle name="Normal 4 5 2 2 3 2 2" xfId="17485" xr:uid="{00000000-0005-0000-0000-0000ED680000}"/>
    <cellStyle name="Normal 4 5 2 2 3 2 2 2" xfId="37537" xr:uid="{00000000-0005-0000-0000-0000EE680000}"/>
    <cellStyle name="Normal 4 5 2 2 3 2 3" xfId="28507" xr:uid="{00000000-0005-0000-0000-0000EF680000}"/>
    <cellStyle name="Normal 4 5 2 2 3 3" xfId="13003" xr:uid="{00000000-0005-0000-0000-0000F0680000}"/>
    <cellStyle name="Normal 4 5 2 2 3 3 2" xfId="33055" xr:uid="{00000000-0005-0000-0000-0000F1680000}"/>
    <cellStyle name="Normal 4 5 2 2 3 4" xfId="24025" xr:uid="{00000000-0005-0000-0000-0000F2680000}"/>
    <cellStyle name="Normal 4 5 2 2 4" xfId="5467" xr:uid="{00000000-0005-0000-0000-0000F3680000}"/>
    <cellStyle name="Normal 4 5 2 2 4 2" xfId="14497" xr:uid="{00000000-0005-0000-0000-0000F4680000}"/>
    <cellStyle name="Normal 4 5 2 2 4 2 2" xfId="34549" xr:uid="{00000000-0005-0000-0000-0000F5680000}"/>
    <cellStyle name="Normal 4 5 2 2 4 3" xfId="25519" xr:uid="{00000000-0005-0000-0000-0000F6680000}"/>
    <cellStyle name="Normal 4 5 2 2 5" xfId="10015" xr:uid="{00000000-0005-0000-0000-0000F7680000}"/>
    <cellStyle name="Normal 4 5 2 2 5 2" xfId="30067" xr:uid="{00000000-0005-0000-0000-0000F8680000}"/>
    <cellStyle name="Normal 4 5 2 2 6" xfId="21037" xr:uid="{00000000-0005-0000-0000-0000F9680000}"/>
    <cellStyle name="Normal 4 5 2 3" xfId="1734" xr:uid="{00000000-0005-0000-0000-0000FA680000}"/>
    <cellStyle name="Normal 4 5 2 3 2" xfId="6216" xr:uid="{00000000-0005-0000-0000-0000FB680000}"/>
    <cellStyle name="Normal 4 5 2 3 2 2" xfId="15246" xr:uid="{00000000-0005-0000-0000-0000FC680000}"/>
    <cellStyle name="Normal 4 5 2 3 2 2 2" xfId="35298" xr:uid="{00000000-0005-0000-0000-0000FD680000}"/>
    <cellStyle name="Normal 4 5 2 3 2 3" xfId="26268" xr:uid="{00000000-0005-0000-0000-0000FE680000}"/>
    <cellStyle name="Normal 4 5 2 3 3" xfId="10764" xr:uid="{00000000-0005-0000-0000-0000FF680000}"/>
    <cellStyle name="Normal 4 5 2 3 3 2" xfId="30816" xr:uid="{00000000-0005-0000-0000-000000690000}"/>
    <cellStyle name="Normal 4 5 2 3 4" xfId="21786" xr:uid="{00000000-0005-0000-0000-000001690000}"/>
    <cellStyle name="Normal 4 5 2 4" xfId="3228" xr:uid="{00000000-0005-0000-0000-000002690000}"/>
    <cellStyle name="Normal 4 5 2 4 2" xfId="7710" xr:uid="{00000000-0005-0000-0000-000003690000}"/>
    <cellStyle name="Normal 4 5 2 4 2 2" xfId="16740" xr:uid="{00000000-0005-0000-0000-000004690000}"/>
    <cellStyle name="Normal 4 5 2 4 2 2 2" xfId="36792" xr:uid="{00000000-0005-0000-0000-000005690000}"/>
    <cellStyle name="Normal 4 5 2 4 2 3" xfId="27762" xr:uid="{00000000-0005-0000-0000-000006690000}"/>
    <cellStyle name="Normal 4 5 2 4 3" xfId="12258" xr:uid="{00000000-0005-0000-0000-000007690000}"/>
    <cellStyle name="Normal 4 5 2 4 3 2" xfId="32310" xr:uid="{00000000-0005-0000-0000-000008690000}"/>
    <cellStyle name="Normal 4 5 2 4 4" xfId="23280" xr:uid="{00000000-0005-0000-0000-000009690000}"/>
    <cellStyle name="Normal 4 5 2 5" xfId="4722" xr:uid="{00000000-0005-0000-0000-00000A690000}"/>
    <cellStyle name="Normal 4 5 2 5 2" xfId="13752" xr:uid="{00000000-0005-0000-0000-00000B690000}"/>
    <cellStyle name="Normal 4 5 2 5 2 2" xfId="33804" xr:uid="{00000000-0005-0000-0000-00000C690000}"/>
    <cellStyle name="Normal 4 5 2 5 3" xfId="24774" xr:uid="{00000000-0005-0000-0000-00000D690000}"/>
    <cellStyle name="Normal 4 5 2 6" xfId="9270" xr:uid="{00000000-0005-0000-0000-00000E690000}"/>
    <cellStyle name="Normal 4 5 2 6 2" xfId="29322" xr:uid="{00000000-0005-0000-0000-00000F690000}"/>
    <cellStyle name="Normal 4 5 2 7" xfId="20292" xr:uid="{00000000-0005-0000-0000-000010690000}"/>
    <cellStyle name="Normal 4 5 3" xfId="426" xr:uid="{00000000-0005-0000-0000-000011690000}"/>
    <cellStyle name="Normal 4 5 3 2" xfId="1173" xr:uid="{00000000-0005-0000-0000-000012690000}"/>
    <cellStyle name="Normal 4 5 3 2 2" xfId="2667" xr:uid="{00000000-0005-0000-0000-000013690000}"/>
    <cellStyle name="Normal 4 5 3 2 2 2" xfId="7149" xr:uid="{00000000-0005-0000-0000-000014690000}"/>
    <cellStyle name="Normal 4 5 3 2 2 2 2" xfId="16179" xr:uid="{00000000-0005-0000-0000-000015690000}"/>
    <cellStyle name="Normal 4 5 3 2 2 2 2 2" xfId="36231" xr:uid="{00000000-0005-0000-0000-000016690000}"/>
    <cellStyle name="Normal 4 5 3 2 2 2 3" xfId="27201" xr:uid="{00000000-0005-0000-0000-000017690000}"/>
    <cellStyle name="Normal 4 5 3 2 2 3" xfId="11697" xr:uid="{00000000-0005-0000-0000-000018690000}"/>
    <cellStyle name="Normal 4 5 3 2 2 3 2" xfId="31749" xr:uid="{00000000-0005-0000-0000-000019690000}"/>
    <cellStyle name="Normal 4 5 3 2 2 4" xfId="22719" xr:uid="{00000000-0005-0000-0000-00001A690000}"/>
    <cellStyle name="Normal 4 5 3 2 3" xfId="4161" xr:uid="{00000000-0005-0000-0000-00001B690000}"/>
    <cellStyle name="Normal 4 5 3 2 3 2" xfId="8643" xr:uid="{00000000-0005-0000-0000-00001C690000}"/>
    <cellStyle name="Normal 4 5 3 2 3 2 2" xfId="17673" xr:uid="{00000000-0005-0000-0000-00001D690000}"/>
    <cellStyle name="Normal 4 5 3 2 3 2 2 2" xfId="37725" xr:uid="{00000000-0005-0000-0000-00001E690000}"/>
    <cellStyle name="Normal 4 5 3 2 3 2 3" xfId="28695" xr:uid="{00000000-0005-0000-0000-00001F690000}"/>
    <cellStyle name="Normal 4 5 3 2 3 3" xfId="13191" xr:uid="{00000000-0005-0000-0000-000020690000}"/>
    <cellStyle name="Normal 4 5 3 2 3 3 2" xfId="33243" xr:uid="{00000000-0005-0000-0000-000021690000}"/>
    <cellStyle name="Normal 4 5 3 2 3 4" xfId="24213" xr:uid="{00000000-0005-0000-0000-000022690000}"/>
    <cellStyle name="Normal 4 5 3 2 4" xfId="5655" xr:uid="{00000000-0005-0000-0000-000023690000}"/>
    <cellStyle name="Normal 4 5 3 2 4 2" xfId="14685" xr:uid="{00000000-0005-0000-0000-000024690000}"/>
    <cellStyle name="Normal 4 5 3 2 4 2 2" xfId="34737" xr:uid="{00000000-0005-0000-0000-000025690000}"/>
    <cellStyle name="Normal 4 5 3 2 4 3" xfId="25707" xr:uid="{00000000-0005-0000-0000-000026690000}"/>
    <cellStyle name="Normal 4 5 3 2 5" xfId="10203" xr:uid="{00000000-0005-0000-0000-000027690000}"/>
    <cellStyle name="Normal 4 5 3 2 5 2" xfId="30255" xr:uid="{00000000-0005-0000-0000-000028690000}"/>
    <cellStyle name="Normal 4 5 3 2 6" xfId="21225" xr:uid="{00000000-0005-0000-0000-000029690000}"/>
    <cellStyle name="Normal 4 5 3 3" xfId="1920" xr:uid="{00000000-0005-0000-0000-00002A690000}"/>
    <cellStyle name="Normal 4 5 3 3 2" xfId="6402" xr:uid="{00000000-0005-0000-0000-00002B690000}"/>
    <cellStyle name="Normal 4 5 3 3 2 2" xfId="15432" xr:uid="{00000000-0005-0000-0000-00002C690000}"/>
    <cellStyle name="Normal 4 5 3 3 2 2 2" xfId="35484" xr:uid="{00000000-0005-0000-0000-00002D690000}"/>
    <cellStyle name="Normal 4 5 3 3 2 3" xfId="26454" xr:uid="{00000000-0005-0000-0000-00002E690000}"/>
    <cellStyle name="Normal 4 5 3 3 3" xfId="10950" xr:uid="{00000000-0005-0000-0000-00002F690000}"/>
    <cellStyle name="Normal 4 5 3 3 3 2" xfId="31002" xr:uid="{00000000-0005-0000-0000-000030690000}"/>
    <cellStyle name="Normal 4 5 3 3 4" xfId="21972" xr:uid="{00000000-0005-0000-0000-000031690000}"/>
    <cellStyle name="Normal 4 5 3 4" xfId="3414" xr:uid="{00000000-0005-0000-0000-000032690000}"/>
    <cellStyle name="Normal 4 5 3 4 2" xfId="7896" xr:uid="{00000000-0005-0000-0000-000033690000}"/>
    <cellStyle name="Normal 4 5 3 4 2 2" xfId="16926" xr:uid="{00000000-0005-0000-0000-000034690000}"/>
    <cellStyle name="Normal 4 5 3 4 2 2 2" xfId="36978" xr:uid="{00000000-0005-0000-0000-000035690000}"/>
    <cellStyle name="Normal 4 5 3 4 2 3" xfId="27948" xr:uid="{00000000-0005-0000-0000-000036690000}"/>
    <cellStyle name="Normal 4 5 3 4 3" xfId="12444" xr:uid="{00000000-0005-0000-0000-000037690000}"/>
    <cellStyle name="Normal 4 5 3 4 3 2" xfId="32496" xr:uid="{00000000-0005-0000-0000-000038690000}"/>
    <cellStyle name="Normal 4 5 3 4 4" xfId="23466" xr:uid="{00000000-0005-0000-0000-000039690000}"/>
    <cellStyle name="Normal 4 5 3 5" xfId="4908" xr:uid="{00000000-0005-0000-0000-00003A690000}"/>
    <cellStyle name="Normal 4 5 3 5 2" xfId="13938" xr:uid="{00000000-0005-0000-0000-00003B690000}"/>
    <cellStyle name="Normal 4 5 3 5 2 2" xfId="33990" xr:uid="{00000000-0005-0000-0000-00003C690000}"/>
    <cellStyle name="Normal 4 5 3 5 3" xfId="24960" xr:uid="{00000000-0005-0000-0000-00003D690000}"/>
    <cellStyle name="Normal 4 5 3 6" xfId="9456" xr:uid="{00000000-0005-0000-0000-00003E690000}"/>
    <cellStyle name="Normal 4 5 3 6 2" xfId="29508" xr:uid="{00000000-0005-0000-0000-00003F690000}"/>
    <cellStyle name="Normal 4 5 3 7" xfId="20478" xr:uid="{00000000-0005-0000-0000-000040690000}"/>
    <cellStyle name="Normal 4 5 4" xfId="612" xr:uid="{00000000-0005-0000-0000-000041690000}"/>
    <cellStyle name="Normal 4 5 4 2" xfId="1359" xr:uid="{00000000-0005-0000-0000-000042690000}"/>
    <cellStyle name="Normal 4 5 4 2 2" xfId="2853" xr:uid="{00000000-0005-0000-0000-000043690000}"/>
    <cellStyle name="Normal 4 5 4 2 2 2" xfId="7335" xr:uid="{00000000-0005-0000-0000-000044690000}"/>
    <cellStyle name="Normal 4 5 4 2 2 2 2" xfId="16365" xr:uid="{00000000-0005-0000-0000-000045690000}"/>
    <cellStyle name="Normal 4 5 4 2 2 2 2 2" xfId="36417" xr:uid="{00000000-0005-0000-0000-000046690000}"/>
    <cellStyle name="Normal 4 5 4 2 2 2 3" xfId="27387" xr:uid="{00000000-0005-0000-0000-000047690000}"/>
    <cellStyle name="Normal 4 5 4 2 2 3" xfId="11883" xr:uid="{00000000-0005-0000-0000-000048690000}"/>
    <cellStyle name="Normal 4 5 4 2 2 3 2" xfId="31935" xr:uid="{00000000-0005-0000-0000-000049690000}"/>
    <cellStyle name="Normal 4 5 4 2 2 4" xfId="22905" xr:uid="{00000000-0005-0000-0000-00004A690000}"/>
    <cellStyle name="Normal 4 5 4 2 3" xfId="4347" xr:uid="{00000000-0005-0000-0000-00004B690000}"/>
    <cellStyle name="Normal 4 5 4 2 3 2" xfId="8829" xr:uid="{00000000-0005-0000-0000-00004C690000}"/>
    <cellStyle name="Normal 4 5 4 2 3 2 2" xfId="17859" xr:uid="{00000000-0005-0000-0000-00004D690000}"/>
    <cellStyle name="Normal 4 5 4 2 3 2 2 2" xfId="37911" xr:uid="{00000000-0005-0000-0000-00004E690000}"/>
    <cellStyle name="Normal 4 5 4 2 3 2 3" xfId="28881" xr:uid="{00000000-0005-0000-0000-00004F690000}"/>
    <cellStyle name="Normal 4 5 4 2 3 3" xfId="13377" xr:uid="{00000000-0005-0000-0000-000050690000}"/>
    <cellStyle name="Normal 4 5 4 2 3 3 2" xfId="33429" xr:uid="{00000000-0005-0000-0000-000051690000}"/>
    <cellStyle name="Normal 4 5 4 2 3 4" xfId="24399" xr:uid="{00000000-0005-0000-0000-000052690000}"/>
    <cellStyle name="Normal 4 5 4 2 4" xfId="5841" xr:uid="{00000000-0005-0000-0000-000053690000}"/>
    <cellStyle name="Normal 4 5 4 2 4 2" xfId="14871" xr:uid="{00000000-0005-0000-0000-000054690000}"/>
    <cellStyle name="Normal 4 5 4 2 4 2 2" xfId="34923" xr:uid="{00000000-0005-0000-0000-000055690000}"/>
    <cellStyle name="Normal 4 5 4 2 4 3" xfId="25893" xr:uid="{00000000-0005-0000-0000-000056690000}"/>
    <cellStyle name="Normal 4 5 4 2 5" xfId="10389" xr:uid="{00000000-0005-0000-0000-000057690000}"/>
    <cellStyle name="Normal 4 5 4 2 5 2" xfId="30441" xr:uid="{00000000-0005-0000-0000-000058690000}"/>
    <cellStyle name="Normal 4 5 4 2 6" xfId="21411" xr:uid="{00000000-0005-0000-0000-000059690000}"/>
    <cellStyle name="Normal 4 5 4 3" xfId="2106" xr:uid="{00000000-0005-0000-0000-00005A690000}"/>
    <cellStyle name="Normal 4 5 4 3 2" xfId="6588" xr:uid="{00000000-0005-0000-0000-00005B690000}"/>
    <cellStyle name="Normal 4 5 4 3 2 2" xfId="15618" xr:uid="{00000000-0005-0000-0000-00005C690000}"/>
    <cellStyle name="Normal 4 5 4 3 2 2 2" xfId="35670" xr:uid="{00000000-0005-0000-0000-00005D690000}"/>
    <cellStyle name="Normal 4 5 4 3 2 3" xfId="26640" xr:uid="{00000000-0005-0000-0000-00005E690000}"/>
    <cellStyle name="Normal 4 5 4 3 3" xfId="11136" xr:uid="{00000000-0005-0000-0000-00005F690000}"/>
    <cellStyle name="Normal 4 5 4 3 3 2" xfId="31188" xr:uid="{00000000-0005-0000-0000-000060690000}"/>
    <cellStyle name="Normal 4 5 4 3 4" xfId="22158" xr:uid="{00000000-0005-0000-0000-000061690000}"/>
    <cellStyle name="Normal 4 5 4 4" xfId="3600" xr:uid="{00000000-0005-0000-0000-000062690000}"/>
    <cellStyle name="Normal 4 5 4 4 2" xfId="8082" xr:uid="{00000000-0005-0000-0000-000063690000}"/>
    <cellStyle name="Normal 4 5 4 4 2 2" xfId="17112" xr:uid="{00000000-0005-0000-0000-000064690000}"/>
    <cellStyle name="Normal 4 5 4 4 2 2 2" xfId="37164" xr:uid="{00000000-0005-0000-0000-000065690000}"/>
    <cellStyle name="Normal 4 5 4 4 2 3" xfId="28134" xr:uid="{00000000-0005-0000-0000-000066690000}"/>
    <cellStyle name="Normal 4 5 4 4 3" xfId="12630" xr:uid="{00000000-0005-0000-0000-000067690000}"/>
    <cellStyle name="Normal 4 5 4 4 3 2" xfId="32682" xr:uid="{00000000-0005-0000-0000-000068690000}"/>
    <cellStyle name="Normal 4 5 4 4 4" xfId="23652" xr:uid="{00000000-0005-0000-0000-000069690000}"/>
    <cellStyle name="Normal 4 5 4 5" xfId="5094" xr:uid="{00000000-0005-0000-0000-00006A690000}"/>
    <cellStyle name="Normal 4 5 4 5 2" xfId="14124" xr:uid="{00000000-0005-0000-0000-00006B690000}"/>
    <cellStyle name="Normal 4 5 4 5 2 2" xfId="34176" xr:uid="{00000000-0005-0000-0000-00006C690000}"/>
    <cellStyle name="Normal 4 5 4 5 3" xfId="25146" xr:uid="{00000000-0005-0000-0000-00006D690000}"/>
    <cellStyle name="Normal 4 5 4 6" xfId="9642" xr:uid="{00000000-0005-0000-0000-00006E690000}"/>
    <cellStyle name="Normal 4 5 4 6 2" xfId="29694" xr:uid="{00000000-0005-0000-0000-00006F690000}"/>
    <cellStyle name="Normal 4 5 4 7" xfId="20664" xr:uid="{00000000-0005-0000-0000-000070690000}"/>
    <cellStyle name="Normal 4 5 5" xfId="799" xr:uid="{00000000-0005-0000-0000-000071690000}"/>
    <cellStyle name="Normal 4 5 5 2" xfId="2293" xr:uid="{00000000-0005-0000-0000-000072690000}"/>
    <cellStyle name="Normal 4 5 5 2 2" xfId="6775" xr:uid="{00000000-0005-0000-0000-000073690000}"/>
    <cellStyle name="Normal 4 5 5 2 2 2" xfId="15805" xr:uid="{00000000-0005-0000-0000-000074690000}"/>
    <cellStyle name="Normal 4 5 5 2 2 2 2" xfId="35857" xr:uid="{00000000-0005-0000-0000-000075690000}"/>
    <cellStyle name="Normal 4 5 5 2 2 3" xfId="26827" xr:uid="{00000000-0005-0000-0000-000076690000}"/>
    <cellStyle name="Normal 4 5 5 2 3" xfId="11323" xr:uid="{00000000-0005-0000-0000-000077690000}"/>
    <cellStyle name="Normal 4 5 5 2 3 2" xfId="31375" xr:uid="{00000000-0005-0000-0000-000078690000}"/>
    <cellStyle name="Normal 4 5 5 2 4" xfId="22345" xr:uid="{00000000-0005-0000-0000-000079690000}"/>
    <cellStyle name="Normal 4 5 5 3" xfId="3787" xr:uid="{00000000-0005-0000-0000-00007A690000}"/>
    <cellStyle name="Normal 4 5 5 3 2" xfId="8269" xr:uid="{00000000-0005-0000-0000-00007B690000}"/>
    <cellStyle name="Normal 4 5 5 3 2 2" xfId="17299" xr:uid="{00000000-0005-0000-0000-00007C690000}"/>
    <cellStyle name="Normal 4 5 5 3 2 2 2" xfId="37351" xr:uid="{00000000-0005-0000-0000-00007D690000}"/>
    <cellStyle name="Normal 4 5 5 3 2 3" xfId="28321" xr:uid="{00000000-0005-0000-0000-00007E690000}"/>
    <cellStyle name="Normal 4 5 5 3 3" xfId="12817" xr:uid="{00000000-0005-0000-0000-00007F690000}"/>
    <cellStyle name="Normal 4 5 5 3 3 2" xfId="32869" xr:uid="{00000000-0005-0000-0000-000080690000}"/>
    <cellStyle name="Normal 4 5 5 3 4" xfId="23839" xr:uid="{00000000-0005-0000-0000-000081690000}"/>
    <cellStyle name="Normal 4 5 5 4" xfId="5281" xr:uid="{00000000-0005-0000-0000-000082690000}"/>
    <cellStyle name="Normal 4 5 5 4 2" xfId="14311" xr:uid="{00000000-0005-0000-0000-000083690000}"/>
    <cellStyle name="Normal 4 5 5 4 2 2" xfId="34363" xr:uid="{00000000-0005-0000-0000-000084690000}"/>
    <cellStyle name="Normal 4 5 5 4 3" xfId="25333" xr:uid="{00000000-0005-0000-0000-000085690000}"/>
    <cellStyle name="Normal 4 5 5 5" xfId="9829" xr:uid="{00000000-0005-0000-0000-000086690000}"/>
    <cellStyle name="Normal 4 5 5 5 2" xfId="29881" xr:uid="{00000000-0005-0000-0000-000087690000}"/>
    <cellStyle name="Normal 4 5 5 6" xfId="20851" xr:uid="{00000000-0005-0000-0000-000088690000}"/>
    <cellStyle name="Normal 4 5 6" xfId="1548" xr:uid="{00000000-0005-0000-0000-000089690000}"/>
    <cellStyle name="Normal 4 5 6 2" xfId="6030" xr:uid="{00000000-0005-0000-0000-00008A690000}"/>
    <cellStyle name="Normal 4 5 6 2 2" xfId="15060" xr:uid="{00000000-0005-0000-0000-00008B690000}"/>
    <cellStyle name="Normal 4 5 6 2 2 2" xfId="35112" xr:uid="{00000000-0005-0000-0000-00008C690000}"/>
    <cellStyle name="Normal 4 5 6 2 3" xfId="26082" xr:uid="{00000000-0005-0000-0000-00008D690000}"/>
    <cellStyle name="Normal 4 5 6 3" xfId="10578" xr:uid="{00000000-0005-0000-0000-00008E690000}"/>
    <cellStyle name="Normal 4 5 6 3 2" xfId="30630" xr:uid="{00000000-0005-0000-0000-00008F690000}"/>
    <cellStyle name="Normal 4 5 6 4" xfId="21600" xr:uid="{00000000-0005-0000-0000-000090690000}"/>
    <cellStyle name="Normal 4 5 7" xfId="3042" xr:uid="{00000000-0005-0000-0000-000091690000}"/>
    <cellStyle name="Normal 4 5 7 2" xfId="7524" xr:uid="{00000000-0005-0000-0000-000092690000}"/>
    <cellStyle name="Normal 4 5 7 2 2" xfId="16554" xr:uid="{00000000-0005-0000-0000-000093690000}"/>
    <cellStyle name="Normal 4 5 7 2 2 2" xfId="36606" xr:uid="{00000000-0005-0000-0000-000094690000}"/>
    <cellStyle name="Normal 4 5 7 2 3" xfId="27576" xr:uid="{00000000-0005-0000-0000-000095690000}"/>
    <cellStyle name="Normal 4 5 7 3" xfId="12072" xr:uid="{00000000-0005-0000-0000-000096690000}"/>
    <cellStyle name="Normal 4 5 7 3 2" xfId="32124" xr:uid="{00000000-0005-0000-0000-000097690000}"/>
    <cellStyle name="Normal 4 5 7 4" xfId="23094" xr:uid="{00000000-0005-0000-0000-000098690000}"/>
    <cellStyle name="Normal 4 5 8" xfId="4536" xr:uid="{00000000-0005-0000-0000-000099690000}"/>
    <cellStyle name="Normal 4 5 8 2" xfId="13566" xr:uid="{00000000-0005-0000-0000-00009A690000}"/>
    <cellStyle name="Normal 4 5 8 2 2" xfId="33618" xr:uid="{00000000-0005-0000-0000-00009B690000}"/>
    <cellStyle name="Normal 4 5 8 3" xfId="24588" xr:uid="{00000000-0005-0000-0000-00009C690000}"/>
    <cellStyle name="Normal 4 5 9" xfId="9084" xr:uid="{00000000-0005-0000-0000-00009D690000}"/>
    <cellStyle name="Normal 4 5 9 2" xfId="29136" xr:uid="{00000000-0005-0000-0000-00009E690000}"/>
    <cellStyle name="Normal 4 6" xfId="78" xr:uid="{00000000-0005-0000-0000-00009F690000}"/>
    <cellStyle name="Normal 4 6 10" xfId="20130" xr:uid="{00000000-0005-0000-0000-0000A0690000}"/>
    <cellStyle name="Normal 4 6 2" xfId="264" xr:uid="{00000000-0005-0000-0000-0000A1690000}"/>
    <cellStyle name="Normal 4 6 2 2" xfId="1008" xr:uid="{00000000-0005-0000-0000-0000A2690000}"/>
    <cellStyle name="Normal 4 6 2 2 2" xfId="2502" xr:uid="{00000000-0005-0000-0000-0000A3690000}"/>
    <cellStyle name="Normal 4 6 2 2 2 2" xfId="6984" xr:uid="{00000000-0005-0000-0000-0000A4690000}"/>
    <cellStyle name="Normal 4 6 2 2 2 2 2" xfId="16014" xr:uid="{00000000-0005-0000-0000-0000A5690000}"/>
    <cellStyle name="Normal 4 6 2 2 2 2 2 2" xfId="36066" xr:uid="{00000000-0005-0000-0000-0000A6690000}"/>
    <cellStyle name="Normal 4 6 2 2 2 2 3" xfId="27036" xr:uid="{00000000-0005-0000-0000-0000A7690000}"/>
    <cellStyle name="Normal 4 6 2 2 2 3" xfId="11532" xr:uid="{00000000-0005-0000-0000-0000A8690000}"/>
    <cellStyle name="Normal 4 6 2 2 2 3 2" xfId="31584" xr:uid="{00000000-0005-0000-0000-0000A9690000}"/>
    <cellStyle name="Normal 4 6 2 2 2 4" xfId="22554" xr:uid="{00000000-0005-0000-0000-0000AA690000}"/>
    <cellStyle name="Normal 4 6 2 2 3" xfId="3996" xr:uid="{00000000-0005-0000-0000-0000AB690000}"/>
    <cellStyle name="Normal 4 6 2 2 3 2" xfId="8478" xr:uid="{00000000-0005-0000-0000-0000AC690000}"/>
    <cellStyle name="Normal 4 6 2 2 3 2 2" xfId="17508" xr:uid="{00000000-0005-0000-0000-0000AD690000}"/>
    <cellStyle name="Normal 4 6 2 2 3 2 2 2" xfId="37560" xr:uid="{00000000-0005-0000-0000-0000AE690000}"/>
    <cellStyle name="Normal 4 6 2 2 3 2 3" xfId="28530" xr:uid="{00000000-0005-0000-0000-0000AF690000}"/>
    <cellStyle name="Normal 4 6 2 2 3 3" xfId="13026" xr:uid="{00000000-0005-0000-0000-0000B0690000}"/>
    <cellStyle name="Normal 4 6 2 2 3 3 2" xfId="33078" xr:uid="{00000000-0005-0000-0000-0000B1690000}"/>
    <cellStyle name="Normal 4 6 2 2 3 4" xfId="24048" xr:uid="{00000000-0005-0000-0000-0000B2690000}"/>
    <cellStyle name="Normal 4 6 2 2 4" xfId="5490" xr:uid="{00000000-0005-0000-0000-0000B3690000}"/>
    <cellStyle name="Normal 4 6 2 2 4 2" xfId="14520" xr:uid="{00000000-0005-0000-0000-0000B4690000}"/>
    <cellStyle name="Normal 4 6 2 2 4 2 2" xfId="34572" xr:uid="{00000000-0005-0000-0000-0000B5690000}"/>
    <cellStyle name="Normal 4 6 2 2 4 3" xfId="25542" xr:uid="{00000000-0005-0000-0000-0000B6690000}"/>
    <cellStyle name="Normal 4 6 2 2 5" xfId="10038" xr:uid="{00000000-0005-0000-0000-0000B7690000}"/>
    <cellStyle name="Normal 4 6 2 2 5 2" xfId="30090" xr:uid="{00000000-0005-0000-0000-0000B8690000}"/>
    <cellStyle name="Normal 4 6 2 2 6" xfId="21060" xr:uid="{00000000-0005-0000-0000-0000B9690000}"/>
    <cellStyle name="Normal 4 6 2 3" xfId="1758" xr:uid="{00000000-0005-0000-0000-0000BA690000}"/>
    <cellStyle name="Normal 4 6 2 3 2" xfId="6240" xr:uid="{00000000-0005-0000-0000-0000BB690000}"/>
    <cellStyle name="Normal 4 6 2 3 2 2" xfId="15270" xr:uid="{00000000-0005-0000-0000-0000BC690000}"/>
    <cellStyle name="Normal 4 6 2 3 2 2 2" xfId="35322" xr:uid="{00000000-0005-0000-0000-0000BD690000}"/>
    <cellStyle name="Normal 4 6 2 3 2 3" xfId="26292" xr:uid="{00000000-0005-0000-0000-0000BE690000}"/>
    <cellStyle name="Normal 4 6 2 3 3" xfId="10788" xr:uid="{00000000-0005-0000-0000-0000BF690000}"/>
    <cellStyle name="Normal 4 6 2 3 3 2" xfId="30840" xr:uid="{00000000-0005-0000-0000-0000C0690000}"/>
    <cellStyle name="Normal 4 6 2 3 4" xfId="21810" xr:uid="{00000000-0005-0000-0000-0000C1690000}"/>
    <cellStyle name="Normal 4 6 2 4" xfId="3252" xr:uid="{00000000-0005-0000-0000-0000C2690000}"/>
    <cellStyle name="Normal 4 6 2 4 2" xfId="7734" xr:uid="{00000000-0005-0000-0000-0000C3690000}"/>
    <cellStyle name="Normal 4 6 2 4 2 2" xfId="16764" xr:uid="{00000000-0005-0000-0000-0000C4690000}"/>
    <cellStyle name="Normal 4 6 2 4 2 2 2" xfId="36816" xr:uid="{00000000-0005-0000-0000-0000C5690000}"/>
    <cellStyle name="Normal 4 6 2 4 2 3" xfId="27786" xr:uid="{00000000-0005-0000-0000-0000C6690000}"/>
    <cellStyle name="Normal 4 6 2 4 3" xfId="12282" xr:uid="{00000000-0005-0000-0000-0000C7690000}"/>
    <cellStyle name="Normal 4 6 2 4 3 2" xfId="32334" xr:uid="{00000000-0005-0000-0000-0000C8690000}"/>
    <cellStyle name="Normal 4 6 2 4 4" xfId="23304" xr:uid="{00000000-0005-0000-0000-0000C9690000}"/>
    <cellStyle name="Normal 4 6 2 5" xfId="4746" xr:uid="{00000000-0005-0000-0000-0000CA690000}"/>
    <cellStyle name="Normal 4 6 2 5 2" xfId="13776" xr:uid="{00000000-0005-0000-0000-0000CB690000}"/>
    <cellStyle name="Normal 4 6 2 5 2 2" xfId="33828" xr:uid="{00000000-0005-0000-0000-0000CC690000}"/>
    <cellStyle name="Normal 4 6 2 5 3" xfId="24798" xr:uid="{00000000-0005-0000-0000-0000CD690000}"/>
    <cellStyle name="Normal 4 6 2 6" xfId="9294" xr:uid="{00000000-0005-0000-0000-0000CE690000}"/>
    <cellStyle name="Normal 4 6 2 6 2" xfId="29346" xr:uid="{00000000-0005-0000-0000-0000CF690000}"/>
    <cellStyle name="Normal 4 6 2 7" xfId="20316" xr:uid="{00000000-0005-0000-0000-0000D0690000}"/>
    <cellStyle name="Normal 4 6 3" xfId="450" xr:uid="{00000000-0005-0000-0000-0000D1690000}"/>
    <cellStyle name="Normal 4 6 3 2" xfId="1197" xr:uid="{00000000-0005-0000-0000-0000D2690000}"/>
    <cellStyle name="Normal 4 6 3 2 2" xfId="2691" xr:uid="{00000000-0005-0000-0000-0000D3690000}"/>
    <cellStyle name="Normal 4 6 3 2 2 2" xfId="7173" xr:uid="{00000000-0005-0000-0000-0000D4690000}"/>
    <cellStyle name="Normal 4 6 3 2 2 2 2" xfId="16203" xr:uid="{00000000-0005-0000-0000-0000D5690000}"/>
    <cellStyle name="Normal 4 6 3 2 2 2 2 2" xfId="36255" xr:uid="{00000000-0005-0000-0000-0000D6690000}"/>
    <cellStyle name="Normal 4 6 3 2 2 2 3" xfId="27225" xr:uid="{00000000-0005-0000-0000-0000D7690000}"/>
    <cellStyle name="Normal 4 6 3 2 2 3" xfId="11721" xr:uid="{00000000-0005-0000-0000-0000D8690000}"/>
    <cellStyle name="Normal 4 6 3 2 2 3 2" xfId="31773" xr:uid="{00000000-0005-0000-0000-0000D9690000}"/>
    <cellStyle name="Normal 4 6 3 2 2 4" xfId="22743" xr:uid="{00000000-0005-0000-0000-0000DA690000}"/>
    <cellStyle name="Normal 4 6 3 2 3" xfId="4185" xr:uid="{00000000-0005-0000-0000-0000DB690000}"/>
    <cellStyle name="Normal 4 6 3 2 3 2" xfId="8667" xr:uid="{00000000-0005-0000-0000-0000DC690000}"/>
    <cellStyle name="Normal 4 6 3 2 3 2 2" xfId="17697" xr:uid="{00000000-0005-0000-0000-0000DD690000}"/>
    <cellStyle name="Normal 4 6 3 2 3 2 2 2" xfId="37749" xr:uid="{00000000-0005-0000-0000-0000DE690000}"/>
    <cellStyle name="Normal 4 6 3 2 3 2 3" xfId="28719" xr:uid="{00000000-0005-0000-0000-0000DF690000}"/>
    <cellStyle name="Normal 4 6 3 2 3 3" xfId="13215" xr:uid="{00000000-0005-0000-0000-0000E0690000}"/>
    <cellStyle name="Normal 4 6 3 2 3 3 2" xfId="33267" xr:uid="{00000000-0005-0000-0000-0000E1690000}"/>
    <cellStyle name="Normal 4 6 3 2 3 4" xfId="24237" xr:uid="{00000000-0005-0000-0000-0000E2690000}"/>
    <cellStyle name="Normal 4 6 3 2 4" xfId="5679" xr:uid="{00000000-0005-0000-0000-0000E3690000}"/>
    <cellStyle name="Normal 4 6 3 2 4 2" xfId="14709" xr:uid="{00000000-0005-0000-0000-0000E4690000}"/>
    <cellStyle name="Normal 4 6 3 2 4 2 2" xfId="34761" xr:uid="{00000000-0005-0000-0000-0000E5690000}"/>
    <cellStyle name="Normal 4 6 3 2 4 3" xfId="25731" xr:uid="{00000000-0005-0000-0000-0000E6690000}"/>
    <cellStyle name="Normal 4 6 3 2 5" xfId="10227" xr:uid="{00000000-0005-0000-0000-0000E7690000}"/>
    <cellStyle name="Normal 4 6 3 2 5 2" xfId="30279" xr:uid="{00000000-0005-0000-0000-0000E8690000}"/>
    <cellStyle name="Normal 4 6 3 2 6" xfId="21249" xr:uid="{00000000-0005-0000-0000-0000E9690000}"/>
    <cellStyle name="Normal 4 6 3 3" xfId="1944" xr:uid="{00000000-0005-0000-0000-0000EA690000}"/>
    <cellStyle name="Normal 4 6 3 3 2" xfId="6426" xr:uid="{00000000-0005-0000-0000-0000EB690000}"/>
    <cellStyle name="Normal 4 6 3 3 2 2" xfId="15456" xr:uid="{00000000-0005-0000-0000-0000EC690000}"/>
    <cellStyle name="Normal 4 6 3 3 2 2 2" xfId="35508" xr:uid="{00000000-0005-0000-0000-0000ED690000}"/>
    <cellStyle name="Normal 4 6 3 3 2 3" xfId="26478" xr:uid="{00000000-0005-0000-0000-0000EE690000}"/>
    <cellStyle name="Normal 4 6 3 3 3" xfId="10974" xr:uid="{00000000-0005-0000-0000-0000EF690000}"/>
    <cellStyle name="Normal 4 6 3 3 3 2" xfId="31026" xr:uid="{00000000-0005-0000-0000-0000F0690000}"/>
    <cellStyle name="Normal 4 6 3 3 4" xfId="21996" xr:uid="{00000000-0005-0000-0000-0000F1690000}"/>
    <cellStyle name="Normal 4 6 3 4" xfId="3438" xr:uid="{00000000-0005-0000-0000-0000F2690000}"/>
    <cellStyle name="Normal 4 6 3 4 2" xfId="7920" xr:uid="{00000000-0005-0000-0000-0000F3690000}"/>
    <cellStyle name="Normal 4 6 3 4 2 2" xfId="16950" xr:uid="{00000000-0005-0000-0000-0000F4690000}"/>
    <cellStyle name="Normal 4 6 3 4 2 2 2" xfId="37002" xr:uid="{00000000-0005-0000-0000-0000F5690000}"/>
    <cellStyle name="Normal 4 6 3 4 2 3" xfId="27972" xr:uid="{00000000-0005-0000-0000-0000F6690000}"/>
    <cellStyle name="Normal 4 6 3 4 3" xfId="12468" xr:uid="{00000000-0005-0000-0000-0000F7690000}"/>
    <cellStyle name="Normal 4 6 3 4 3 2" xfId="32520" xr:uid="{00000000-0005-0000-0000-0000F8690000}"/>
    <cellStyle name="Normal 4 6 3 4 4" xfId="23490" xr:uid="{00000000-0005-0000-0000-0000F9690000}"/>
    <cellStyle name="Normal 4 6 3 5" xfId="4932" xr:uid="{00000000-0005-0000-0000-0000FA690000}"/>
    <cellStyle name="Normal 4 6 3 5 2" xfId="13962" xr:uid="{00000000-0005-0000-0000-0000FB690000}"/>
    <cellStyle name="Normal 4 6 3 5 2 2" xfId="34014" xr:uid="{00000000-0005-0000-0000-0000FC690000}"/>
    <cellStyle name="Normal 4 6 3 5 3" xfId="24984" xr:uid="{00000000-0005-0000-0000-0000FD690000}"/>
    <cellStyle name="Normal 4 6 3 6" xfId="9480" xr:uid="{00000000-0005-0000-0000-0000FE690000}"/>
    <cellStyle name="Normal 4 6 3 6 2" xfId="29532" xr:uid="{00000000-0005-0000-0000-0000FF690000}"/>
    <cellStyle name="Normal 4 6 3 7" xfId="20502" xr:uid="{00000000-0005-0000-0000-0000006A0000}"/>
    <cellStyle name="Normal 4 6 4" xfId="636" xr:uid="{00000000-0005-0000-0000-0000016A0000}"/>
    <cellStyle name="Normal 4 6 4 2" xfId="1383" xr:uid="{00000000-0005-0000-0000-0000026A0000}"/>
    <cellStyle name="Normal 4 6 4 2 2" xfId="2877" xr:uid="{00000000-0005-0000-0000-0000036A0000}"/>
    <cellStyle name="Normal 4 6 4 2 2 2" xfId="7359" xr:uid="{00000000-0005-0000-0000-0000046A0000}"/>
    <cellStyle name="Normal 4 6 4 2 2 2 2" xfId="16389" xr:uid="{00000000-0005-0000-0000-0000056A0000}"/>
    <cellStyle name="Normal 4 6 4 2 2 2 2 2" xfId="36441" xr:uid="{00000000-0005-0000-0000-0000066A0000}"/>
    <cellStyle name="Normal 4 6 4 2 2 2 3" xfId="27411" xr:uid="{00000000-0005-0000-0000-0000076A0000}"/>
    <cellStyle name="Normal 4 6 4 2 2 3" xfId="11907" xr:uid="{00000000-0005-0000-0000-0000086A0000}"/>
    <cellStyle name="Normal 4 6 4 2 2 3 2" xfId="31959" xr:uid="{00000000-0005-0000-0000-0000096A0000}"/>
    <cellStyle name="Normal 4 6 4 2 2 4" xfId="22929" xr:uid="{00000000-0005-0000-0000-00000A6A0000}"/>
    <cellStyle name="Normal 4 6 4 2 3" xfId="4371" xr:uid="{00000000-0005-0000-0000-00000B6A0000}"/>
    <cellStyle name="Normal 4 6 4 2 3 2" xfId="8853" xr:uid="{00000000-0005-0000-0000-00000C6A0000}"/>
    <cellStyle name="Normal 4 6 4 2 3 2 2" xfId="17883" xr:uid="{00000000-0005-0000-0000-00000D6A0000}"/>
    <cellStyle name="Normal 4 6 4 2 3 2 2 2" xfId="37935" xr:uid="{00000000-0005-0000-0000-00000E6A0000}"/>
    <cellStyle name="Normal 4 6 4 2 3 2 3" xfId="28905" xr:uid="{00000000-0005-0000-0000-00000F6A0000}"/>
    <cellStyle name="Normal 4 6 4 2 3 3" xfId="13401" xr:uid="{00000000-0005-0000-0000-0000106A0000}"/>
    <cellStyle name="Normal 4 6 4 2 3 3 2" xfId="33453" xr:uid="{00000000-0005-0000-0000-0000116A0000}"/>
    <cellStyle name="Normal 4 6 4 2 3 4" xfId="24423" xr:uid="{00000000-0005-0000-0000-0000126A0000}"/>
    <cellStyle name="Normal 4 6 4 2 4" xfId="5865" xr:uid="{00000000-0005-0000-0000-0000136A0000}"/>
    <cellStyle name="Normal 4 6 4 2 4 2" xfId="14895" xr:uid="{00000000-0005-0000-0000-0000146A0000}"/>
    <cellStyle name="Normal 4 6 4 2 4 2 2" xfId="34947" xr:uid="{00000000-0005-0000-0000-0000156A0000}"/>
    <cellStyle name="Normal 4 6 4 2 4 3" xfId="25917" xr:uid="{00000000-0005-0000-0000-0000166A0000}"/>
    <cellStyle name="Normal 4 6 4 2 5" xfId="10413" xr:uid="{00000000-0005-0000-0000-0000176A0000}"/>
    <cellStyle name="Normal 4 6 4 2 5 2" xfId="30465" xr:uid="{00000000-0005-0000-0000-0000186A0000}"/>
    <cellStyle name="Normal 4 6 4 2 6" xfId="21435" xr:uid="{00000000-0005-0000-0000-0000196A0000}"/>
    <cellStyle name="Normal 4 6 4 3" xfId="2130" xr:uid="{00000000-0005-0000-0000-00001A6A0000}"/>
    <cellStyle name="Normal 4 6 4 3 2" xfId="6612" xr:uid="{00000000-0005-0000-0000-00001B6A0000}"/>
    <cellStyle name="Normal 4 6 4 3 2 2" xfId="15642" xr:uid="{00000000-0005-0000-0000-00001C6A0000}"/>
    <cellStyle name="Normal 4 6 4 3 2 2 2" xfId="35694" xr:uid="{00000000-0005-0000-0000-00001D6A0000}"/>
    <cellStyle name="Normal 4 6 4 3 2 3" xfId="26664" xr:uid="{00000000-0005-0000-0000-00001E6A0000}"/>
    <cellStyle name="Normal 4 6 4 3 3" xfId="11160" xr:uid="{00000000-0005-0000-0000-00001F6A0000}"/>
    <cellStyle name="Normal 4 6 4 3 3 2" xfId="31212" xr:uid="{00000000-0005-0000-0000-0000206A0000}"/>
    <cellStyle name="Normal 4 6 4 3 4" xfId="22182" xr:uid="{00000000-0005-0000-0000-0000216A0000}"/>
    <cellStyle name="Normal 4 6 4 4" xfId="3624" xr:uid="{00000000-0005-0000-0000-0000226A0000}"/>
    <cellStyle name="Normal 4 6 4 4 2" xfId="8106" xr:uid="{00000000-0005-0000-0000-0000236A0000}"/>
    <cellStyle name="Normal 4 6 4 4 2 2" xfId="17136" xr:uid="{00000000-0005-0000-0000-0000246A0000}"/>
    <cellStyle name="Normal 4 6 4 4 2 2 2" xfId="37188" xr:uid="{00000000-0005-0000-0000-0000256A0000}"/>
    <cellStyle name="Normal 4 6 4 4 2 3" xfId="28158" xr:uid="{00000000-0005-0000-0000-0000266A0000}"/>
    <cellStyle name="Normal 4 6 4 4 3" xfId="12654" xr:uid="{00000000-0005-0000-0000-0000276A0000}"/>
    <cellStyle name="Normal 4 6 4 4 3 2" xfId="32706" xr:uid="{00000000-0005-0000-0000-0000286A0000}"/>
    <cellStyle name="Normal 4 6 4 4 4" xfId="23676" xr:uid="{00000000-0005-0000-0000-0000296A0000}"/>
    <cellStyle name="Normal 4 6 4 5" xfId="5118" xr:uid="{00000000-0005-0000-0000-00002A6A0000}"/>
    <cellStyle name="Normal 4 6 4 5 2" xfId="14148" xr:uid="{00000000-0005-0000-0000-00002B6A0000}"/>
    <cellStyle name="Normal 4 6 4 5 2 2" xfId="34200" xr:uid="{00000000-0005-0000-0000-00002C6A0000}"/>
    <cellStyle name="Normal 4 6 4 5 3" xfId="25170" xr:uid="{00000000-0005-0000-0000-00002D6A0000}"/>
    <cellStyle name="Normal 4 6 4 6" xfId="9666" xr:uid="{00000000-0005-0000-0000-00002E6A0000}"/>
    <cellStyle name="Normal 4 6 4 6 2" xfId="29718" xr:uid="{00000000-0005-0000-0000-00002F6A0000}"/>
    <cellStyle name="Normal 4 6 4 7" xfId="20688" xr:uid="{00000000-0005-0000-0000-0000306A0000}"/>
    <cellStyle name="Normal 4 6 5" xfId="823" xr:uid="{00000000-0005-0000-0000-0000316A0000}"/>
    <cellStyle name="Normal 4 6 5 2" xfId="2317" xr:uid="{00000000-0005-0000-0000-0000326A0000}"/>
    <cellStyle name="Normal 4 6 5 2 2" xfId="6799" xr:uid="{00000000-0005-0000-0000-0000336A0000}"/>
    <cellStyle name="Normal 4 6 5 2 2 2" xfId="15829" xr:uid="{00000000-0005-0000-0000-0000346A0000}"/>
    <cellStyle name="Normal 4 6 5 2 2 2 2" xfId="35881" xr:uid="{00000000-0005-0000-0000-0000356A0000}"/>
    <cellStyle name="Normal 4 6 5 2 2 3" xfId="26851" xr:uid="{00000000-0005-0000-0000-0000366A0000}"/>
    <cellStyle name="Normal 4 6 5 2 3" xfId="11347" xr:uid="{00000000-0005-0000-0000-0000376A0000}"/>
    <cellStyle name="Normal 4 6 5 2 3 2" xfId="31399" xr:uid="{00000000-0005-0000-0000-0000386A0000}"/>
    <cellStyle name="Normal 4 6 5 2 4" xfId="22369" xr:uid="{00000000-0005-0000-0000-0000396A0000}"/>
    <cellStyle name="Normal 4 6 5 3" xfId="3811" xr:uid="{00000000-0005-0000-0000-00003A6A0000}"/>
    <cellStyle name="Normal 4 6 5 3 2" xfId="8293" xr:uid="{00000000-0005-0000-0000-00003B6A0000}"/>
    <cellStyle name="Normal 4 6 5 3 2 2" xfId="17323" xr:uid="{00000000-0005-0000-0000-00003C6A0000}"/>
    <cellStyle name="Normal 4 6 5 3 2 2 2" xfId="37375" xr:uid="{00000000-0005-0000-0000-00003D6A0000}"/>
    <cellStyle name="Normal 4 6 5 3 2 3" xfId="28345" xr:uid="{00000000-0005-0000-0000-00003E6A0000}"/>
    <cellStyle name="Normal 4 6 5 3 3" xfId="12841" xr:uid="{00000000-0005-0000-0000-00003F6A0000}"/>
    <cellStyle name="Normal 4 6 5 3 3 2" xfId="32893" xr:uid="{00000000-0005-0000-0000-0000406A0000}"/>
    <cellStyle name="Normal 4 6 5 3 4" xfId="23863" xr:uid="{00000000-0005-0000-0000-0000416A0000}"/>
    <cellStyle name="Normal 4 6 5 4" xfId="5305" xr:uid="{00000000-0005-0000-0000-0000426A0000}"/>
    <cellStyle name="Normal 4 6 5 4 2" xfId="14335" xr:uid="{00000000-0005-0000-0000-0000436A0000}"/>
    <cellStyle name="Normal 4 6 5 4 2 2" xfId="34387" xr:uid="{00000000-0005-0000-0000-0000446A0000}"/>
    <cellStyle name="Normal 4 6 5 4 3" xfId="25357" xr:uid="{00000000-0005-0000-0000-0000456A0000}"/>
    <cellStyle name="Normal 4 6 5 5" xfId="9853" xr:uid="{00000000-0005-0000-0000-0000466A0000}"/>
    <cellStyle name="Normal 4 6 5 5 2" xfId="29905" xr:uid="{00000000-0005-0000-0000-0000476A0000}"/>
    <cellStyle name="Normal 4 6 5 6" xfId="20875" xr:uid="{00000000-0005-0000-0000-0000486A0000}"/>
    <cellStyle name="Normal 4 6 6" xfId="1572" xr:uid="{00000000-0005-0000-0000-0000496A0000}"/>
    <cellStyle name="Normal 4 6 6 2" xfId="6054" xr:uid="{00000000-0005-0000-0000-00004A6A0000}"/>
    <cellStyle name="Normal 4 6 6 2 2" xfId="15084" xr:uid="{00000000-0005-0000-0000-00004B6A0000}"/>
    <cellStyle name="Normal 4 6 6 2 2 2" xfId="35136" xr:uid="{00000000-0005-0000-0000-00004C6A0000}"/>
    <cellStyle name="Normal 4 6 6 2 3" xfId="26106" xr:uid="{00000000-0005-0000-0000-00004D6A0000}"/>
    <cellStyle name="Normal 4 6 6 3" xfId="10602" xr:uid="{00000000-0005-0000-0000-00004E6A0000}"/>
    <cellStyle name="Normal 4 6 6 3 2" xfId="30654" xr:uid="{00000000-0005-0000-0000-00004F6A0000}"/>
    <cellStyle name="Normal 4 6 6 4" xfId="21624" xr:uid="{00000000-0005-0000-0000-0000506A0000}"/>
    <cellStyle name="Normal 4 6 7" xfId="3066" xr:uid="{00000000-0005-0000-0000-0000516A0000}"/>
    <cellStyle name="Normal 4 6 7 2" xfId="7548" xr:uid="{00000000-0005-0000-0000-0000526A0000}"/>
    <cellStyle name="Normal 4 6 7 2 2" xfId="16578" xr:uid="{00000000-0005-0000-0000-0000536A0000}"/>
    <cellStyle name="Normal 4 6 7 2 2 2" xfId="36630" xr:uid="{00000000-0005-0000-0000-0000546A0000}"/>
    <cellStyle name="Normal 4 6 7 2 3" xfId="27600" xr:uid="{00000000-0005-0000-0000-0000556A0000}"/>
    <cellStyle name="Normal 4 6 7 3" xfId="12096" xr:uid="{00000000-0005-0000-0000-0000566A0000}"/>
    <cellStyle name="Normal 4 6 7 3 2" xfId="32148" xr:uid="{00000000-0005-0000-0000-0000576A0000}"/>
    <cellStyle name="Normal 4 6 7 4" xfId="23118" xr:uid="{00000000-0005-0000-0000-0000586A0000}"/>
    <cellStyle name="Normal 4 6 8" xfId="4560" xr:uid="{00000000-0005-0000-0000-0000596A0000}"/>
    <cellStyle name="Normal 4 6 8 2" xfId="13590" xr:uid="{00000000-0005-0000-0000-00005A6A0000}"/>
    <cellStyle name="Normal 4 6 8 2 2" xfId="33642" xr:uid="{00000000-0005-0000-0000-00005B6A0000}"/>
    <cellStyle name="Normal 4 6 8 3" xfId="24612" xr:uid="{00000000-0005-0000-0000-00005C6A0000}"/>
    <cellStyle name="Normal 4 6 9" xfId="9108" xr:uid="{00000000-0005-0000-0000-00005D6A0000}"/>
    <cellStyle name="Normal 4 6 9 2" xfId="29160" xr:uid="{00000000-0005-0000-0000-00005E6A0000}"/>
    <cellStyle name="Normal 4 7" xfId="113" xr:uid="{00000000-0005-0000-0000-00005F6A0000}"/>
    <cellStyle name="Normal 4 7 10" xfId="20165" xr:uid="{00000000-0005-0000-0000-0000606A0000}"/>
    <cellStyle name="Normal 4 7 2" xfId="299" xr:uid="{00000000-0005-0000-0000-0000616A0000}"/>
    <cellStyle name="Normal 4 7 2 2" xfId="1042" xr:uid="{00000000-0005-0000-0000-0000626A0000}"/>
    <cellStyle name="Normal 4 7 2 2 2" xfId="2536" xr:uid="{00000000-0005-0000-0000-0000636A0000}"/>
    <cellStyle name="Normal 4 7 2 2 2 2" xfId="7018" xr:uid="{00000000-0005-0000-0000-0000646A0000}"/>
    <cellStyle name="Normal 4 7 2 2 2 2 2" xfId="16048" xr:uid="{00000000-0005-0000-0000-0000656A0000}"/>
    <cellStyle name="Normal 4 7 2 2 2 2 2 2" xfId="36100" xr:uid="{00000000-0005-0000-0000-0000666A0000}"/>
    <cellStyle name="Normal 4 7 2 2 2 2 3" xfId="27070" xr:uid="{00000000-0005-0000-0000-0000676A0000}"/>
    <cellStyle name="Normal 4 7 2 2 2 3" xfId="11566" xr:uid="{00000000-0005-0000-0000-0000686A0000}"/>
    <cellStyle name="Normal 4 7 2 2 2 3 2" xfId="31618" xr:uid="{00000000-0005-0000-0000-0000696A0000}"/>
    <cellStyle name="Normal 4 7 2 2 2 4" xfId="22588" xr:uid="{00000000-0005-0000-0000-00006A6A0000}"/>
    <cellStyle name="Normal 4 7 2 2 3" xfId="4030" xr:uid="{00000000-0005-0000-0000-00006B6A0000}"/>
    <cellStyle name="Normal 4 7 2 2 3 2" xfId="8512" xr:uid="{00000000-0005-0000-0000-00006C6A0000}"/>
    <cellStyle name="Normal 4 7 2 2 3 2 2" xfId="17542" xr:uid="{00000000-0005-0000-0000-00006D6A0000}"/>
    <cellStyle name="Normal 4 7 2 2 3 2 2 2" xfId="37594" xr:uid="{00000000-0005-0000-0000-00006E6A0000}"/>
    <cellStyle name="Normal 4 7 2 2 3 2 3" xfId="28564" xr:uid="{00000000-0005-0000-0000-00006F6A0000}"/>
    <cellStyle name="Normal 4 7 2 2 3 3" xfId="13060" xr:uid="{00000000-0005-0000-0000-0000706A0000}"/>
    <cellStyle name="Normal 4 7 2 2 3 3 2" xfId="33112" xr:uid="{00000000-0005-0000-0000-0000716A0000}"/>
    <cellStyle name="Normal 4 7 2 2 3 4" xfId="24082" xr:uid="{00000000-0005-0000-0000-0000726A0000}"/>
    <cellStyle name="Normal 4 7 2 2 4" xfId="5524" xr:uid="{00000000-0005-0000-0000-0000736A0000}"/>
    <cellStyle name="Normal 4 7 2 2 4 2" xfId="14554" xr:uid="{00000000-0005-0000-0000-0000746A0000}"/>
    <cellStyle name="Normal 4 7 2 2 4 2 2" xfId="34606" xr:uid="{00000000-0005-0000-0000-0000756A0000}"/>
    <cellStyle name="Normal 4 7 2 2 4 3" xfId="25576" xr:uid="{00000000-0005-0000-0000-0000766A0000}"/>
    <cellStyle name="Normal 4 7 2 2 5" xfId="10072" xr:uid="{00000000-0005-0000-0000-0000776A0000}"/>
    <cellStyle name="Normal 4 7 2 2 5 2" xfId="30124" xr:uid="{00000000-0005-0000-0000-0000786A0000}"/>
    <cellStyle name="Normal 4 7 2 2 6" xfId="21094" xr:uid="{00000000-0005-0000-0000-0000796A0000}"/>
    <cellStyle name="Normal 4 7 2 3" xfId="1793" xr:uid="{00000000-0005-0000-0000-00007A6A0000}"/>
    <cellStyle name="Normal 4 7 2 3 2" xfId="6275" xr:uid="{00000000-0005-0000-0000-00007B6A0000}"/>
    <cellStyle name="Normal 4 7 2 3 2 2" xfId="15305" xr:uid="{00000000-0005-0000-0000-00007C6A0000}"/>
    <cellStyle name="Normal 4 7 2 3 2 2 2" xfId="35357" xr:uid="{00000000-0005-0000-0000-00007D6A0000}"/>
    <cellStyle name="Normal 4 7 2 3 2 3" xfId="26327" xr:uid="{00000000-0005-0000-0000-00007E6A0000}"/>
    <cellStyle name="Normal 4 7 2 3 3" xfId="10823" xr:uid="{00000000-0005-0000-0000-00007F6A0000}"/>
    <cellStyle name="Normal 4 7 2 3 3 2" xfId="30875" xr:uid="{00000000-0005-0000-0000-0000806A0000}"/>
    <cellStyle name="Normal 4 7 2 3 4" xfId="21845" xr:uid="{00000000-0005-0000-0000-0000816A0000}"/>
    <cellStyle name="Normal 4 7 2 4" xfId="3287" xr:uid="{00000000-0005-0000-0000-0000826A0000}"/>
    <cellStyle name="Normal 4 7 2 4 2" xfId="7769" xr:uid="{00000000-0005-0000-0000-0000836A0000}"/>
    <cellStyle name="Normal 4 7 2 4 2 2" xfId="16799" xr:uid="{00000000-0005-0000-0000-0000846A0000}"/>
    <cellStyle name="Normal 4 7 2 4 2 2 2" xfId="36851" xr:uid="{00000000-0005-0000-0000-0000856A0000}"/>
    <cellStyle name="Normal 4 7 2 4 2 3" xfId="27821" xr:uid="{00000000-0005-0000-0000-0000866A0000}"/>
    <cellStyle name="Normal 4 7 2 4 3" xfId="12317" xr:uid="{00000000-0005-0000-0000-0000876A0000}"/>
    <cellStyle name="Normal 4 7 2 4 3 2" xfId="32369" xr:uid="{00000000-0005-0000-0000-0000886A0000}"/>
    <cellStyle name="Normal 4 7 2 4 4" xfId="23339" xr:uid="{00000000-0005-0000-0000-0000896A0000}"/>
    <cellStyle name="Normal 4 7 2 5" xfId="4781" xr:uid="{00000000-0005-0000-0000-00008A6A0000}"/>
    <cellStyle name="Normal 4 7 2 5 2" xfId="13811" xr:uid="{00000000-0005-0000-0000-00008B6A0000}"/>
    <cellStyle name="Normal 4 7 2 5 2 2" xfId="33863" xr:uid="{00000000-0005-0000-0000-00008C6A0000}"/>
    <cellStyle name="Normal 4 7 2 5 3" xfId="24833" xr:uid="{00000000-0005-0000-0000-00008D6A0000}"/>
    <cellStyle name="Normal 4 7 2 6" xfId="9329" xr:uid="{00000000-0005-0000-0000-00008E6A0000}"/>
    <cellStyle name="Normal 4 7 2 6 2" xfId="29381" xr:uid="{00000000-0005-0000-0000-00008F6A0000}"/>
    <cellStyle name="Normal 4 7 2 7" xfId="20351" xr:uid="{00000000-0005-0000-0000-0000906A0000}"/>
    <cellStyle name="Normal 4 7 3" xfId="485" xr:uid="{00000000-0005-0000-0000-0000916A0000}"/>
    <cellStyle name="Normal 4 7 3 2" xfId="1232" xr:uid="{00000000-0005-0000-0000-0000926A0000}"/>
    <cellStyle name="Normal 4 7 3 2 2" xfId="2726" xr:uid="{00000000-0005-0000-0000-0000936A0000}"/>
    <cellStyle name="Normal 4 7 3 2 2 2" xfId="7208" xr:uid="{00000000-0005-0000-0000-0000946A0000}"/>
    <cellStyle name="Normal 4 7 3 2 2 2 2" xfId="16238" xr:uid="{00000000-0005-0000-0000-0000956A0000}"/>
    <cellStyle name="Normal 4 7 3 2 2 2 2 2" xfId="36290" xr:uid="{00000000-0005-0000-0000-0000966A0000}"/>
    <cellStyle name="Normal 4 7 3 2 2 2 3" xfId="27260" xr:uid="{00000000-0005-0000-0000-0000976A0000}"/>
    <cellStyle name="Normal 4 7 3 2 2 3" xfId="11756" xr:uid="{00000000-0005-0000-0000-0000986A0000}"/>
    <cellStyle name="Normal 4 7 3 2 2 3 2" xfId="31808" xr:uid="{00000000-0005-0000-0000-0000996A0000}"/>
    <cellStyle name="Normal 4 7 3 2 2 4" xfId="22778" xr:uid="{00000000-0005-0000-0000-00009A6A0000}"/>
    <cellStyle name="Normal 4 7 3 2 3" xfId="4220" xr:uid="{00000000-0005-0000-0000-00009B6A0000}"/>
    <cellStyle name="Normal 4 7 3 2 3 2" xfId="8702" xr:uid="{00000000-0005-0000-0000-00009C6A0000}"/>
    <cellStyle name="Normal 4 7 3 2 3 2 2" xfId="17732" xr:uid="{00000000-0005-0000-0000-00009D6A0000}"/>
    <cellStyle name="Normal 4 7 3 2 3 2 2 2" xfId="37784" xr:uid="{00000000-0005-0000-0000-00009E6A0000}"/>
    <cellStyle name="Normal 4 7 3 2 3 2 3" xfId="28754" xr:uid="{00000000-0005-0000-0000-00009F6A0000}"/>
    <cellStyle name="Normal 4 7 3 2 3 3" xfId="13250" xr:uid="{00000000-0005-0000-0000-0000A06A0000}"/>
    <cellStyle name="Normal 4 7 3 2 3 3 2" xfId="33302" xr:uid="{00000000-0005-0000-0000-0000A16A0000}"/>
    <cellStyle name="Normal 4 7 3 2 3 4" xfId="24272" xr:uid="{00000000-0005-0000-0000-0000A26A0000}"/>
    <cellStyle name="Normal 4 7 3 2 4" xfId="5714" xr:uid="{00000000-0005-0000-0000-0000A36A0000}"/>
    <cellStyle name="Normal 4 7 3 2 4 2" xfId="14744" xr:uid="{00000000-0005-0000-0000-0000A46A0000}"/>
    <cellStyle name="Normal 4 7 3 2 4 2 2" xfId="34796" xr:uid="{00000000-0005-0000-0000-0000A56A0000}"/>
    <cellStyle name="Normal 4 7 3 2 4 3" xfId="25766" xr:uid="{00000000-0005-0000-0000-0000A66A0000}"/>
    <cellStyle name="Normal 4 7 3 2 5" xfId="10262" xr:uid="{00000000-0005-0000-0000-0000A76A0000}"/>
    <cellStyle name="Normal 4 7 3 2 5 2" xfId="30314" xr:uid="{00000000-0005-0000-0000-0000A86A0000}"/>
    <cellStyle name="Normal 4 7 3 2 6" xfId="21284" xr:uid="{00000000-0005-0000-0000-0000A96A0000}"/>
    <cellStyle name="Normal 4 7 3 3" xfId="1979" xr:uid="{00000000-0005-0000-0000-0000AA6A0000}"/>
    <cellStyle name="Normal 4 7 3 3 2" xfId="6461" xr:uid="{00000000-0005-0000-0000-0000AB6A0000}"/>
    <cellStyle name="Normal 4 7 3 3 2 2" xfId="15491" xr:uid="{00000000-0005-0000-0000-0000AC6A0000}"/>
    <cellStyle name="Normal 4 7 3 3 2 2 2" xfId="35543" xr:uid="{00000000-0005-0000-0000-0000AD6A0000}"/>
    <cellStyle name="Normal 4 7 3 3 2 3" xfId="26513" xr:uid="{00000000-0005-0000-0000-0000AE6A0000}"/>
    <cellStyle name="Normal 4 7 3 3 3" xfId="11009" xr:uid="{00000000-0005-0000-0000-0000AF6A0000}"/>
    <cellStyle name="Normal 4 7 3 3 3 2" xfId="31061" xr:uid="{00000000-0005-0000-0000-0000B06A0000}"/>
    <cellStyle name="Normal 4 7 3 3 4" xfId="22031" xr:uid="{00000000-0005-0000-0000-0000B16A0000}"/>
    <cellStyle name="Normal 4 7 3 4" xfId="3473" xr:uid="{00000000-0005-0000-0000-0000B26A0000}"/>
    <cellStyle name="Normal 4 7 3 4 2" xfId="7955" xr:uid="{00000000-0005-0000-0000-0000B36A0000}"/>
    <cellStyle name="Normal 4 7 3 4 2 2" xfId="16985" xr:uid="{00000000-0005-0000-0000-0000B46A0000}"/>
    <cellStyle name="Normal 4 7 3 4 2 2 2" xfId="37037" xr:uid="{00000000-0005-0000-0000-0000B56A0000}"/>
    <cellStyle name="Normal 4 7 3 4 2 3" xfId="28007" xr:uid="{00000000-0005-0000-0000-0000B66A0000}"/>
    <cellStyle name="Normal 4 7 3 4 3" xfId="12503" xr:uid="{00000000-0005-0000-0000-0000B76A0000}"/>
    <cellStyle name="Normal 4 7 3 4 3 2" xfId="32555" xr:uid="{00000000-0005-0000-0000-0000B86A0000}"/>
    <cellStyle name="Normal 4 7 3 4 4" xfId="23525" xr:uid="{00000000-0005-0000-0000-0000B96A0000}"/>
    <cellStyle name="Normal 4 7 3 5" xfId="4967" xr:uid="{00000000-0005-0000-0000-0000BA6A0000}"/>
    <cellStyle name="Normal 4 7 3 5 2" xfId="13997" xr:uid="{00000000-0005-0000-0000-0000BB6A0000}"/>
    <cellStyle name="Normal 4 7 3 5 2 2" xfId="34049" xr:uid="{00000000-0005-0000-0000-0000BC6A0000}"/>
    <cellStyle name="Normal 4 7 3 5 3" xfId="25019" xr:uid="{00000000-0005-0000-0000-0000BD6A0000}"/>
    <cellStyle name="Normal 4 7 3 6" xfId="9515" xr:uid="{00000000-0005-0000-0000-0000BE6A0000}"/>
    <cellStyle name="Normal 4 7 3 6 2" xfId="29567" xr:uid="{00000000-0005-0000-0000-0000BF6A0000}"/>
    <cellStyle name="Normal 4 7 3 7" xfId="20537" xr:uid="{00000000-0005-0000-0000-0000C06A0000}"/>
    <cellStyle name="Normal 4 7 4" xfId="671" xr:uid="{00000000-0005-0000-0000-0000C16A0000}"/>
    <cellStyle name="Normal 4 7 4 2" xfId="1418" xr:uid="{00000000-0005-0000-0000-0000C26A0000}"/>
    <cellStyle name="Normal 4 7 4 2 2" xfId="2912" xr:uid="{00000000-0005-0000-0000-0000C36A0000}"/>
    <cellStyle name="Normal 4 7 4 2 2 2" xfId="7394" xr:uid="{00000000-0005-0000-0000-0000C46A0000}"/>
    <cellStyle name="Normal 4 7 4 2 2 2 2" xfId="16424" xr:uid="{00000000-0005-0000-0000-0000C56A0000}"/>
    <cellStyle name="Normal 4 7 4 2 2 2 2 2" xfId="36476" xr:uid="{00000000-0005-0000-0000-0000C66A0000}"/>
    <cellStyle name="Normal 4 7 4 2 2 2 3" xfId="27446" xr:uid="{00000000-0005-0000-0000-0000C76A0000}"/>
    <cellStyle name="Normal 4 7 4 2 2 3" xfId="11942" xr:uid="{00000000-0005-0000-0000-0000C86A0000}"/>
    <cellStyle name="Normal 4 7 4 2 2 3 2" xfId="31994" xr:uid="{00000000-0005-0000-0000-0000C96A0000}"/>
    <cellStyle name="Normal 4 7 4 2 2 4" xfId="22964" xr:uid="{00000000-0005-0000-0000-0000CA6A0000}"/>
    <cellStyle name="Normal 4 7 4 2 3" xfId="4406" xr:uid="{00000000-0005-0000-0000-0000CB6A0000}"/>
    <cellStyle name="Normal 4 7 4 2 3 2" xfId="8888" xr:uid="{00000000-0005-0000-0000-0000CC6A0000}"/>
    <cellStyle name="Normal 4 7 4 2 3 2 2" xfId="17918" xr:uid="{00000000-0005-0000-0000-0000CD6A0000}"/>
    <cellStyle name="Normal 4 7 4 2 3 2 2 2" xfId="37970" xr:uid="{00000000-0005-0000-0000-0000CE6A0000}"/>
    <cellStyle name="Normal 4 7 4 2 3 2 3" xfId="28940" xr:uid="{00000000-0005-0000-0000-0000CF6A0000}"/>
    <cellStyle name="Normal 4 7 4 2 3 3" xfId="13436" xr:uid="{00000000-0005-0000-0000-0000D06A0000}"/>
    <cellStyle name="Normal 4 7 4 2 3 3 2" xfId="33488" xr:uid="{00000000-0005-0000-0000-0000D16A0000}"/>
    <cellStyle name="Normal 4 7 4 2 3 4" xfId="24458" xr:uid="{00000000-0005-0000-0000-0000D26A0000}"/>
    <cellStyle name="Normal 4 7 4 2 4" xfId="5900" xr:uid="{00000000-0005-0000-0000-0000D36A0000}"/>
    <cellStyle name="Normal 4 7 4 2 4 2" xfId="14930" xr:uid="{00000000-0005-0000-0000-0000D46A0000}"/>
    <cellStyle name="Normal 4 7 4 2 4 2 2" xfId="34982" xr:uid="{00000000-0005-0000-0000-0000D56A0000}"/>
    <cellStyle name="Normal 4 7 4 2 4 3" xfId="25952" xr:uid="{00000000-0005-0000-0000-0000D66A0000}"/>
    <cellStyle name="Normal 4 7 4 2 5" xfId="10448" xr:uid="{00000000-0005-0000-0000-0000D76A0000}"/>
    <cellStyle name="Normal 4 7 4 2 5 2" xfId="30500" xr:uid="{00000000-0005-0000-0000-0000D86A0000}"/>
    <cellStyle name="Normal 4 7 4 2 6" xfId="21470" xr:uid="{00000000-0005-0000-0000-0000D96A0000}"/>
    <cellStyle name="Normal 4 7 4 3" xfId="2165" xr:uid="{00000000-0005-0000-0000-0000DA6A0000}"/>
    <cellStyle name="Normal 4 7 4 3 2" xfId="6647" xr:uid="{00000000-0005-0000-0000-0000DB6A0000}"/>
    <cellStyle name="Normal 4 7 4 3 2 2" xfId="15677" xr:uid="{00000000-0005-0000-0000-0000DC6A0000}"/>
    <cellStyle name="Normal 4 7 4 3 2 2 2" xfId="35729" xr:uid="{00000000-0005-0000-0000-0000DD6A0000}"/>
    <cellStyle name="Normal 4 7 4 3 2 3" xfId="26699" xr:uid="{00000000-0005-0000-0000-0000DE6A0000}"/>
    <cellStyle name="Normal 4 7 4 3 3" xfId="11195" xr:uid="{00000000-0005-0000-0000-0000DF6A0000}"/>
    <cellStyle name="Normal 4 7 4 3 3 2" xfId="31247" xr:uid="{00000000-0005-0000-0000-0000E06A0000}"/>
    <cellStyle name="Normal 4 7 4 3 4" xfId="22217" xr:uid="{00000000-0005-0000-0000-0000E16A0000}"/>
    <cellStyle name="Normal 4 7 4 4" xfId="3659" xr:uid="{00000000-0005-0000-0000-0000E26A0000}"/>
    <cellStyle name="Normal 4 7 4 4 2" xfId="8141" xr:uid="{00000000-0005-0000-0000-0000E36A0000}"/>
    <cellStyle name="Normal 4 7 4 4 2 2" xfId="17171" xr:uid="{00000000-0005-0000-0000-0000E46A0000}"/>
    <cellStyle name="Normal 4 7 4 4 2 2 2" xfId="37223" xr:uid="{00000000-0005-0000-0000-0000E56A0000}"/>
    <cellStyle name="Normal 4 7 4 4 2 3" xfId="28193" xr:uid="{00000000-0005-0000-0000-0000E66A0000}"/>
    <cellStyle name="Normal 4 7 4 4 3" xfId="12689" xr:uid="{00000000-0005-0000-0000-0000E76A0000}"/>
    <cellStyle name="Normal 4 7 4 4 3 2" xfId="32741" xr:uid="{00000000-0005-0000-0000-0000E86A0000}"/>
    <cellStyle name="Normal 4 7 4 4 4" xfId="23711" xr:uid="{00000000-0005-0000-0000-0000E96A0000}"/>
    <cellStyle name="Normal 4 7 4 5" xfId="5153" xr:uid="{00000000-0005-0000-0000-0000EA6A0000}"/>
    <cellStyle name="Normal 4 7 4 5 2" xfId="14183" xr:uid="{00000000-0005-0000-0000-0000EB6A0000}"/>
    <cellStyle name="Normal 4 7 4 5 2 2" xfId="34235" xr:uid="{00000000-0005-0000-0000-0000EC6A0000}"/>
    <cellStyle name="Normal 4 7 4 5 3" xfId="25205" xr:uid="{00000000-0005-0000-0000-0000ED6A0000}"/>
    <cellStyle name="Normal 4 7 4 6" xfId="9701" xr:uid="{00000000-0005-0000-0000-0000EE6A0000}"/>
    <cellStyle name="Normal 4 7 4 6 2" xfId="29753" xr:uid="{00000000-0005-0000-0000-0000EF6A0000}"/>
    <cellStyle name="Normal 4 7 4 7" xfId="20723" xr:uid="{00000000-0005-0000-0000-0000F06A0000}"/>
    <cellStyle name="Normal 4 7 5" xfId="858" xr:uid="{00000000-0005-0000-0000-0000F16A0000}"/>
    <cellStyle name="Normal 4 7 5 2" xfId="2352" xr:uid="{00000000-0005-0000-0000-0000F26A0000}"/>
    <cellStyle name="Normal 4 7 5 2 2" xfId="6834" xr:uid="{00000000-0005-0000-0000-0000F36A0000}"/>
    <cellStyle name="Normal 4 7 5 2 2 2" xfId="15864" xr:uid="{00000000-0005-0000-0000-0000F46A0000}"/>
    <cellStyle name="Normal 4 7 5 2 2 2 2" xfId="35916" xr:uid="{00000000-0005-0000-0000-0000F56A0000}"/>
    <cellStyle name="Normal 4 7 5 2 2 3" xfId="26886" xr:uid="{00000000-0005-0000-0000-0000F66A0000}"/>
    <cellStyle name="Normal 4 7 5 2 3" xfId="11382" xr:uid="{00000000-0005-0000-0000-0000F76A0000}"/>
    <cellStyle name="Normal 4 7 5 2 3 2" xfId="31434" xr:uid="{00000000-0005-0000-0000-0000F86A0000}"/>
    <cellStyle name="Normal 4 7 5 2 4" xfId="22404" xr:uid="{00000000-0005-0000-0000-0000F96A0000}"/>
    <cellStyle name="Normal 4 7 5 3" xfId="3846" xr:uid="{00000000-0005-0000-0000-0000FA6A0000}"/>
    <cellStyle name="Normal 4 7 5 3 2" xfId="8328" xr:uid="{00000000-0005-0000-0000-0000FB6A0000}"/>
    <cellStyle name="Normal 4 7 5 3 2 2" xfId="17358" xr:uid="{00000000-0005-0000-0000-0000FC6A0000}"/>
    <cellStyle name="Normal 4 7 5 3 2 2 2" xfId="37410" xr:uid="{00000000-0005-0000-0000-0000FD6A0000}"/>
    <cellStyle name="Normal 4 7 5 3 2 3" xfId="28380" xr:uid="{00000000-0005-0000-0000-0000FE6A0000}"/>
    <cellStyle name="Normal 4 7 5 3 3" xfId="12876" xr:uid="{00000000-0005-0000-0000-0000FF6A0000}"/>
    <cellStyle name="Normal 4 7 5 3 3 2" xfId="32928" xr:uid="{00000000-0005-0000-0000-0000006B0000}"/>
    <cellStyle name="Normal 4 7 5 3 4" xfId="23898" xr:uid="{00000000-0005-0000-0000-0000016B0000}"/>
    <cellStyle name="Normal 4 7 5 4" xfId="5340" xr:uid="{00000000-0005-0000-0000-0000026B0000}"/>
    <cellStyle name="Normal 4 7 5 4 2" xfId="14370" xr:uid="{00000000-0005-0000-0000-0000036B0000}"/>
    <cellStyle name="Normal 4 7 5 4 2 2" xfId="34422" xr:uid="{00000000-0005-0000-0000-0000046B0000}"/>
    <cellStyle name="Normal 4 7 5 4 3" xfId="25392" xr:uid="{00000000-0005-0000-0000-0000056B0000}"/>
    <cellStyle name="Normal 4 7 5 5" xfId="9888" xr:uid="{00000000-0005-0000-0000-0000066B0000}"/>
    <cellStyle name="Normal 4 7 5 5 2" xfId="29940" xr:uid="{00000000-0005-0000-0000-0000076B0000}"/>
    <cellStyle name="Normal 4 7 5 6" xfId="20910" xr:uid="{00000000-0005-0000-0000-0000086B0000}"/>
    <cellStyle name="Normal 4 7 6" xfId="1607" xr:uid="{00000000-0005-0000-0000-0000096B0000}"/>
    <cellStyle name="Normal 4 7 6 2" xfId="6089" xr:uid="{00000000-0005-0000-0000-00000A6B0000}"/>
    <cellStyle name="Normal 4 7 6 2 2" xfId="15119" xr:uid="{00000000-0005-0000-0000-00000B6B0000}"/>
    <cellStyle name="Normal 4 7 6 2 2 2" xfId="35171" xr:uid="{00000000-0005-0000-0000-00000C6B0000}"/>
    <cellStyle name="Normal 4 7 6 2 3" xfId="26141" xr:uid="{00000000-0005-0000-0000-00000D6B0000}"/>
    <cellStyle name="Normal 4 7 6 3" xfId="10637" xr:uid="{00000000-0005-0000-0000-00000E6B0000}"/>
    <cellStyle name="Normal 4 7 6 3 2" xfId="30689" xr:uid="{00000000-0005-0000-0000-00000F6B0000}"/>
    <cellStyle name="Normal 4 7 6 4" xfId="21659" xr:uid="{00000000-0005-0000-0000-0000106B0000}"/>
    <cellStyle name="Normal 4 7 7" xfId="3101" xr:uid="{00000000-0005-0000-0000-0000116B0000}"/>
    <cellStyle name="Normal 4 7 7 2" xfId="7583" xr:uid="{00000000-0005-0000-0000-0000126B0000}"/>
    <cellStyle name="Normal 4 7 7 2 2" xfId="16613" xr:uid="{00000000-0005-0000-0000-0000136B0000}"/>
    <cellStyle name="Normal 4 7 7 2 2 2" xfId="36665" xr:uid="{00000000-0005-0000-0000-0000146B0000}"/>
    <cellStyle name="Normal 4 7 7 2 3" xfId="27635" xr:uid="{00000000-0005-0000-0000-0000156B0000}"/>
    <cellStyle name="Normal 4 7 7 3" xfId="12131" xr:uid="{00000000-0005-0000-0000-0000166B0000}"/>
    <cellStyle name="Normal 4 7 7 3 2" xfId="32183" xr:uid="{00000000-0005-0000-0000-0000176B0000}"/>
    <cellStyle name="Normal 4 7 7 4" xfId="23153" xr:uid="{00000000-0005-0000-0000-0000186B0000}"/>
    <cellStyle name="Normal 4 7 8" xfId="4595" xr:uid="{00000000-0005-0000-0000-0000196B0000}"/>
    <cellStyle name="Normal 4 7 8 2" xfId="13625" xr:uid="{00000000-0005-0000-0000-00001A6B0000}"/>
    <cellStyle name="Normal 4 7 8 2 2" xfId="33677" xr:uid="{00000000-0005-0000-0000-00001B6B0000}"/>
    <cellStyle name="Normal 4 7 8 3" xfId="24647" xr:uid="{00000000-0005-0000-0000-00001C6B0000}"/>
    <cellStyle name="Normal 4 7 9" xfId="9143" xr:uid="{00000000-0005-0000-0000-00001D6B0000}"/>
    <cellStyle name="Normal 4 7 9 2" xfId="29195" xr:uid="{00000000-0005-0000-0000-00001E6B0000}"/>
    <cellStyle name="Normal 4 8" xfId="125" xr:uid="{00000000-0005-0000-0000-00001F6B0000}"/>
    <cellStyle name="Normal 4 8 10" xfId="20177" xr:uid="{00000000-0005-0000-0000-0000206B0000}"/>
    <cellStyle name="Normal 4 8 2" xfId="311" xr:uid="{00000000-0005-0000-0000-0000216B0000}"/>
    <cellStyle name="Normal 4 8 2 2" xfId="1054" xr:uid="{00000000-0005-0000-0000-0000226B0000}"/>
    <cellStyle name="Normal 4 8 2 2 2" xfId="2548" xr:uid="{00000000-0005-0000-0000-0000236B0000}"/>
    <cellStyle name="Normal 4 8 2 2 2 2" xfId="7030" xr:uid="{00000000-0005-0000-0000-0000246B0000}"/>
    <cellStyle name="Normal 4 8 2 2 2 2 2" xfId="16060" xr:uid="{00000000-0005-0000-0000-0000256B0000}"/>
    <cellStyle name="Normal 4 8 2 2 2 2 2 2" xfId="36112" xr:uid="{00000000-0005-0000-0000-0000266B0000}"/>
    <cellStyle name="Normal 4 8 2 2 2 2 3" xfId="27082" xr:uid="{00000000-0005-0000-0000-0000276B0000}"/>
    <cellStyle name="Normal 4 8 2 2 2 3" xfId="11578" xr:uid="{00000000-0005-0000-0000-0000286B0000}"/>
    <cellStyle name="Normal 4 8 2 2 2 3 2" xfId="31630" xr:uid="{00000000-0005-0000-0000-0000296B0000}"/>
    <cellStyle name="Normal 4 8 2 2 2 4" xfId="22600" xr:uid="{00000000-0005-0000-0000-00002A6B0000}"/>
    <cellStyle name="Normal 4 8 2 2 3" xfId="4042" xr:uid="{00000000-0005-0000-0000-00002B6B0000}"/>
    <cellStyle name="Normal 4 8 2 2 3 2" xfId="8524" xr:uid="{00000000-0005-0000-0000-00002C6B0000}"/>
    <cellStyle name="Normal 4 8 2 2 3 2 2" xfId="17554" xr:uid="{00000000-0005-0000-0000-00002D6B0000}"/>
    <cellStyle name="Normal 4 8 2 2 3 2 2 2" xfId="37606" xr:uid="{00000000-0005-0000-0000-00002E6B0000}"/>
    <cellStyle name="Normal 4 8 2 2 3 2 3" xfId="28576" xr:uid="{00000000-0005-0000-0000-00002F6B0000}"/>
    <cellStyle name="Normal 4 8 2 2 3 3" xfId="13072" xr:uid="{00000000-0005-0000-0000-0000306B0000}"/>
    <cellStyle name="Normal 4 8 2 2 3 3 2" xfId="33124" xr:uid="{00000000-0005-0000-0000-0000316B0000}"/>
    <cellStyle name="Normal 4 8 2 2 3 4" xfId="24094" xr:uid="{00000000-0005-0000-0000-0000326B0000}"/>
    <cellStyle name="Normal 4 8 2 2 4" xfId="5536" xr:uid="{00000000-0005-0000-0000-0000336B0000}"/>
    <cellStyle name="Normal 4 8 2 2 4 2" xfId="14566" xr:uid="{00000000-0005-0000-0000-0000346B0000}"/>
    <cellStyle name="Normal 4 8 2 2 4 2 2" xfId="34618" xr:uid="{00000000-0005-0000-0000-0000356B0000}"/>
    <cellStyle name="Normal 4 8 2 2 4 3" xfId="25588" xr:uid="{00000000-0005-0000-0000-0000366B0000}"/>
    <cellStyle name="Normal 4 8 2 2 5" xfId="10084" xr:uid="{00000000-0005-0000-0000-0000376B0000}"/>
    <cellStyle name="Normal 4 8 2 2 5 2" xfId="30136" xr:uid="{00000000-0005-0000-0000-0000386B0000}"/>
    <cellStyle name="Normal 4 8 2 2 6" xfId="21106" xr:uid="{00000000-0005-0000-0000-0000396B0000}"/>
    <cellStyle name="Normal 4 8 2 3" xfId="1805" xr:uid="{00000000-0005-0000-0000-00003A6B0000}"/>
    <cellStyle name="Normal 4 8 2 3 2" xfId="6287" xr:uid="{00000000-0005-0000-0000-00003B6B0000}"/>
    <cellStyle name="Normal 4 8 2 3 2 2" xfId="15317" xr:uid="{00000000-0005-0000-0000-00003C6B0000}"/>
    <cellStyle name="Normal 4 8 2 3 2 2 2" xfId="35369" xr:uid="{00000000-0005-0000-0000-00003D6B0000}"/>
    <cellStyle name="Normal 4 8 2 3 2 3" xfId="26339" xr:uid="{00000000-0005-0000-0000-00003E6B0000}"/>
    <cellStyle name="Normal 4 8 2 3 3" xfId="10835" xr:uid="{00000000-0005-0000-0000-00003F6B0000}"/>
    <cellStyle name="Normal 4 8 2 3 3 2" xfId="30887" xr:uid="{00000000-0005-0000-0000-0000406B0000}"/>
    <cellStyle name="Normal 4 8 2 3 4" xfId="21857" xr:uid="{00000000-0005-0000-0000-0000416B0000}"/>
    <cellStyle name="Normal 4 8 2 4" xfId="3299" xr:uid="{00000000-0005-0000-0000-0000426B0000}"/>
    <cellStyle name="Normal 4 8 2 4 2" xfId="7781" xr:uid="{00000000-0005-0000-0000-0000436B0000}"/>
    <cellStyle name="Normal 4 8 2 4 2 2" xfId="16811" xr:uid="{00000000-0005-0000-0000-0000446B0000}"/>
    <cellStyle name="Normal 4 8 2 4 2 2 2" xfId="36863" xr:uid="{00000000-0005-0000-0000-0000456B0000}"/>
    <cellStyle name="Normal 4 8 2 4 2 3" xfId="27833" xr:uid="{00000000-0005-0000-0000-0000466B0000}"/>
    <cellStyle name="Normal 4 8 2 4 3" xfId="12329" xr:uid="{00000000-0005-0000-0000-0000476B0000}"/>
    <cellStyle name="Normal 4 8 2 4 3 2" xfId="32381" xr:uid="{00000000-0005-0000-0000-0000486B0000}"/>
    <cellStyle name="Normal 4 8 2 4 4" xfId="23351" xr:uid="{00000000-0005-0000-0000-0000496B0000}"/>
    <cellStyle name="Normal 4 8 2 5" xfId="4793" xr:uid="{00000000-0005-0000-0000-00004A6B0000}"/>
    <cellStyle name="Normal 4 8 2 5 2" xfId="13823" xr:uid="{00000000-0005-0000-0000-00004B6B0000}"/>
    <cellStyle name="Normal 4 8 2 5 2 2" xfId="33875" xr:uid="{00000000-0005-0000-0000-00004C6B0000}"/>
    <cellStyle name="Normal 4 8 2 5 3" xfId="24845" xr:uid="{00000000-0005-0000-0000-00004D6B0000}"/>
    <cellStyle name="Normal 4 8 2 6" xfId="9341" xr:uid="{00000000-0005-0000-0000-00004E6B0000}"/>
    <cellStyle name="Normal 4 8 2 6 2" xfId="29393" xr:uid="{00000000-0005-0000-0000-00004F6B0000}"/>
    <cellStyle name="Normal 4 8 2 7" xfId="20363" xr:uid="{00000000-0005-0000-0000-0000506B0000}"/>
    <cellStyle name="Normal 4 8 3" xfId="497" xr:uid="{00000000-0005-0000-0000-0000516B0000}"/>
    <cellStyle name="Normal 4 8 3 2" xfId="1244" xr:uid="{00000000-0005-0000-0000-0000526B0000}"/>
    <cellStyle name="Normal 4 8 3 2 2" xfId="2738" xr:uid="{00000000-0005-0000-0000-0000536B0000}"/>
    <cellStyle name="Normal 4 8 3 2 2 2" xfId="7220" xr:uid="{00000000-0005-0000-0000-0000546B0000}"/>
    <cellStyle name="Normal 4 8 3 2 2 2 2" xfId="16250" xr:uid="{00000000-0005-0000-0000-0000556B0000}"/>
    <cellStyle name="Normal 4 8 3 2 2 2 2 2" xfId="36302" xr:uid="{00000000-0005-0000-0000-0000566B0000}"/>
    <cellStyle name="Normal 4 8 3 2 2 2 3" xfId="27272" xr:uid="{00000000-0005-0000-0000-0000576B0000}"/>
    <cellStyle name="Normal 4 8 3 2 2 3" xfId="11768" xr:uid="{00000000-0005-0000-0000-0000586B0000}"/>
    <cellStyle name="Normal 4 8 3 2 2 3 2" xfId="31820" xr:uid="{00000000-0005-0000-0000-0000596B0000}"/>
    <cellStyle name="Normal 4 8 3 2 2 4" xfId="22790" xr:uid="{00000000-0005-0000-0000-00005A6B0000}"/>
    <cellStyle name="Normal 4 8 3 2 3" xfId="4232" xr:uid="{00000000-0005-0000-0000-00005B6B0000}"/>
    <cellStyle name="Normal 4 8 3 2 3 2" xfId="8714" xr:uid="{00000000-0005-0000-0000-00005C6B0000}"/>
    <cellStyle name="Normal 4 8 3 2 3 2 2" xfId="17744" xr:uid="{00000000-0005-0000-0000-00005D6B0000}"/>
    <cellStyle name="Normal 4 8 3 2 3 2 2 2" xfId="37796" xr:uid="{00000000-0005-0000-0000-00005E6B0000}"/>
    <cellStyle name="Normal 4 8 3 2 3 2 3" xfId="28766" xr:uid="{00000000-0005-0000-0000-00005F6B0000}"/>
    <cellStyle name="Normal 4 8 3 2 3 3" xfId="13262" xr:uid="{00000000-0005-0000-0000-0000606B0000}"/>
    <cellStyle name="Normal 4 8 3 2 3 3 2" xfId="33314" xr:uid="{00000000-0005-0000-0000-0000616B0000}"/>
    <cellStyle name="Normal 4 8 3 2 3 4" xfId="24284" xr:uid="{00000000-0005-0000-0000-0000626B0000}"/>
    <cellStyle name="Normal 4 8 3 2 4" xfId="5726" xr:uid="{00000000-0005-0000-0000-0000636B0000}"/>
    <cellStyle name="Normal 4 8 3 2 4 2" xfId="14756" xr:uid="{00000000-0005-0000-0000-0000646B0000}"/>
    <cellStyle name="Normal 4 8 3 2 4 2 2" xfId="34808" xr:uid="{00000000-0005-0000-0000-0000656B0000}"/>
    <cellStyle name="Normal 4 8 3 2 4 3" xfId="25778" xr:uid="{00000000-0005-0000-0000-0000666B0000}"/>
    <cellStyle name="Normal 4 8 3 2 5" xfId="10274" xr:uid="{00000000-0005-0000-0000-0000676B0000}"/>
    <cellStyle name="Normal 4 8 3 2 5 2" xfId="30326" xr:uid="{00000000-0005-0000-0000-0000686B0000}"/>
    <cellStyle name="Normal 4 8 3 2 6" xfId="21296" xr:uid="{00000000-0005-0000-0000-0000696B0000}"/>
    <cellStyle name="Normal 4 8 3 3" xfId="1991" xr:uid="{00000000-0005-0000-0000-00006A6B0000}"/>
    <cellStyle name="Normal 4 8 3 3 2" xfId="6473" xr:uid="{00000000-0005-0000-0000-00006B6B0000}"/>
    <cellStyle name="Normal 4 8 3 3 2 2" xfId="15503" xr:uid="{00000000-0005-0000-0000-00006C6B0000}"/>
    <cellStyle name="Normal 4 8 3 3 2 2 2" xfId="35555" xr:uid="{00000000-0005-0000-0000-00006D6B0000}"/>
    <cellStyle name="Normal 4 8 3 3 2 3" xfId="26525" xr:uid="{00000000-0005-0000-0000-00006E6B0000}"/>
    <cellStyle name="Normal 4 8 3 3 3" xfId="11021" xr:uid="{00000000-0005-0000-0000-00006F6B0000}"/>
    <cellStyle name="Normal 4 8 3 3 3 2" xfId="31073" xr:uid="{00000000-0005-0000-0000-0000706B0000}"/>
    <cellStyle name="Normal 4 8 3 3 4" xfId="22043" xr:uid="{00000000-0005-0000-0000-0000716B0000}"/>
    <cellStyle name="Normal 4 8 3 4" xfId="3485" xr:uid="{00000000-0005-0000-0000-0000726B0000}"/>
    <cellStyle name="Normal 4 8 3 4 2" xfId="7967" xr:uid="{00000000-0005-0000-0000-0000736B0000}"/>
    <cellStyle name="Normal 4 8 3 4 2 2" xfId="16997" xr:uid="{00000000-0005-0000-0000-0000746B0000}"/>
    <cellStyle name="Normal 4 8 3 4 2 2 2" xfId="37049" xr:uid="{00000000-0005-0000-0000-0000756B0000}"/>
    <cellStyle name="Normal 4 8 3 4 2 3" xfId="28019" xr:uid="{00000000-0005-0000-0000-0000766B0000}"/>
    <cellStyle name="Normal 4 8 3 4 3" xfId="12515" xr:uid="{00000000-0005-0000-0000-0000776B0000}"/>
    <cellStyle name="Normal 4 8 3 4 3 2" xfId="32567" xr:uid="{00000000-0005-0000-0000-0000786B0000}"/>
    <cellStyle name="Normal 4 8 3 4 4" xfId="23537" xr:uid="{00000000-0005-0000-0000-0000796B0000}"/>
    <cellStyle name="Normal 4 8 3 5" xfId="4979" xr:uid="{00000000-0005-0000-0000-00007A6B0000}"/>
    <cellStyle name="Normal 4 8 3 5 2" xfId="14009" xr:uid="{00000000-0005-0000-0000-00007B6B0000}"/>
    <cellStyle name="Normal 4 8 3 5 2 2" xfId="34061" xr:uid="{00000000-0005-0000-0000-00007C6B0000}"/>
    <cellStyle name="Normal 4 8 3 5 3" xfId="25031" xr:uid="{00000000-0005-0000-0000-00007D6B0000}"/>
    <cellStyle name="Normal 4 8 3 6" xfId="9527" xr:uid="{00000000-0005-0000-0000-00007E6B0000}"/>
    <cellStyle name="Normal 4 8 3 6 2" xfId="29579" xr:uid="{00000000-0005-0000-0000-00007F6B0000}"/>
    <cellStyle name="Normal 4 8 3 7" xfId="20549" xr:uid="{00000000-0005-0000-0000-0000806B0000}"/>
    <cellStyle name="Normal 4 8 4" xfId="683" xr:uid="{00000000-0005-0000-0000-0000816B0000}"/>
    <cellStyle name="Normal 4 8 4 2" xfId="1430" xr:uid="{00000000-0005-0000-0000-0000826B0000}"/>
    <cellStyle name="Normal 4 8 4 2 2" xfId="2924" xr:uid="{00000000-0005-0000-0000-0000836B0000}"/>
    <cellStyle name="Normal 4 8 4 2 2 2" xfId="7406" xr:uid="{00000000-0005-0000-0000-0000846B0000}"/>
    <cellStyle name="Normal 4 8 4 2 2 2 2" xfId="16436" xr:uid="{00000000-0005-0000-0000-0000856B0000}"/>
    <cellStyle name="Normal 4 8 4 2 2 2 2 2" xfId="36488" xr:uid="{00000000-0005-0000-0000-0000866B0000}"/>
    <cellStyle name="Normal 4 8 4 2 2 2 3" xfId="27458" xr:uid="{00000000-0005-0000-0000-0000876B0000}"/>
    <cellStyle name="Normal 4 8 4 2 2 3" xfId="11954" xr:uid="{00000000-0005-0000-0000-0000886B0000}"/>
    <cellStyle name="Normal 4 8 4 2 2 3 2" xfId="32006" xr:uid="{00000000-0005-0000-0000-0000896B0000}"/>
    <cellStyle name="Normal 4 8 4 2 2 4" xfId="22976" xr:uid="{00000000-0005-0000-0000-00008A6B0000}"/>
    <cellStyle name="Normal 4 8 4 2 3" xfId="4418" xr:uid="{00000000-0005-0000-0000-00008B6B0000}"/>
    <cellStyle name="Normal 4 8 4 2 3 2" xfId="8900" xr:uid="{00000000-0005-0000-0000-00008C6B0000}"/>
    <cellStyle name="Normal 4 8 4 2 3 2 2" xfId="17930" xr:uid="{00000000-0005-0000-0000-00008D6B0000}"/>
    <cellStyle name="Normal 4 8 4 2 3 2 2 2" xfId="37982" xr:uid="{00000000-0005-0000-0000-00008E6B0000}"/>
    <cellStyle name="Normal 4 8 4 2 3 2 3" xfId="28952" xr:uid="{00000000-0005-0000-0000-00008F6B0000}"/>
    <cellStyle name="Normal 4 8 4 2 3 3" xfId="13448" xr:uid="{00000000-0005-0000-0000-0000906B0000}"/>
    <cellStyle name="Normal 4 8 4 2 3 3 2" xfId="33500" xr:uid="{00000000-0005-0000-0000-0000916B0000}"/>
    <cellStyle name="Normal 4 8 4 2 3 4" xfId="24470" xr:uid="{00000000-0005-0000-0000-0000926B0000}"/>
    <cellStyle name="Normal 4 8 4 2 4" xfId="5912" xr:uid="{00000000-0005-0000-0000-0000936B0000}"/>
    <cellStyle name="Normal 4 8 4 2 4 2" xfId="14942" xr:uid="{00000000-0005-0000-0000-0000946B0000}"/>
    <cellStyle name="Normal 4 8 4 2 4 2 2" xfId="34994" xr:uid="{00000000-0005-0000-0000-0000956B0000}"/>
    <cellStyle name="Normal 4 8 4 2 4 3" xfId="25964" xr:uid="{00000000-0005-0000-0000-0000966B0000}"/>
    <cellStyle name="Normal 4 8 4 2 5" xfId="10460" xr:uid="{00000000-0005-0000-0000-0000976B0000}"/>
    <cellStyle name="Normal 4 8 4 2 5 2" xfId="30512" xr:uid="{00000000-0005-0000-0000-0000986B0000}"/>
    <cellStyle name="Normal 4 8 4 2 6" xfId="21482" xr:uid="{00000000-0005-0000-0000-0000996B0000}"/>
    <cellStyle name="Normal 4 8 4 3" xfId="2177" xr:uid="{00000000-0005-0000-0000-00009A6B0000}"/>
    <cellStyle name="Normal 4 8 4 3 2" xfId="6659" xr:uid="{00000000-0005-0000-0000-00009B6B0000}"/>
    <cellStyle name="Normal 4 8 4 3 2 2" xfId="15689" xr:uid="{00000000-0005-0000-0000-00009C6B0000}"/>
    <cellStyle name="Normal 4 8 4 3 2 2 2" xfId="35741" xr:uid="{00000000-0005-0000-0000-00009D6B0000}"/>
    <cellStyle name="Normal 4 8 4 3 2 3" xfId="26711" xr:uid="{00000000-0005-0000-0000-00009E6B0000}"/>
    <cellStyle name="Normal 4 8 4 3 3" xfId="11207" xr:uid="{00000000-0005-0000-0000-00009F6B0000}"/>
    <cellStyle name="Normal 4 8 4 3 3 2" xfId="31259" xr:uid="{00000000-0005-0000-0000-0000A06B0000}"/>
    <cellStyle name="Normal 4 8 4 3 4" xfId="22229" xr:uid="{00000000-0005-0000-0000-0000A16B0000}"/>
    <cellStyle name="Normal 4 8 4 4" xfId="3671" xr:uid="{00000000-0005-0000-0000-0000A26B0000}"/>
    <cellStyle name="Normal 4 8 4 4 2" xfId="8153" xr:uid="{00000000-0005-0000-0000-0000A36B0000}"/>
    <cellStyle name="Normal 4 8 4 4 2 2" xfId="17183" xr:uid="{00000000-0005-0000-0000-0000A46B0000}"/>
    <cellStyle name="Normal 4 8 4 4 2 2 2" xfId="37235" xr:uid="{00000000-0005-0000-0000-0000A56B0000}"/>
    <cellStyle name="Normal 4 8 4 4 2 3" xfId="28205" xr:uid="{00000000-0005-0000-0000-0000A66B0000}"/>
    <cellStyle name="Normal 4 8 4 4 3" xfId="12701" xr:uid="{00000000-0005-0000-0000-0000A76B0000}"/>
    <cellStyle name="Normal 4 8 4 4 3 2" xfId="32753" xr:uid="{00000000-0005-0000-0000-0000A86B0000}"/>
    <cellStyle name="Normal 4 8 4 4 4" xfId="23723" xr:uid="{00000000-0005-0000-0000-0000A96B0000}"/>
    <cellStyle name="Normal 4 8 4 5" xfId="5165" xr:uid="{00000000-0005-0000-0000-0000AA6B0000}"/>
    <cellStyle name="Normal 4 8 4 5 2" xfId="14195" xr:uid="{00000000-0005-0000-0000-0000AB6B0000}"/>
    <cellStyle name="Normal 4 8 4 5 2 2" xfId="34247" xr:uid="{00000000-0005-0000-0000-0000AC6B0000}"/>
    <cellStyle name="Normal 4 8 4 5 3" xfId="25217" xr:uid="{00000000-0005-0000-0000-0000AD6B0000}"/>
    <cellStyle name="Normal 4 8 4 6" xfId="9713" xr:uid="{00000000-0005-0000-0000-0000AE6B0000}"/>
    <cellStyle name="Normal 4 8 4 6 2" xfId="29765" xr:uid="{00000000-0005-0000-0000-0000AF6B0000}"/>
    <cellStyle name="Normal 4 8 4 7" xfId="20735" xr:uid="{00000000-0005-0000-0000-0000B06B0000}"/>
    <cellStyle name="Normal 4 8 5" xfId="870" xr:uid="{00000000-0005-0000-0000-0000B16B0000}"/>
    <cellStyle name="Normal 4 8 5 2" xfId="2364" xr:uid="{00000000-0005-0000-0000-0000B26B0000}"/>
    <cellStyle name="Normal 4 8 5 2 2" xfId="6846" xr:uid="{00000000-0005-0000-0000-0000B36B0000}"/>
    <cellStyle name="Normal 4 8 5 2 2 2" xfId="15876" xr:uid="{00000000-0005-0000-0000-0000B46B0000}"/>
    <cellStyle name="Normal 4 8 5 2 2 2 2" xfId="35928" xr:uid="{00000000-0005-0000-0000-0000B56B0000}"/>
    <cellStyle name="Normal 4 8 5 2 2 3" xfId="26898" xr:uid="{00000000-0005-0000-0000-0000B66B0000}"/>
    <cellStyle name="Normal 4 8 5 2 3" xfId="11394" xr:uid="{00000000-0005-0000-0000-0000B76B0000}"/>
    <cellStyle name="Normal 4 8 5 2 3 2" xfId="31446" xr:uid="{00000000-0005-0000-0000-0000B86B0000}"/>
    <cellStyle name="Normal 4 8 5 2 4" xfId="22416" xr:uid="{00000000-0005-0000-0000-0000B96B0000}"/>
    <cellStyle name="Normal 4 8 5 3" xfId="3858" xr:uid="{00000000-0005-0000-0000-0000BA6B0000}"/>
    <cellStyle name="Normal 4 8 5 3 2" xfId="8340" xr:uid="{00000000-0005-0000-0000-0000BB6B0000}"/>
    <cellStyle name="Normal 4 8 5 3 2 2" xfId="17370" xr:uid="{00000000-0005-0000-0000-0000BC6B0000}"/>
    <cellStyle name="Normal 4 8 5 3 2 2 2" xfId="37422" xr:uid="{00000000-0005-0000-0000-0000BD6B0000}"/>
    <cellStyle name="Normal 4 8 5 3 2 3" xfId="28392" xr:uid="{00000000-0005-0000-0000-0000BE6B0000}"/>
    <cellStyle name="Normal 4 8 5 3 3" xfId="12888" xr:uid="{00000000-0005-0000-0000-0000BF6B0000}"/>
    <cellStyle name="Normal 4 8 5 3 3 2" xfId="32940" xr:uid="{00000000-0005-0000-0000-0000C06B0000}"/>
    <cellStyle name="Normal 4 8 5 3 4" xfId="23910" xr:uid="{00000000-0005-0000-0000-0000C16B0000}"/>
    <cellStyle name="Normal 4 8 5 4" xfId="5352" xr:uid="{00000000-0005-0000-0000-0000C26B0000}"/>
    <cellStyle name="Normal 4 8 5 4 2" xfId="14382" xr:uid="{00000000-0005-0000-0000-0000C36B0000}"/>
    <cellStyle name="Normal 4 8 5 4 2 2" xfId="34434" xr:uid="{00000000-0005-0000-0000-0000C46B0000}"/>
    <cellStyle name="Normal 4 8 5 4 3" xfId="25404" xr:uid="{00000000-0005-0000-0000-0000C56B0000}"/>
    <cellStyle name="Normal 4 8 5 5" xfId="9900" xr:uid="{00000000-0005-0000-0000-0000C66B0000}"/>
    <cellStyle name="Normal 4 8 5 5 2" xfId="29952" xr:uid="{00000000-0005-0000-0000-0000C76B0000}"/>
    <cellStyle name="Normal 4 8 5 6" xfId="20922" xr:uid="{00000000-0005-0000-0000-0000C86B0000}"/>
    <cellStyle name="Normal 4 8 6" xfId="1619" xr:uid="{00000000-0005-0000-0000-0000C96B0000}"/>
    <cellStyle name="Normal 4 8 6 2" xfId="6101" xr:uid="{00000000-0005-0000-0000-0000CA6B0000}"/>
    <cellStyle name="Normal 4 8 6 2 2" xfId="15131" xr:uid="{00000000-0005-0000-0000-0000CB6B0000}"/>
    <cellStyle name="Normal 4 8 6 2 2 2" xfId="35183" xr:uid="{00000000-0005-0000-0000-0000CC6B0000}"/>
    <cellStyle name="Normal 4 8 6 2 3" xfId="26153" xr:uid="{00000000-0005-0000-0000-0000CD6B0000}"/>
    <cellStyle name="Normal 4 8 6 3" xfId="10649" xr:uid="{00000000-0005-0000-0000-0000CE6B0000}"/>
    <cellStyle name="Normal 4 8 6 3 2" xfId="30701" xr:uid="{00000000-0005-0000-0000-0000CF6B0000}"/>
    <cellStyle name="Normal 4 8 6 4" xfId="21671" xr:uid="{00000000-0005-0000-0000-0000D06B0000}"/>
    <cellStyle name="Normal 4 8 7" xfId="3113" xr:uid="{00000000-0005-0000-0000-0000D16B0000}"/>
    <cellStyle name="Normal 4 8 7 2" xfId="7595" xr:uid="{00000000-0005-0000-0000-0000D26B0000}"/>
    <cellStyle name="Normal 4 8 7 2 2" xfId="16625" xr:uid="{00000000-0005-0000-0000-0000D36B0000}"/>
    <cellStyle name="Normal 4 8 7 2 2 2" xfId="36677" xr:uid="{00000000-0005-0000-0000-0000D46B0000}"/>
    <cellStyle name="Normal 4 8 7 2 3" xfId="27647" xr:uid="{00000000-0005-0000-0000-0000D56B0000}"/>
    <cellStyle name="Normal 4 8 7 3" xfId="12143" xr:uid="{00000000-0005-0000-0000-0000D66B0000}"/>
    <cellStyle name="Normal 4 8 7 3 2" xfId="32195" xr:uid="{00000000-0005-0000-0000-0000D76B0000}"/>
    <cellStyle name="Normal 4 8 7 4" xfId="23165" xr:uid="{00000000-0005-0000-0000-0000D86B0000}"/>
    <cellStyle name="Normal 4 8 8" xfId="4607" xr:uid="{00000000-0005-0000-0000-0000D96B0000}"/>
    <cellStyle name="Normal 4 8 8 2" xfId="13637" xr:uid="{00000000-0005-0000-0000-0000DA6B0000}"/>
    <cellStyle name="Normal 4 8 8 2 2" xfId="33689" xr:uid="{00000000-0005-0000-0000-0000DB6B0000}"/>
    <cellStyle name="Normal 4 8 8 3" xfId="24659" xr:uid="{00000000-0005-0000-0000-0000DC6B0000}"/>
    <cellStyle name="Normal 4 8 9" xfId="9155" xr:uid="{00000000-0005-0000-0000-0000DD6B0000}"/>
    <cellStyle name="Normal 4 8 9 2" xfId="29207" xr:uid="{00000000-0005-0000-0000-0000DE6B0000}"/>
    <cellStyle name="Normal 4 9" xfId="148" xr:uid="{00000000-0005-0000-0000-0000DF6B0000}"/>
    <cellStyle name="Normal 4 9 10" xfId="20200" xr:uid="{00000000-0005-0000-0000-0000E06B0000}"/>
    <cellStyle name="Normal 4 9 2" xfId="334" xr:uid="{00000000-0005-0000-0000-0000E16B0000}"/>
    <cellStyle name="Normal 4 9 2 2" xfId="1077" xr:uid="{00000000-0005-0000-0000-0000E26B0000}"/>
    <cellStyle name="Normal 4 9 2 2 2" xfId="2571" xr:uid="{00000000-0005-0000-0000-0000E36B0000}"/>
    <cellStyle name="Normal 4 9 2 2 2 2" xfId="7053" xr:uid="{00000000-0005-0000-0000-0000E46B0000}"/>
    <cellStyle name="Normal 4 9 2 2 2 2 2" xfId="16083" xr:uid="{00000000-0005-0000-0000-0000E56B0000}"/>
    <cellStyle name="Normal 4 9 2 2 2 2 2 2" xfId="36135" xr:uid="{00000000-0005-0000-0000-0000E66B0000}"/>
    <cellStyle name="Normal 4 9 2 2 2 2 3" xfId="27105" xr:uid="{00000000-0005-0000-0000-0000E76B0000}"/>
    <cellStyle name="Normal 4 9 2 2 2 3" xfId="11601" xr:uid="{00000000-0005-0000-0000-0000E86B0000}"/>
    <cellStyle name="Normal 4 9 2 2 2 3 2" xfId="31653" xr:uid="{00000000-0005-0000-0000-0000E96B0000}"/>
    <cellStyle name="Normal 4 9 2 2 2 4" xfId="22623" xr:uid="{00000000-0005-0000-0000-0000EA6B0000}"/>
    <cellStyle name="Normal 4 9 2 2 3" xfId="4065" xr:uid="{00000000-0005-0000-0000-0000EB6B0000}"/>
    <cellStyle name="Normal 4 9 2 2 3 2" xfId="8547" xr:uid="{00000000-0005-0000-0000-0000EC6B0000}"/>
    <cellStyle name="Normal 4 9 2 2 3 2 2" xfId="17577" xr:uid="{00000000-0005-0000-0000-0000ED6B0000}"/>
    <cellStyle name="Normal 4 9 2 2 3 2 2 2" xfId="37629" xr:uid="{00000000-0005-0000-0000-0000EE6B0000}"/>
    <cellStyle name="Normal 4 9 2 2 3 2 3" xfId="28599" xr:uid="{00000000-0005-0000-0000-0000EF6B0000}"/>
    <cellStyle name="Normal 4 9 2 2 3 3" xfId="13095" xr:uid="{00000000-0005-0000-0000-0000F06B0000}"/>
    <cellStyle name="Normal 4 9 2 2 3 3 2" xfId="33147" xr:uid="{00000000-0005-0000-0000-0000F16B0000}"/>
    <cellStyle name="Normal 4 9 2 2 3 4" xfId="24117" xr:uid="{00000000-0005-0000-0000-0000F26B0000}"/>
    <cellStyle name="Normal 4 9 2 2 4" xfId="5559" xr:uid="{00000000-0005-0000-0000-0000F36B0000}"/>
    <cellStyle name="Normal 4 9 2 2 4 2" xfId="14589" xr:uid="{00000000-0005-0000-0000-0000F46B0000}"/>
    <cellStyle name="Normal 4 9 2 2 4 2 2" xfId="34641" xr:uid="{00000000-0005-0000-0000-0000F56B0000}"/>
    <cellStyle name="Normal 4 9 2 2 4 3" xfId="25611" xr:uid="{00000000-0005-0000-0000-0000F66B0000}"/>
    <cellStyle name="Normal 4 9 2 2 5" xfId="10107" xr:uid="{00000000-0005-0000-0000-0000F76B0000}"/>
    <cellStyle name="Normal 4 9 2 2 5 2" xfId="30159" xr:uid="{00000000-0005-0000-0000-0000F86B0000}"/>
    <cellStyle name="Normal 4 9 2 2 6" xfId="21129" xr:uid="{00000000-0005-0000-0000-0000F96B0000}"/>
    <cellStyle name="Normal 4 9 2 3" xfId="1828" xr:uid="{00000000-0005-0000-0000-0000FA6B0000}"/>
    <cellStyle name="Normal 4 9 2 3 2" xfId="6310" xr:uid="{00000000-0005-0000-0000-0000FB6B0000}"/>
    <cellStyle name="Normal 4 9 2 3 2 2" xfId="15340" xr:uid="{00000000-0005-0000-0000-0000FC6B0000}"/>
    <cellStyle name="Normal 4 9 2 3 2 2 2" xfId="35392" xr:uid="{00000000-0005-0000-0000-0000FD6B0000}"/>
    <cellStyle name="Normal 4 9 2 3 2 3" xfId="26362" xr:uid="{00000000-0005-0000-0000-0000FE6B0000}"/>
    <cellStyle name="Normal 4 9 2 3 3" xfId="10858" xr:uid="{00000000-0005-0000-0000-0000FF6B0000}"/>
    <cellStyle name="Normal 4 9 2 3 3 2" xfId="30910" xr:uid="{00000000-0005-0000-0000-0000006C0000}"/>
    <cellStyle name="Normal 4 9 2 3 4" xfId="21880" xr:uid="{00000000-0005-0000-0000-0000016C0000}"/>
    <cellStyle name="Normal 4 9 2 4" xfId="3322" xr:uid="{00000000-0005-0000-0000-0000026C0000}"/>
    <cellStyle name="Normal 4 9 2 4 2" xfId="7804" xr:uid="{00000000-0005-0000-0000-0000036C0000}"/>
    <cellStyle name="Normal 4 9 2 4 2 2" xfId="16834" xr:uid="{00000000-0005-0000-0000-0000046C0000}"/>
    <cellStyle name="Normal 4 9 2 4 2 2 2" xfId="36886" xr:uid="{00000000-0005-0000-0000-0000056C0000}"/>
    <cellStyle name="Normal 4 9 2 4 2 3" xfId="27856" xr:uid="{00000000-0005-0000-0000-0000066C0000}"/>
    <cellStyle name="Normal 4 9 2 4 3" xfId="12352" xr:uid="{00000000-0005-0000-0000-0000076C0000}"/>
    <cellStyle name="Normal 4 9 2 4 3 2" xfId="32404" xr:uid="{00000000-0005-0000-0000-0000086C0000}"/>
    <cellStyle name="Normal 4 9 2 4 4" xfId="23374" xr:uid="{00000000-0005-0000-0000-0000096C0000}"/>
    <cellStyle name="Normal 4 9 2 5" xfId="4816" xr:uid="{00000000-0005-0000-0000-00000A6C0000}"/>
    <cellStyle name="Normal 4 9 2 5 2" xfId="13846" xr:uid="{00000000-0005-0000-0000-00000B6C0000}"/>
    <cellStyle name="Normal 4 9 2 5 2 2" xfId="33898" xr:uid="{00000000-0005-0000-0000-00000C6C0000}"/>
    <cellStyle name="Normal 4 9 2 5 3" xfId="24868" xr:uid="{00000000-0005-0000-0000-00000D6C0000}"/>
    <cellStyle name="Normal 4 9 2 6" xfId="9364" xr:uid="{00000000-0005-0000-0000-00000E6C0000}"/>
    <cellStyle name="Normal 4 9 2 6 2" xfId="29416" xr:uid="{00000000-0005-0000-0000-00000F6C0000}"/>
    <cellStyle name="Normal 4 9 2 7" xfId="20386" xr:uid="{00000000-0005-0000-0000-0000106C0000}"/>
    <cellStyle name="Normal 4 9 3" xfId="520" xr:uid="{00000000-0005-0000-0000-0000116C0000}"/>
    <cellStyle name="Normal 4 9 3 2" xfId="1267" xr:uid="{00000000-0005-0000-0000-0000126C0000}"/>
    <cellStyle name="Normal 4 9 3 2 2" xfId="2761" xr:uid="{00000000-0005-0000-0000-0000136C0000}"/>
    <cellStyle name="Normal 4 9 3 2 2 2" xfId="7243" xr:uid="{00000000-0005-0000-0000-0000146C0000}"/>
    <cellStyle name="Normal 4 9 3 2 2 2 2" xfId="16273" xr:uid="{00000000-0005-0000-0000-0000156C0000}"/>
    <cellStyle name="Normal 4 9 3 2 2 2 2 2" xfId="36325" xr:uid="{00000000-0005-0000-0000-0000166C0000}"/>
    <cellStyle name="Normal 4 9 3 2 2 2 3" xfId="27295" xr:uid="{00000000-0005-0000-0000-0000176C0000}"/>
    <cellStyle name="Normal 4 9 3 2 2 3" xfId="11791" xr:uid="{00000000-0005-0000-0000-0000186C0000}"/>
    <cellStyle name="Normal 4 9 3 2 2 3 2" xfId="31843" xr:uid="{00000000-0005-0000-0000-0000196C0000}"/>
    <cellStyle name="Normal 4 9 3 2 2 4" xfId="22813" xr:uid="{00000000-0005-0000-0000-00001A6C0000}"/>
    <cellStyle name="Normal 4 9 3 2 3" xfId="4255" xr:uid="{00000000-0005-0000-0000-00001B6C0000}"/>
    <cellStyle name="Normal 4 9 3 2 3 2" xfId="8737" xr:uid="{00000000-0005-0000-0000-00001C6C0000}"/>
    <cellStyle name="Normal 4 9 3 2 3 2 2" xfId="17767" xr:uid="{00000000-0005-0000-0000-00001D6C0000}"/>
    <cellStyle name="Normal 4 9 3 2 3 2 2 2" xfId="37819" xr:uid="{00000000-0005-0000-0000-00001E6C0000}"/>
    <cellStyle name="Normal 4 9 3 2 3 2 3" xfId="28789" xr:uid="{00000000-0005-0000-0000-00001F6C0000}"/>
    <cellStyle name="Normal 4 9 3 2 3 3" xfId="13285" xr:uid="{00000000-0005-0000-0000-0000206C0000}"/>
    <cellStyle name="Normal 4 9 3 2 3 3 2" xfId="33337" xr:uid="{00000000-0005-0000-0000-0000216C0000}"/>
    <cellStyle name="Normal 4 9 3 2 3 4" xfId="24307" xr:uid="{00000000-0005-0000-0000-0000226C0000}"/>
    <cellStyle name="Normal 4 9 3 2 4" xfId="5749" xr:uid="{00000000-0005-0000-0000-0000236C0000}"/>
    <cellStyle name="Normal 4 9 3 2 4 2" xfId="14779" xr:uid="{00000000-0005-0000-0000-0000246C0000}"/>
    <cellStyle name="Normal 4 9 3 2 4 2 2" xfId="34831" xr:uid="{00000000-0005-0000-0000-0000256C0000}"/>
    <cellStyle name="Normal 4 9 3 2 4 3" xfId="25801" xr:uid="{00000000-0005-0000-0000-0000266C0000}"/>
    <cellStyle name="Normal 4 9 3 2 5" xfId="10297" xr:uid="{00000000-0005-0000-0000-0000276C0000}"/>
    <cellStyle name="Normal 4 9 3 2 5 2" xfId="30349" xr:uid="{00000000-0005-0000-0000-0000286C0000}"/>
    <cellStyle name="Normal 4 9 3 2 6" xfId="21319" xr:uid="{00000000-0005-0000-0000-0000296C0000}"/>
    <cellStyle name="Normal 4 9 3 3" xfId="2014" xr:uid="{00000000-0005-0000-0000-00002A6C0000}"/>
    <cellStyle name="Normal 4 9 3 3 2" xfId="6496" xr:uid="{00000000-0005-0000-0000-00002B6C0000}"/>
    <cellStyle name="Normal 4 9 3 3 2 2" xfId="15526" xr:uid="{00000000-0005-0000-0000-00002C6C0000}"/>
    <cellStyle name="Normal 4 9 3 3 2 2 2" xfId="35578" xr:uid="{00000000-0005-0000-0000-00002D6C0000}"/>
    <cellStyle name="Normal 4 9 3 3 2 3" xfId="26548" xr:uid="{00000000-0005-0000-0000-00002E6C0000}"/>
    <cellStyle name="Normal 4 9 3 3 3" xfId="11044" xr:uid="{00000000-0005-0000-0000-00002F6C0000}"/>
    <cellStyle name="Normal 4 9 3 3 3 2" xfId="31096" xr:uid="{00000000-0005-0000-0000-0000306C0000}"/>
    <cellStyle name="Normal 4 9 3 3 4" xfId="22066" xr:uid="{00000000-0005-0000-0000-0000316C0000}"/>
    <cellStyle name="Normal 4 9 3 4" xfId="3508" xr:uid="{00000000-0005-0000-0000-0000326C0000}"/>
    <cellStyle name="Normal 4 9 3 4 2" xfId="7990" xr:uid="{00000000-0005-0000-0000-0000336C0000}"/>
    <cellStyle name="Normal 4 9 3 4 2 2" xfId="17020" xr:uid="{00000000-0005-0000-0000-0000346C0000}"/>
    <cellStyle name="Normal 4 9 3 4 2 2 2" xfId="37072" xr:uid="{00000000-0005-0000-0000-0000356C0000}"/>
    <cellStyle name="Normal 4 9 3 4 2 3" xfId="28042" xr:uid="{00000000-0005-0000-0000-0000366C0000}"/>
    <cellStyle name="Normal 4 9 3 4 3" xfId="12538" xr:uid="{00000000-0005-0000-0000-0000376C0000}"/>
    <cellStyle name="Normal 4 9 3 4 3 2" xfId="32590" xr:uid="{00000000-0005-0000-0000-0000386C0000}"/>
    <cellStyle name="Normal 4 9 3 4 4" xfId="23560" xr:uid="{00000000-0005-0000-0000-0000396C0000}"/>
    <cellStyle name="Normal 4 9 3 5" xfId="5002" xr:uid="{00000000-0005-0000-0000-00003A6C0000}"/>
    <cellStyle name="Normal 4 9 3 5 2" xfId="14032" xr:uid="{00000000-0005-0000-0000-00003B6C0000}"/>
    <cellStyle name="Normal 4 9 3 5 2 2" xfId="34084" xr:uid="{00000000-0005-0000-0000-00003C6C0000}"/>
    <cellStyle name="Normal 4 9 3 5 3" xfId="25054" xr:uid="{00000000-0005-0000-0000-00003D6C0000}"/>
    <cellStyle name="Normal 4 9 3 6" xfId="9550" xr:uid="{00000000-0005-0000-0000-00003E6C0000}"/>
    <cellStyle name="Normal 4 9 3 6 2" xfId="29602" xr:uid="{00000000-0005-0000-0000-00003F6C0000}"/>
    <cellStyle name="Normal 4 9 3 7" xfId="20572" xr:uid="{00000000-0005-0000-0000-0000406C0000}"/>
    <cellStyle name="Normal 4 9 4" xfId="706" xr:uid="{00000000-0005-0000-0000-0000416C0000}"/>
    <cellStyle name="Normal 4 9 4 2" xfId="1453" xr:uid="{00000000-0005-0000-0000-0000426C0000}"/>
    <cellStyle name="Normal 4 9 4 2 2" xfId="2947" xr:uid="{00000000-0005-0000-0000-0000436C0000}"/>
    <cellStyle name="Normal 4 9 4 2 2 2" xfId="7429" xr:uid="{00000000-0005-0000-0000-0000446C0000}"/>
    <cellStyle name="Normal 4 9 4 2 2 2 2" xfId="16459" xr:uid="{00000000-0005-0000-0000-0000456C0000}"/>
    <cellStyle name="Normal 4 9 4 2 2 2 2 2" xfId="36511" xr:uid="{00000000-0005-0000-0000-0000466C0000}"/>
    <cellStyle name="Normal 4 9 4 2 2 2 3" xfId="27481" xr:uid="{00000000-0005-0000-0000-0000476C0000}"/>
    <cellStyle name="Normal 4 9 4 2 2 3" xfId="11977" xr:uid="{00000000-0005-0000-0000-0000486C0000}"/>
    <cellStyle name="Normal 4 9 4 2 2 3 2" xfId="32029" xr:uid="{00000000-0005-0000-0000-0000496C0000}"/>
    <cellStyle name="Normal 4 9 4 2 2 4" xfId="22999" xr:uid="{00000000-0005-0000-0000-00004A6C0000}"/>
    <cellStyle name="Normal 4 9 4 2 3" xfId="4441" xr:uid="{00000000-0005-0000-0000-00004B6C0000}"/>
    <cellStyle name="Normal 4 9 4 2 3 2" xfId="8923" xr:uid="{00000000-0005-0000-0000-00004C6C0000}"/>
    <cellStyle name="Normal 4 9 4 2 3 2 2" xfId="17953" xr:uid="{00000000-0005-0000-0000-00004D6C0000}"/>
    <cellStyle name="Normal 4 9 4 2 3 2 2 2" xfId="38005" xr:uid="{00000000-0005-0000-0000-00004E6C0000}"/>
    <cellStyle name="Normal 4 9 4 2 3 2 3" xfId="28975" xr:uid="{00000000-0005-0000-0000-00004F6C0000}"/>
    <cellStyle name="Normal 4 9 4 2 3 3" xfId="13471" xr:uid="{00000000-0005-0000-0000-0000506C0000}"/>
    <cellStyle name="Normal 4 9 4 2 3 3 2" xfId="33523" xr:uid="{00000000-0005-0000-0000-0000516C0000}"/>
    <cellStyle name="Normal 4 9 4 2 3 4" xfId="24493" xr:uid="{00000000-0005-0000-0000-0000526C0000}"/>
    <cellStyle name="Normal 4 9 4 2 4" xfId="5935" xr:uid="{00000000-0005-0000-0000-0000536C0000}"/>
    <cellStyle name="Normal 4 9 4 2 4 2" xfId="14965" xr:uid="{00000000-0005-0000-0000-0000546C0000}"/>
    <cellStyle name="Normal 4 9 4 2 4 2 2" xfId="35017" xr:uid="{00000000-0005-0000-0000-0000556C0000}"/>
    <cellStyle name="Normal 4 9 4 2 4 3" xfId="25987" xr:uid="{00000000-0005-0000-0000-0000566C0000}"/>
    <cellStyle name="Normal 4 9 4 2 5" xfId="10483" xr:uid="{00000000-0005-0000-0000-0000576C0000}"/>
    <cellStyle name="Normal 4 9 4 2 5 2" xfId="30535" xr:uid="{00000000-0005-0000-0000-0000586C0000}"/>
    <cellStyle name="Normal 4 9 4 2 6" xfId="21505" xr:uid="{00000000-0005-0000-0000-0000596C0000}"/>
    <cellStyle name="Normal 4 9 4 3" xfId="2200" xr:uid="{00000000-0005-0000-0000-00005A6C0000}"/>
    <cellStyle name="Normal 4 9 4 3 2" xfId="6682" xr:uid="{00000000-0005-0000-0000-00005B6C0000}"/>
    <cellStyle name="Normal 4 9 4 3 2 2" xfId="15712" xr:uid="{00000000-0005-0000-0000-00005C6C0000}"/>
    <cellStyle name="Normal 4 9 4 3 2 2 2" xfId="35764" xr:uid="{00000000-0005-0000-0000-00005D6C0000}"/>
    <cellStyle name="Normal 4 9 4 3 2 3" xfId="26734" xr:uid="{00000000-0005-0000-0000-00005E6C0000}"/>
    <cellStyle name="Normal 4 9 4 3 3" xfId="11230" xr:uid="{00000000-0005-0000-0000-00005F6C0000}"/>
    <cellStyle name="Normal 4 9 4 3 3 2" xfId="31282" xr:uid="{00000000-0005-0000-0000-0000606C0000}"/>
    <cellStyle name="Normal 4 9 4 3 4" xfId="22252" xr:uid="{00000000-0005-0000-0000-0000616C0000}"/>
    <cellStyle name="Normal 4 9 4 4" xfId="3694" xr:uid="{00000000-0005-0000-0000-0000626C0000}"/>
    <cellStyle name="Normal 4 9 4 4 2" xfId="8176" xr:uid="{00000000-0005-0000-0000-0000636C0000}"/>
    <cellStyle name="Normal 4 9 4 4 2 2" xfId="17206" xr:uid="{00000000-0005-0000-0000-0000646C0000}"/>
    <cellStyle name="Normal 4 9 4 4 2 2 2" xfId="37258" xr:uid="{00000000-0005-0000-0000-0000656C0000}"/>
    <cellStyle name="Normal 4 9 4 4 2 3" xfId="28228" xr:uid="{00000000-0005-0000-0000-0000666C0000}"/>
    <cellStyle name="Normal 4 9 4 4 3" xfId="12724" xr:uid="{00000000-0005-0000-0000-0000676C0000}"/>
    <cellStyle name="Normal 4 9 4 4 3 2" xfId="32776" xr:uid="{00000000-0005-0000-0000-0000686C0000}"/>
    <cellStyle name="Normal 4 9 4 4 4" xfId="23746" xr:uid="{00000000-0005-0000-0000-0000696C0000}"/>
    <cellStyle name="Normal 4 9 4 5" xfId="5188" xr:uid="{00000000-0005-0000-0000-00006A6C0000}"/>
    <cellStyle name="Normal 4 9 4 5 2" xfId="14218" xr:uid="{00000000-0005-0000-0000-00006B6C0000}"/>
    <cellStyle name="Normal 4 9 4 5 2 2" xfId="34270" xr:uid="{00000000-0005-0000-0000-00006C6C0000}"/>
    <cellStyle name="Normal 4 9 4 5 3" xfId="25240" xr:uid="{00000000-0005-0000-0000-00006D6C0000}"/>
    <cellStyle name="Normal 4 9 4 6" xfId="9736" xr:uid="{00000000-0005-0000-0000-00006E6C0000}"/>
    <cellStyle name="Normal 4 9 4 6 2" xfId="29788" xr:uid="{00000000-0005-0000-0000-00006F6C0000}"/>
    <cellStyle name="Normal 4 9 4 7" xfId="20758" xr:uid="{00000000-0005-0000-0000-0000706C0000}"/>
    <cellStyle name="Normal 4 9 5" xfId="893" xr:uid="{00000000-0005-0000-0000-0000716C0000}"/>
    <cellStyle name="Normal 4 9 5 2" xfId="2387" xr:uid="{00000000-0005-0000-0000-0000726C0000}"/>
    <cellStyle name="Normal 4 9 5 2 2" xfId="6869" xr:uid="{00000000-0005-0000-0000-0000736C0000}"/>
    <cellStyle name="Normal 4 9 5 2 2 2" xfId="15899" xr:uid="{00000000-0005-0000-0000-0000746C0000}"/>
    <cellStyle name="Normal 4 9 5 2 2 2 2" xfId="35951" xr:uid="{00000000-0005-0000-0000-0000756C0000}"/>
    <cellStyle name="Normal 4 9 5 2 2 3" xfId="26921" xr:uid="{00000000-0005-0000-0000-0000766C0000}"/>
    <cellStyle name="Normal 4 9 5 2 3" xfId="11417" xr:uid="{00000000-0005-0000-0000-0000776C0000}"/>
    <cellStyle name="Normal 4 9 5 2 3 2" xfId="31469" xr:uid="{00000000-0005-0000-0000-0000786C0000}"/>
    <cellStyle name="Normal 4 9 5 2 4" xfId="22439" xr:uid="{00000000-0005-0000-0000-0000796C0000}"/>
    <cellStyle name="Normal 4 9 5 3" xfId="3881" xr:uid="{00000000-0005-0000-0000-00007A6C0000}"/>
    <cellStyle name="Normal 4 9 5 3 2" xfId="8363" xr:uid="{00000000-0005-0000-0000-00007B6C0000}"/>
    <cellStyle name="Normal 4 9 5 3 2 2" xfId="17393" xr:uid="{00000000-0005-0000-0000-00007C6C0000}"/>
    <cellStyle name="Normal 4 9 5 3 2 2 2" xfId="37445" xr:uid="{00000000-0005-0000-0000-00007D6C0000}"/>
    <cellStyle name="Normal 4 9 5 3 2 3" xfId="28415" xr:uid="{00000000-0005-0000-0000-00007E6C0000}"/>
    <cellStyle name="Normal 4 9 5 3 3" xfId="12911" xr:uid="{00000000-0005-0000-0000-00007F6C0000}"/>
    <cellStyle name="Normal 4 9 5 3 3 2" xfId="32963" xr:uid="{00000000-0005-0000-0000-0000806C0000}"/>
    <cellStyle name="Normal 4 9 5 3 4" xfId="23933" xr:uid="{00000000-0005-0000-0000-0000816C0000}"/>
    <cellStyle name="Normal 4 9 5 4" xfId="5375" xr:uid="{00000000-0005-0000-0000-0000826C0000}"/>
    <cellStyle name="Normal 4 9 5 4 2" xfId="14405" xr:uid="{00000000-0005-0000-0000-0000836C0000}"/>
    <cellStyle name="Normal 4 9 5 4 2 2" xfId="34457" xr:uid="{00000000-0005-0000-0000-0000846C0000}"/>
    <cellStyle name="Normal 4 9 5 4 3" xfId="25427" xr:uid="{00000000-0005-0000-0000-0000856C0000}"/>
    <cellStyle name="Normal 4 9 5 5" xfId="9923" xr:uid="{00000000-0005-0000-0000-0000866C0000}"/>
    <cellStyle name="Normal 4 9 5 5 2" xfId="29975" xr:uid="{00000000-0005-0000-0000-0000876C0000}"/>
    <cellStyle name="Normal 4 9 5 6" xfId="20945" xr:uid="{00000000-0005-0000-0000-0000886C0000}"/>
    <cellStyle name="Normal 4 9 6" xfId="1642" xr:uid="{00000000-0005-0000-0000-0000896C0000}"/>
    <cellStyle name="Normal 4 9 6 2" xfId="6124" xr:uid="{00000000-0005-0000-0000-00008A6C0000}"/>
    <cellStyle name="Normal 4 9 6 2 2" xfId="15154" xr:uid="{00000000-0005-0000-0000-00008B6C0000}"/>
    <cellStyle name="Normal 4 9 6 2 2 2" xfId="35206" xr:uid="{00000000-0005-0000-0000-00008C6C0000}"/>
    <cellStyle name="Normal 4 9 6 2 3" xfId="26176" xr:uid="{00000000-0005-0000-0000-00008D6C0000}"/>
    <cellStyle name="Normal 4 9 6 3" xfId="10672" xr:uid="{00000000-0005-0000-0000-00008E6C0000}"/>
    <cellStyle name="Normal 4 9 6 3 2" xfId="30724" xr:uid="{00000000-0005-0000-0000-00008F6C0000}"/>
    <cellStyle name="Normal 4 9 6 4" xfId="21694" xr:uid="{00000000-0005-0000-0000-0000906C0000}"/>
    <cellStyle name="Normal 4 9 7" xfId="3136" xr:uid="{00000000-0005-0000-0000-0000916C0000}"/>
    <cellStyle name="Normal 4 9 7 2" xfId="7618" xr:uid="{00000000-0005-0000-0000-0000926C0000}"/>
    <cellStyle name="Normal 4 9 7 2 2" xfId="16648" xr:uid="{00000000-0005-0000-0000-0000936C0000}"/>
    <cellStyle name="Normal 4 9 7 2 2 2" xfId="36700" xr:uid="{00000000-0005-0000-0000-0000946C0000}"/>
    <cellStyle name="Normal 4 9 7 2 3" xfId="27670" xr:uid="{00000000-0005-0000-0000-0000956C0000}"/>
    <cellStyle name="Normal 4 9 7 3" xfId="12166" xr:uid="{00000000-0005-0000-0000-0000966C0000}"/>
    <cellStyle name="Normal 4 9 7 3 2" xfId="32218" xr:uid="{00000000-0005-0000-0000-0000976C0000}"/>
    <cellStyle name="Normal 4 9 7 4" xfId="23188" xr:uid="{00000000-0005-0000-0000-0000986C0000}"/>
    <cellStyle name="Normal 4 9 8" xfId="4630" xr:uid="{00000000-0005-0000-0000-0000996C0000}"/>
    <cellStyle name="Normal 4 9 8 2" xfId="13660" xr:uid="{00000000-0005-0000-0000-00009A6C0000}"/>
    <cellStyle name="Normal 4 9 8 2 2" xfId="33712" xr:uid="{00000000-0005-0000-0000-00009B6C0000}"/>
    <cellStyle name="Normal 4 9 8 3" xfId="24682" xr:uid="{00000000-0005-0000-0000-00009C6C0000}"/>
    <cellStyle name="Normal 4 9 9" xfId="9178" xr:uid="{00000000-0005-0000-0000-00009D6C0000}"/>
    <cellStyle name="Normal 4 9 9 2" xfId="29230" xr:uid="{00000000-0005-0000-0000-00009E6C0000}"/>
    <cellStyle name="Normal 5" xfId="6" xr:uid="{00000000-0005-0000-0000-00009F6C0000}"/>
    <cellStyle name="Normal 6" xfId="20048" xr:uid="{00000000-0005-0000-0000-0000A06C0000}"/>
    <cellStyle name="Normal 6 2" xfId="20050" xr:uid="{00000000-0005-0000-0000-0000A16C0000}"/>
    <cellStyle name="Normal 6 2 2" xfId="40100" xr:uid="{00000000-0005-0000-0000-0000A26C0000}"/>
    <cellStyle name="Normal 7" xfId="20049" xr:uid="{00000000-0005-0000-0000-0000A36C0000}"/>
    <cellStyle name="Normal 8" xfId="20051" xr:uid="{00000000-0005-0000-0000-0000A46C0000}"/>
    <cellStyle name="Normal 9" xfId="20055" xr:uid="{00000000-0005-0000-0000-0000A56C0000}"/>
    <cellStyle name="Normal 9 2" xfId="40102" xr:uid="{00000000-0005-0000-0000-0000A66C0000}"/>
    <cellStyle name="Percent" xfId="20052" builtinId="5"/>
    <cellStyle name="Percent 2" xfId="11" xr:uid="{00000000-0005-0000-0000-0000A86C0000}"/>
    <cellStyle name="Percent 2 10" xfId="151" xr:uid="{00000000-0005-0000-0000-0000A96C0000}"/>
    <cellStyle name="Percent 2 10 10" xfId="20203" xr:uid="{00000000-0005-0000-0000-0000AA6C0000}"/>
    <cellStyle name="Percent 2 10 2" xfId="337" xr:uid="{00000000-0005-0000-0000-0000AB6C0000}"/>
    <cellStyle name="Percent 2 10 2 2" xfId="1080" xr:uid="{00000000-0005-0000-0000-0000AC6C0000}"/>
    <cellStyle name="Percent 2 10 2 2 2" xfId="2574" xr:uid="{00000000-0005-0000-0000-0000AD6C0000}"/>
    <cellStyle name="Percent 2 10 2 2 2 2" xfId="7056" xr:uid="{00000000-0005-0000-0000-0000AE6C0000}"/>
    <cellStyle name="Percent 2 10 2 2 2 2 2" xfId="16086" xr:uid="{00000000-0005-0000-0000-0000AF6C0000}"/>
    <cellStyle name="Percent 2 10 2 2 2 2 2 2" xfId="36138" xr:uid="{00000000-0005-0000-0000-0000B06C0000}"/>
    <cellStyle name="Percent 2 10 2 2 2 2 3" xfId="27108" xr:uid="{00000000-0005-0000-0000-0000B16C0000}"/>
    <cellStyle name="Percent 2 10 2 2 2 3" xfId="11604" xr:uid="{00000000-0005-0000-0000-0000B26C0000}"/>
    <cellStyle name="Percent 2 10 2 2 2 3 2" xfId="31656" xr:uid="{00000000-0005-0000-0000-0000B36C0000}"/>
    <cellStyle name="Percent 2 10 2 2 2 4" xfId="22626" xr:uid="{00000000-0005-0000-0000-0000B46C0000}"/>
    <cellStyle name="Percent 2 10 2 2 3" xfId="4068" xr:uid="{00000000-0005-0000-0000-0000B56C0000}"/>
    <cellStyle name="Percent 2 10 2 2 3 2" xfId="8550" xr:uid="{00000000-0005-0000-0000-0000B66C0000}"/>
    <cellStyle name="Percent 2 10 2 2 3 2 2" xfId="17580" xr:uid="{00000000-0005-0000-0000-0000B76C0000}"/>
    <cellStyle name="Percent 2 10 2 2 3 2 2 2" xfId="37632" xr:uid="{00000000-0005-0000-0000-0000B86C0000}"/>
    <cellStyle name="Percent 2 10 2 2 3 2 3" xfId="28602" xr:uid="{00000000-0005-0000-0000-0000B96C0000}"/>
    <cellStyle name="Percent 2 10 2 2 3 3" xfId="13098" xr:uid="{00000000-0005-0000-0000-0000BA6C0000}"/>
    <cellStyle name="Percent 2 10 2 2 3 3 2" xfId="33150" xr:uid="{00000000-0005-0000-0000-0000BB6C0000}"/>
    <cellStyle name="Percent 2 10 2 2 3 4" xfId="24120" xr:uid="{00000000-0005-0000-0000-0000BC6C0000}"/>
    <cellStyle name="Percent 2 10 2 2 4" xfId="5562" xr:uid="{00000000-0005-0000-0000-0000BD6C0000}"/>
    <cellStyle name="Percent 2 10 2 2 4 2" xfId="14592" xr:uid="{00000000-0005-0000-0000-0000BE6C0000}"/>
    <cellStyle name="Percent 2 10 2 2 4 2 2" xfId="34644" xr:uid="{00000000-0005-0000-0000-0000BF6C0000}"/>
    <cellStyle name="Percent 2 10 2 2 4 3" xfId="25614" xr:uid="{00000000-0005-0000-0000-0000C06C0000}"/>
    <cellStyle name="Percent 2 10 2 2 5" xfId="10110" xr:uid="{00000000-0005-0000-0000-0000C16C0000}"/>
    <cellStyle name="Percent 2 10 2 2 5 2" xfId="30162" xr:uid="{00000000-0005-0000-0000-0000C26C0000}"/>
    <cellStyle name="Percent 2 10 2 2 6" xfId="21132" xr:uid="{00000000-0005-0000-0000-0000C36C0000}"/>
    <cellStyle name="Percent 2 10 2 3" xfId="1831" xr:uid="{00000000-0005-0000-0000-0000C46C0000}"/>
    <cellStyle name="Percent 2 10 2 3 2" xfId="6313" xr:uid="{00000000-0005-0000-0000-0000C56C0000}"/>
    <cellStyle name="Percent 2 10 2 3 2 2" xfId="15343" xr:uid="{00000000-0005-0000-0000-0000C66C0000}"/>
    <cellStyle name="Percent 2 10 2 3 2 2 2" xfId="35395" xr:uid="{00000000-0005-0000-0000-0000C76C0000}"/>
    <cellStyle name="Percent 2 10 2 3 2 3" xfId="26365" xr:uid="{00000000-0005-0000-0000-0000C86C0000}"/>
    <cellStyle name="Percent 2 10 2 3 3" xfId="10861" xr:uid="{00000000-0005-0000-0000-0000C96C0000}"/>
    <cellStyle name="Percent 2 10 2 3 3 2" xfId="30913" xr:uid="{00000000-0005-0000-0000-0000CA6C0000}"/>
    <cellStyle name="Percent 2 10 2 3 4" xfId="21883" xr:uid="{00000000-0005-0000-0000-0000CB6C0000}"/>
    <cellStyle name="Percent 2 10 2 4" xfId="3325" xr:uid="{00000000-0005-0000-0000-0000CC6C0000}"/>
    <cellStyle name="Percent 2 10 2 4 2" xfId="7807" xr:uid="{00000000-0005-0000-0000-0000CD6C0000}"/>
    <cellStyle name="Percent 2 10 2 4 2 2" xfId="16837" xr:uid="{00000000-0005-0000-0000-0000CE6C0000}"/>
    <cellStyle name="Percent 2 10 2 4 2 2 2" xfId="36889" xr:uid="{00000000-0005-0000-0000-0000CF6C0000}"/>
    <cellStyle name="Percent 2 10 2 4 2 3" xfId="27859" xr:uid="{00000000-0005-0000-0000-0000D06C0000}"/>
    <cellStyle name="Percent 2 10 2 4 3" xfId="12355" xr:uid="{00000000-0005-0000-0000-0000D16C0000}"/>
    <cellStyle name="Percent 2 10 2 4 3 2" xfId="32407" xr:uid="{00000000-0005-0000-0000-0000D26C0000}"/>
    <cellStyle name="Percent 2 10 2 4 4" xfId="23377" xr:uid="{00000000-0005-0000-0000-0000D36C0000}"/>
    <cellStyle name="Percent 2 10 2 5" xfId="4819" xr:uid="{00000000-0005-0000-0000-0000D46C0000}"/>
    <cellStyle name="Percent 2 10 2 5 2" xfId="13849" xr:uid="{00000000-0005-0000-0000-0000D56C0000}"/>
    <cellStyle name="Percent 2 10 2 5 2 2" xfId="33901" xr:uid="{00000000-0005-0000-0000-0000D66C0000}"/>
    <cellStyle name="Percent 2 10 2 5 3" xfId="24871" xr:uid="{00000000-0005-0000-0000-0000D76C0000}"/>
    <cellStyle name="Percent 2 10 2 6" xfId="9367" xr:uid="{00000000-0005-0000-0000-0000D86C0000}"/>
    <cellStyle name="Percent 2 10 2 6 2" xfId="29419" xr:uid="{00000000-0005-0000-0000-0000D96C0000}"/>
    <cellStyle name="Percent 2 10 2 7" xfId="20389" xr:uid="{00000000-0005-0000-0000-0000DA6C0000}"/>
    <cellStyle name="Percent 2 10 3" xfId="523" xr:uid="{00000000-0005-0000-0000-0000DB6C0000}"/>
    <cellStyle name="Percent 2 10 3 2" xfId="1270" xr:uid="{00000000-0005-0000-0000-0000DC6C0000}"/>
    <cellStyle name="Percent 2 10 3 2 2" xfId="2764" xr:uid="{00000000-0005-0000-0000-0000DD6C0000}"/>
    <cellStyle name="Percent 2 10 3 2 2 2" xfId="7246" xr:uid="{00000000-0005-0000-0000-0000DE6C0000}"/>
    <cellStyle name="Percent 2 10 3 2 2 2 2" xfId="16276" xr:uid="{00000000-0005-0000-0000-0000DF6C0000}"/>
    <cellStyle name="Percent 2 10 3 2 2 2 2 2" xfId="36328" xr:uid="{00000000-0005-0000-0000-0000E06C0000}"/>
    <cellStyle name="Percent 2 10 3 2 2 2 3" xfId="27298" xr:uid="{00000000-0005-0000-0000-0000E16C0000}"/>
    <cellStyle name="Percent 2 10 3 2 2 3" xfId="11794" xr:uid="{00000000-0005-0000-0000-0000E26C0000}"/>
    <cellStyle name="Percent 2 10 3 2 2 3 2" xfId="31846" xr:uid="{00000000-0005-0000-0000-0000E36C0000}"/>
    <cellStyle name="Percent 2 10 3 2 2 4" xfId="22816" xr:uid="{00000000-0005-0000-0000-0000E46C0000}"/>
    <cellStyle name="Percent 2 10 3 2 3" xfId="4258" xr:uid="{00000000-0005-0000-0000-0000E56C0000}"/>
    <cellStyle name="Percent 2 10 3 2 3 2" xfId="8740" xr:uid="{00000000-0005-0000-0000-0000E66C0000}"/>
    <cellStyle name="Percent 2 10 3 2 3 2 2" xfId="17770" xr:uid="{00000000-0005-0000-0000-0000E76C0000}"/>
    <cellStyle name="Percent 2 10 3 2 3 2 2 2" xfId="37822" xr:uid="{00000000-0005-0000-0000-0000E86C0000}"/>
    <cellStyle name="Percent 2 10 3 2 3 2 3" xfId="28792" xr:uid="{00000000-0005-0000-0000-0000E96C0000}"/>
    <cellStyle name="Percent 2 10 3 2 3 3" xfId="13288" xr:uid="{00000000-0005-0000-0000-0000EA6C0000}"/>
    <cellStyle name="Percent 2 10 3 2 3 3 2" xfId="33340" xr:uid="{00000000-0005-0000-0000-0000EB6C0000}"/>
    <cellStyle name="Percent 2 10 3 2 3 4" xfId="24310" xr:uid="{00000000-0005-0000-0000-0000EC6C0000}"/>
    <cellStyle name="Percent 2 10 3 2 4" xfId="5752" xr:uid="{00000000-0005-0000-0000-0000ED6C0000}"/>
    <cellStyle name="Percent 2 10 3 2 4 2" xfId="14782" xr:uid="{00000000-0005-0000-0000-0000EE6C0000}"/>
    <cellStyle name="Percent 2 10 3 2 4 2 2" xfId="34834" xr:uid="{00000000-0005-0000-0000-0000EF6C0000}"/>
    <cellStyle name="Percent 2 10 3 2 4 3" xfId="25804" xr:uid="{00000000-0005-0000-0000-0000F06C0000}"/>
    <cellStyle name="Percent 2 10 3 2 5" xfId="10300" xr:uid="{00000000-0005-0000-0000-0000F16C0000}"/>
    <cellStyle name="Percent 2 10 3 2 5 2" xfId="30352" xr:uid="{00000000-0005-0000-0000-0000F26C0000}"/>
    <cellStyle name="Percent 2 10 3 2 6" xfId="21322" xr:uid="{00000000-0005-0000-0000-0000F36C0000}"/>
    <cellStyle name="Percent 2 10 3 3" xfId="2017" xr:uid="{00000000-0005-0000-0000-0000F46C0000}"/>
    <cellStyle name="Percent 2 10 3 3 2" xfId="6499" xr:uid="{00000000-0005-0000-0000-0000F56C0000}"/>
    <cellStyle name="Percent 2 10 3 3 2 2" xfId="15529" xr:uid="{00000000-0005-0000-0000-0000F66C0000}"/>
    <cellStyle name="Percent 2 10 3 3 2 2 2" xfId="35581" xr:uid="{00000000-0005-0000-0000-0000F76C0000}"/>
    <cellStyle name="Percent 2 10 3 3 2 3" xfId="26551" xr:uid="{00000000-0005-0000-0000-0000F86C0000}"/>
    <cellStyle name="Percent 2 10 3 3 3" xfId="11047" xr:uid="{00000000-0005-0000-0000-0000F96C0000}"/>
    <cellStyle name="Percent 2 10 3 3 3 2" xfId="31099" xr:uid="{00000000-0005-0000-0000-0000FA6C0000}"/>
    <cellStyle name="Percent 2 10 3 3 4" xfId="22069" xr:uid="{00000000-0005-0000-0000-0000FB6C0000}"/>
    <cellStyle name="Percent 2 10 3 4" xfId="3511" xr:uid="{00000000-0005-0000-0000-0000FC6C0000}"/>
    <cellStyle name="Percent 2 10 3 4 2" xfId="7993" xr:uid="{00000000-0005-0000-0000-0000FD6C0000}"/>
    <cellStyle name="Percent 2 10 3 4 2 2" xfId="17023" xr:uid="{00000000-0005-0000-0000-0000FE6C0000}"/>
    <cellStyle name="Percent 2 10 3 4 2 2 2" xfId="37075" xr:uid="{00000000-0005-0000-0000-0000FF6C0000}"/>
    <cellStyle name="Percent 2 10 3 4 2 3" xfId="28045" xr:uid="{00000000-0005-0000-0000-0000006D0000}"/>
    <cellStyle name="Percent 2 10 3 4 3" xfId="12541" xr:uid="{00000000-0005-0000-0000-0000016D0000}"/>
    <cellStyle name="Percent 2 10 3 4 3 2" xfId="32593" xr:uid="{00000000-0005-0000-0000-0000026D0000}"/>
    <cellStyle name="Percent 2 10 3 4 4" xfId="23563" xr:uid="{00000000-0005-0000-0000-0000036D0000}"/>
    <cellStyle name="Percent 2 10 3 5" xfId="5005" xr:uid="{00000000-0005-0000-0000-0000046D0000}"/>
    <cellStyle name="Percent 2 10 3 5 2" xfId="14035" xr:uid="{00000000-0005-0000-0000-0000056D0000}"/>
    <cellStyle name="Percent 2 10 3 5 2 2" xfId="34087" xr:uid="{00000000-0005-0000-0000-0000066D0000}"/>
    <cellStyle name="Percent 2 10 3 5 3" xfId="25057" xr:uid="{00000000-0005-0000-0000-0000076D0000}"/>
    <cellStyle name="Percent 2 10 3 6" xfId="9553" xr:uid="{00000000-0005-0000-0000-0000086D0000}"/>
    <cellStyle name="Percent 2 10 3 6 2" xfId="29605" xr:uid="{00000000-0005-0000-0000-0000096D0000}"/>
    <cellStyle name="Percent 2 10 3 7" xfId="20575" xr:uid="{00000000-0005-0000-0000-00000A6D0000}"/>
    <cellStyle name="Percent 2 10 4" xfId="709" xr:uid="{00000000-0005-0000-0000-00000B6D0000}"/>
    <cellStyle name="Percent 2 10 4 2" xfId="1456" xr:uid="{00000000-0005-0000-0000-00000C6D0000}"/>
    <cellStyle name="Percent 2 10 4 2 2" xfId="2950" xr:uid="{00000000-0005-0000-0000-00000D6D0000}"/>
    <cellStyle name="Percent 2 10 4 2 2 2" xfId="7432" xr:uid="{00000000-0005-0000-0000-00000E6D0000}"/>
    <cellStyle name="Percent 2 10 4 2 2 2 2" xfId="16462" xr:uid="{00000000-0005-0000-0000-00000F6D0000}"/>
    <cellStyle name="Percent 2 10 4 2 2 2 2 2" xfId="36514" xr:uid="{00000000-0005-0000-0000-0000106D0000}"/>
    <cellStyle name="Percent 2 10 4 2 2 2 3" xfId="27484" xr:uid="{00000000-0005-0000-0000-0000116D0000}"/>
    <cellStyle name="Percent 2 10 4 2 2 3" xfId="11980" xr:uid="{00000000-0005-0000-0000-0000126D0000}"/>
    <cellStyle name="Percent 2 10 4 2 2 3 2" xfId="32032" xr:uid="{00000000-0005-0000-0000-0000136D0000}"/>
    <cellStyle name="Percent 2 10 4 2 2 4" xfId="23002" xr:uid="{00000000-0005-0000-0000-0000146D0000}"/>
    <cellStyle name="Percent 2 10 4 2 3" xfId="4444" xr:uid="{00000000-0005-0000-0000-0000156D0000}"/>
    <cellStyle name="Percent 2 10 4 2 3 2" xfId="8926" xr:uid="{00000000-0005-0000-0000-0000166D0000}"/>
    <cellStyle name="Percent 2 10 4 2 3 2 2" xfId="17956" xr:uid="{00000000-0005-0000-0000-0000176D0000}"/>
    <cellStyle name="Percent 2 10 4 2 3 2 2 2" xfId="38008" xr:uid="{00000000-0005-0000-0000-0000186D0000}"/>
    <cellStyle name="Percent 2 10 4 2 3 2 3" xfId="28978" xr:uid="{00000000-0005-0000-0000-0000196D0000}"/>
    <cellStyle name="Percent 2 10 4 2 3 3" xfId="13474" xr:uid="{00000000-0005-0000-0000-00001A6D0000}"/>
    <cellStyle name="Percent 2 10 4 2 3 3 2" xfId="33526" xr:uid="{00000000-0005-0000-0000-00001B6D0000}"/>
    <cellStyle name="Percent 2 10 4 2 3 4" xfId="24496" xr:uid="{00000000-0005-0000-0000-00001C6D0000}"/>
    <cellStyle name="Percent 2 10 4 2 4" xfId="5938" xr:uid="{00000000-0005-0000-0000-00001D6D0000}"/>
    <cellStyle name="Percent 2 10 4 2 4 2" xfId="14968" xr:uid="{00000000-0005-0000-0000-00001E6D0000}"/>
    <cellStyle name="Percent 2 10 4 2 4 2 2" xfId="35020" xr:uid="{00000000-0005-0000-0000-00001F6D0000}"/>
    <cellStyle name="Percent 2 10 4 2 4 3" xfId="25990" xr:uid="{00000000-0005-0000-0000-0000206D0000}"/>
    <cellStyle name="Percent 2 10 4 2 5" xfId="10486" xr:uid="{00000000-0005-0000-0000-0000216D0000}"/>
    <cellStyle name="Percent 2 10 4 2 5 2" xfId="30538" xr:uid="{00000000-0005-0000-0000-0000226D0000}"/>
    <cellStyle name="Percent 2 10 4 2 6" xfId="21508" xr:uid="{00000000-0005-0000-0000-0000236D0000}"/>
    <cellStyle name="Percent 2 10 4 3" xfId="2203" xr:uid="{00000000-0005-0000-0000-0000246D0000}"/>
    <cellStyle name="Percent 2 10 4 3 2" xfId="6685" xr:uid="{00000000-0005-0000-0000-0000256D0000}"/>
    <cellStyle name="Percent 2 10 4 3 2 2" xfId="15715" xr:uid="{00000000-0005-0000-0000-0000266D0000}"/>
    <cellStyle name="Percent 2 10 4 3 2 2 2" xfId="35767" xr:uid="{00000000-0005-0000-0000-0000276D0000}"/>
    <cellStyle name="Percent 2 10 4 3 2 3" xfId="26737" xr:uid="{00000000-0005-0000-0000-0000286D0000}"/>
    <cellStyle name="Percent 2 10 4 3 3" xfId="11233" xr:uid="{00000000-0005-0000-0000-0000296D0000}"/>
    <cellStyle name="Percent 2 10 4 3 3 2" xfId="31285" xr:uid="{00000000-0005-0000-0000-00002A6D0000}"/>
    <cellStyle name="Percent 2 10 4 3 4" xfId="22255" xr:uid="{00000000-0005-0000-0000-00002B6D0000}"/>
    <cellStyle name="Percent 2 10 4 4" xfId="3697" xr:uid="{00000000-0005-0000-0000-00002C6D0000}"/>
    <cellStyle name="Percent 2 10 4 4 2" xfId="8179" xr:uid="{00000000-0005-0000-0000-00002D6D0000}"/>
    <cellStyle name="Percent 2 10 4 4 2 2" xfId="17209" xr:uid="{00000000-0005-0000-0000-00002E6D0000}"/>
    <cellStyle name="Percent 2 10 4 4 2 2 2" xfId="37261" xr:uid="{00000000-0005-0000-0000-00002F6D0000}"/>
    <cellStyle name="Percent 2 10 4 4 2 3" xfId="28231" xr:uid="{00000000-0005-0000-0000-0000306D0000}"/>
    <cellStyle name="Percent 2 10 4 4 3" xfId="12727" xr:uid="{00000000-0005-0000-0000-0000316D0000}"/>
    <cellStyle name="Percent 2 10 4 4 3 2" xfId="32779" xr:uid="{00000000-0005-0000-0000-0000326D0000}"/>
    <cellStyle name="Percent 2 10 4 4 4" xfId="23749" xr:uid="{00000000-0005-0000-0000-0000336D0000}"/>
    <cellStyle name="Percent 2 10 4 5" xfId="5191" xr:uid="{00000000-0005-0000-0000-0000346D0000}"/>
    <cellStyle name="Percent 2 10 4 5 2" xfId="14221" xr:uid="{00000000-0005-0000-0000-0000356D0000}"/>
    <cellStyle name="Percent 2 10 4 5 2 2" xfId="34273" xr:uid="{00000000-0005-0000-0000-0000366D0000}"/>
    <cellStyle name="Percent 2 10 4 5 3" xfId="25243" xr:uid="{00000000-0005-0000-0000-0000376D0000}"/>
    <cellStyle name="Percent 2 10 4 6" xfId="9739" xr:uid="{00000000-0005-0000-0000-0000386D0000}"/>
    <cellStyle name="Percent 2 10 4 6 2" xfId="29791" xr:uid="{00000000-0005-0000-0000-0000396D0000}"/>
    <cellStyle name="Percent 2 10 4 7" xfId="20761" xr:uid="{00000000-0005-0000-0000-00003A6D0000}"/>
    <cellStyle name="Percent 2 10 5" xfId="896" xr:uid="{00000000-0005-0000-0000-00003B6D0000}"/>
    <cellStyle name="Percent 2 10 5 2" xfId="2390" xr:uid="{00000000-0005-0000-0000-00003C6D0000}"/>
    <cellStyle name="Percent 2 10 5 2 2" xfId="6872" xr:uid="{00000000-0005-0000-0000-00003D6D0000}"/>
    <cellStyle name="Percent 2 10 5 2 2 2" xfId="15902" xr:uid="{00000000-0005-0000-0000-00003E6D0000}"/>
    <cellStyle name="Percent 2 10 5 2 2 2 2" xfId="35954" xr:uid="{00000000-0005-0000-0000-00003F6D0000}"/>
    <cellStyle name="Percent 2 10 5 2 2 3" xfId="26924" xr:uid="{00000000-0005-0000-0000-0000406D0000}"/>
    <cellStyle name="Percent 2 10 5 2 3" xfId="11420" xr:uid="{00000000-0005-0000-0000-0000416D0000}"/>
    <cellStyle name="Percent 2 10 5 2 3 2" xfId="31472" xr:uid="{00000000-0005-0000-0000-0000426D0000}"/>
    <cellStyle name="Percent 2 10 5 2 4" xfId="22442" xr:uid="{00000000-0005-0000-0000-0000436D0000}"/>
    <cellStyle name="Percent 2 10 5 3" xfId="3884" xr:uid="{00000000-0005-0000-0000-0000446D0000}"/>
    <cellStyle name="Percent 2 10 5 3 2" xfId="8366" xr:uid="{00000000-0005-0000-0000-0000456D0000}"/>
    <cellStyle name="Percent 2 10 5 3 2 2" xfId="17396" xr:uid="{00000000-0005-0000-0000-0000466D0000}"/>
    <cellStyle name="Percent 2 10 5 3 2 2 2" xfId="37448" xr:uid="{00000000-0005-0000-0000-0000476D0000}"/>
    <cellStyle name="Percent 2 10 5 3 2 3" xfId="28418" xr:uid="{00000000-0005-0000-0000-0000486D0000}"/>
    <cellStyle name="Percent 2 10 5 3 3" xfId="12914" xr:uid="{00000000-0005-0000-0000-0000496D0000}"/>
    <cellStyle name="Percent 2 10 5 3 3 2" xfId="32966" xr:uid="{00000000-0005-0000-0000-00004A6D0000}"/>
    <cellStyle name="Percent 2 10 5 3 4" xfId="23936" xr:uid="{00000000-0005-0000-0000-00004B6D0000}"/>
    <cellStyle name="Percent 2 10 5 4" xfId="5378" xr:uid="{00000000-0005-0000-0000-00004C6D0000}"/>
    <cellStyle name="Percent 2 10 5 4 2" xfId="14408" xr:uid="{00000000-0005-0000-0000-00004D6D0000}"/>
    <cellStyle name="Percent 2 10 5 4 2 2" xfId="34460" xr:uid="{00000000-0005-0000-0000-00004E6D0000}"/>
    <cellStyle name="Percent 2 10 5 4 3" xfId="25430" xr:uid="{00000000-0005-0000-0000-00004F6D0000}"/>
    <cellStyle name="Percent 2 10 5 5" xfId="9926" xr:uid="{00000000-0005-0000-0000-0000506D0000}"/>
    <cellStyle name="Percent 2 10 5 5 2" xfId="29978" xr:uid="{00000000-0005-0000-0000-0000516D0000}"/>
    <cellStyle name="Percent 2 10 5 6" xfId="20948" xr:uid="{00000000-0005-0000-0000-0000526D0000}"/>
    <cellStyle name="Percent 2 10 6" xfId="1645" xr:uid="{00000000-0005-0000-0000-0000536D0000}"/>
    <cellStyle name="Percent 2 10 6 2" xfId="6127" xr:uid="{00000000-0005-0000-0000-0000546D0000}"/>
    <cellStyle name="Percent 2 10 6 2 2" xfId="15157" xr:uid="{00000000-0005-0000-0000-0000556D0000}"/>
    <cellStyle name="Percent 2 10 6 2 2 2" xfId="35209" xr:uid="{00000000-0005-0000-0000-0000566D0000}"/>
    <cellStyle name="Percent 2 10 6 2 3" xfId="26179" xr:uid="{00000000-0005-0000-0000-0000576D0000}"/>
    <cellStyle name="Percent 2 10 6 3" xfId="10675" xr:uid="{00000000-0005-0000-0000-0000586D0000}"/>
    <cellStyle name="Percent 2 10 6 3 2" xfId="30727" xr:uid="{00000000-0005-0000-0000-0000596D0000}"/>
    <cellStyle name="Percent 2 10 6 4" xfId="21697" xr:uid="{00000000-0005-0000-0000-00005A6D0000}"/>
    <cellStyle name="Percent 2 10 7" xfId="3139" xr:uid="{00000000-0005-0000-0000-00005B6D0000}"/>
    <cellStyle name="Percent 2 10 7 2" xfId="7621" xr:uid="{00000000-0005-0000-0000-00005C6D0000}"/>
    <cellStyle name="Percent 2 10 7 2 2" xfId="16651" xr:uid="{00000000-0005-0000-0000-00005D6D0000}"/>
    <cellStyle name="Percent 2 10 7 2 2 2" xfId="36703" xr:uid="{00000000-0005-0000-0000-00005E6D0000}"/>
    <cellStyle name="Percent 2 10 7 2 3" xfId="27673" xr:uid="{00000000-0005-0000-0000-00005F6D0000}"/>
    <cellStyle name="Percent 2 10 7 3" xfId="12169" xr:uid="{00000000-0005-0000-0000-0000606D0000}"/>
    <cellStyle name="Percent 2 10 7 3 2" xfId="32221" xr:uid="{00000000-0005-0000-0000-0000616D0000}"/>
    <cellStyle name="Percent 2 10 7 4" xfId="23191" xr:uid="{00000000-0005-0000-0000-0000626D0000}"/>
    <cellStyle name="Percent 2 10 8" xfId="4633" xr:uid="{00000000-0005-0000-0000-0000636D0000}"/>
    <cellStyle name="Percent 2 10 8 2" xfId="13663" xr:uid="{00000000-0005-0000-0000-0000646D0000}"/>
    <cellStyle name="Percent 2 10 8 2 2" xfId="33715" xr:uid="{00000000-0005-0000-0000-0000656D0000}"/>
    <cellStyle name="Percent 2 10 8 3" xfId="24685" xr:uid="{00000000-0005-0000-0000-0000666D0000}"/>
    <cellStyle name="Percent 2 10 9" xfId="9181" xr:uid="{00000000-0005-0000-0000-0000676D0000}"/>
    <cellStyle name="Percent 2 10 9 2" xfId="29233" xr:uid="{00000000-0005-0000-0000-0000686D0000}"/>
    <cellStyle name="Percent 2 11" xfId="174" xr:uid="{00000000-0005-0000-0000-0000696D0000}"/>
    <cellStyle name="Percent 2 11 10" xfId="20226" xr:uid="{00000000-0005-0000-0000-00006A6D0000}"/>
    <cellStyle name="Percent 2 11 2" xfId="360" xr:uid="{00000000-0005-0000-0000-00006B6D0000}"/>
    <cellStyle name="Percent 2 11 2 2" xfId="1103" xr:uid="{00000000-0005-0000-0000-00006C6D0000}"/>
    <cellStyle name="Percent 2 11 2 2 2" xfId="2597" xr:uid="{00000000-0005-0000-0000-00006D6D0000}"/>
    <cellStyle name="Percent 2 11 2 2 2 2" xfId="7079" xr:uid="{00000000-0005-0000-0000-00006E6D0000}"/>
    <cellStyle name="Percent 2 11 2 2 2 2 2" xfId="16109" xr:uid="{00000000-0005-0000-0000-00006F6D0000}"/>
    <cellStyle name="Percent 2 11 2 2 2 2 2 2" xfId="36161" xr:uid="{00000000-0005-0000-0000-0000706D0000}"/>
    <cellStyle name="Percent 2 11 2 2 2 2 3" xfId="27131" xr:uid="{00000000-0005-0000-0000-0000716D0000}"/>
    <cellStyle name="Percent 2 11 2 2 2 3" xfId="11627" xr:uid="{00000000-0005-0000-0000-0000726D0000}"/>
    <cellStyle name="Percent 2 11 2 2 2 3 2" xfId="31679" xr:uid="{00000000-0005-0000-0000-0000736D0000}"/>
    <cellStyle name="Percent 2 11 2 2 2 4" xfId="22649" xr:uid="{00000000-0005-0000-0000-0000746D0000}"/>
    <cellStyle name="Percent 2 11 2 2 3" xfId="4091" xr:uid="{00000000-0005-0000-0000-0000756D0000}"/>
    <cellStyle name="Percent 2 11 2 2 3 2" xfId="8573" xr:uid="{00000000-0005-0000-0000-0000766D0000}"/>
    <cellStyle name="Percent 2 11 2 2 3 2 2" xfId="17603" xr:uid="{00000000-0005-0000-0000-0000776D0000}"/>
    <cellStyle name="Percent 2 11 2 2 3 2 2 2" xfId="37655" xr:uid="{00000000-0005-0000-0000-0000786D0000}"/>
    <cellStyle name="Percent 2 11 2 2 3 2 3" xfId="28625" xr:uid="{00000000-0005-0000-0000-0000796D0000}"/>
    <cellStyle name="Percent 2 11 2 2 3 3" xfId="13121" xr:uid="{00000000-0005-0000-0000-00007A6D0000}"/>
    <cellStyle name="Percent 2 11 2 2 3 3 2" xfId="33173" xr:uid="{00000000-0005-0000-0000-00007B6D0000}"/>
    <cellStyle name="Percent 2 11 2 2 3 4" xfId="24143" xr:uid="{00000000-0005-0000-0000-00007C6D0000}"/>
    <cellStyle name="Percent 2 11 2 2 4" xfId="5585" xr:uid="{00000000-0005-0000-0000-00007D6D0000}"/>
    <cellStyle name="Percent 2 11 2 2 4 2" xfId="14615" xr:uid="{00000000-0005-0000-0000-00007E6D0000}"/>
    <cellStyle name="Percent 2 11 2 2 4 2 2" xfId="34667" xr:uid="{00000000-0005-0000-0000-00007F6D0000}"/>
    <cellStyle name="Percent 2 11 2 2 4 3" xfId="25637" xr:uid="{00000000-0005-0000-0000-0000806D0000}"/>
    <cellStyle name="Percent 2 11 2 2 5" xfId="10133" xr:uid="{00000000-0005-0000-0000-0000816D0000}"/>
    <cellStyle name="Percent 2 11 2 2 5 2" xfId="30185" xr:uid="{00000000-0005-0000-0000-0000826D0000}"/>
    <cellStyle name="Percent 2 11 2 2 6" xfId="21155" xr:uid="{00000000-0005-0000-0000-0000836D0000}"/>
    <cellStyle name="Percent 2 11 2 3" xfId="1854" xr:uid="{00000000-0005-0000-0000-0000846D0000}"/>
    <cellStyle name="Percent 2 11 2 3 2" xfId="6336" xr:uid="{00000000-0005-0000-0000-0000856D0000}"/>
    <cellStyle name="Percent 2 11 2 3 2 2" xfId="15366" xr:uid="{00000000-0005-0000-0000-0000866D0000}"/>
    <cellStyle name="Percent 2 11 2 3 2 2 2" xfId="35418" xr:uid="{00000000-0005-0000-0000-0000876D0000}"/>
    <cellStyle name="Percent 2 11 2 3 2 3" xfId="26388" xr:uid="{00000000-0005-0000-0000-0000886D0000}"/>
    <cellStyle name="Percent 2 11 2 3 3" xfId="10884" xr:uid="{00000000-0005-0000-0000-0000896D0000}"/>
    <cellStyle name="Percent 2 11 2 3 3 2" xfId="30936" xr:uid="{00000000-0005-0000-0000-00008A6D0000}"/>
    <cellStyle name="Percent 2 11 2 3 4" xfId="21906" xr:uid="{00000000-0005-0000-0000-00008B6D0000}"/>
    <cellStyle name="Percent 2 11 2 4" xfId="3348" xr:uid="{00000000-0005-0000-0000-00008C6D0000}"/>
    <cellStyle name="Percent 2 11 2 4 2" xfId="7830" xr:uid="{00000000-0005-0000-0000-00008D6D0000}"/>
    <cellStyle name="Percent 2 11 2 4 2 2" xfId="16860" xr:uid="{00000000-0005-0000-0000-00008E6D0000}"/>
    <cellStyle name="Percent 2 11 2 4 2 2 2" xfId="36912" xr:uid="{00000000-0005-0000-0000-00008F6D0000}"/>
    <cellStyle name="Percent 2 11 2 4 2 3" xfId="27882" xr:uid="{00000000-0005-0000-0000-0000906D0000}"/>
    <cellStyle name="Percent 2 11 2 4 3" xfId="12378" xr:uid="{00000000-0005-0000-0000-0000916D0000}"/>
    <cellStyle name="Percent 2 11 2 4 3 2" xfId="32430" xr:uid="{00000000-0005-0000-0000-0000926D0000}"/>
    <cellStyle name="Percent 2 11 2 4 4" xfId="23400" xr:uid="{00000000-0005-0000-0000-0000936D0000}"/>
    <cellStyle name="Percent 2 11 2 5" xfId="4842" xr:uid="{00000000-0005-0000-0000-0000946D0000}"/>
    <cellStyle name="Percent 2 11 2 5 2" xfId="13872" xr:uid="{00000000-0005-0000-0000-0000956D0000}"/>
    <cellStyle name="Percent 2 11 2 5 2 2" xfId="33924" xr:uid="{00000000-0005-0000-0000-0000966D0000}"/>
    <cellStyle name="Percent 2 11 2 5 3" xfId="24894" xr:uid="{00000000-0005-0000-0000-0000976D0000}"/>
    <cellStyle name="Percent 2 11 2 6" xfId="9390" xr:uid="{00000000-0005-0000-0000-0000986D0000}"/>
    <cellStyle name="Percent 2 11 2 6 2" xfId="29442" xr:uid="{00000000-0005-0000-0000-0000996D0000}"/>
    <cellStyle name="Percent 2 11 2 7" xfId="20412" xr:uid="{00000000-0005-0000-0000-00009A6D0000}"/>
    <cellStyle name="Percent 2 11 3" xfId="546" xr:uid="{00000000-0005-0000-0000-00009B6D0000}"/>
    <cellStyle name="Percent 2 11 3 2" xfId="1293" xr:uid="{00000000-0005-0000-0000-00009C6D0000}"/>
    <cellStyle name="Percent 2 11 3 2 2" xfId="2787" xr:uid="{00000000-0005-0000-0000-00009D6D0000}"/>
    <cellStyle name="Percent 2 11 3 2 2 2" xfId="7269" xr:uid="{00000000-0005-0000-0000-00009E6D0000}"/>
    <cellStyle name="Percent 2 11 3 2 2 2 2" xfId="16299" xr:uid="{00000000-0005-0000-0000-00009F6D0000}"/>
    <cellStyle name="Percent 2 11 3 2 2 2 2 2" xfId="36351" xr:uid="{00000000-0005-0000-0000-0000A06D0000}"/>
    <cellStyle name="Percent 2 11 3 2 2 2 3" xfId="27321" xr:uid="{00000000-0005-0000-0000-0000A16D0000}"/>
    <cellStyle name="Percent 2 11 3 2 2 3" xfId="11817" xr:uid="{00000000-0005-0000-0000-0000A26D0000}"/>
    <cellStyle name="Percent 2 11 3 2 2 3 2" xfId="31869" xr:uid="{00000000-0005-0000-0000-0000A36D0000}"/>
    <cellStyle name="Percent 2 11 3 2 2 4" xfId="22839" xr:uid="{00000000-0005-0000-0000-0000A46D0000}"/>
    <cellStyle name="Percent 2 11 3 2 3" xfId="4281" xr:uid="{00000000-0005-0000-0000-0000A56D0000}"/>
    <cellStyle name="Percent 2 11 3 2 3 2" xfId="8763" xr:uid="{00000000-0005-0000-0000-0000A66D0000}"/>
    <cellStyle name="Percent 2 11 3 2 3 2 2" xfId="17793" xr:uid="{00000000-0005-0000-0000-0000A76D0000}"/>
    <cellStyle name="Percent 2 11 3 2 3 2 2 2" xfId="37845" xr:uid="{00000000-0005-0000-0000-0000A86D0000}"/>
    <cellStyle name="Percent 2 11 3 2 3 2 3" xfId="28815" xr:uid="{00000000-0005-0000-0000-0000A96D0000}"/>
    <cellStyle name="Percent 2 11 3 2 3 3" xfId="13311" xr:uid="{00000000-0005-0000-0000-0000AA6D0000}"/>
    <cellStyle name="Percent 2 11 3 2 3 3 2" xfId="33363" xr:uid="{00000000-0005-0000-0000-0000AB6D0000}"/>
    <cellStyle name="Percent 2 11 3 2 3 4" xfId="24333" xr:uid="{00000000-0005-0000-0000-0000AC6D0000}"/>
    <cellStyle name="Percent 2 11 3 2 4" xfId="5775" xr:uid="{00000000-0005-0000-0000-0000AD6D0000}"/>
    <cellStyle name="Percent 2 11 3 2 4 2" xfId="14805" xr:uid="{00000000-0005-0000-0000-0000AE6D0000}"/>
    <cellStyle name="Percent 2 11 3 2 4 2 2" xfId="34857" xr:uid="{00000000-0005-0000-0000-0000AF6D0000}"/>
    <cellStyle name="Percent 2 11 3 2 4 3" xfId="25827" xr:uid="{00000000-0005-0000-0000-0000B06D0000}"/>
    <cellStyle name="Percent 2 11 3 2 5" xfId="10323" xr:uid="{00000000-0005-0000-0000-0000B16D0000}"/>
    <cellStyle name="Percent 2 11 3 2 5 2" xfId="30375" xr:uid="{00000000-0005-0000-0000-0000B26D0000}"/>
    <cellStyle name="Percent 2 11 3 2 6" xfId="21345" xr:uid="{00000000-0005-0000-0000-0000B36D0000}"/>
    <cellStyle name="Percent 2 11 3 3" xfId="2040" xr:uid="{00000000-0005-0000-0000-0000B46D0000}"/>
    <cellStyle name="Percent 2 11 3 3 2" xfId="6522" xr:uid="{00000000-0005-0000-0000-0000B56D0000}"/>
    <cellStyle name="Percent 2 11 3 3 2 2" xfId="15552" xr:uid="{00000000-0005-0000-0000-0000B66D0000}"/>
    <cellStyle name="Percent 2 11 3 3 2 2 2" xfId="35604" xr:uid="{00000000-0005-0000-0000-0000B76D0000}"/>
    <cellStyle name="Percent 2 11 3 3 2 3" xfId="26574" xr:uid="{00000000-0005-0000-0000-0000B86D0000}"/>
    <cellStyle name="Percent 2 11 3 3 3" xfId="11070" xr:uid="{00000000-0005-0000-0000-0000B96D0000}"/>
    <cellStyle name="Percent 2 11 3 3 3 2" xfId="31122" xr:uid="{00000000-0005-0000-0000-0000BA6D0000}"/>
    <cellStyle name="Percent 2 11 3 3 4" xfId="22092" xr:uid="{00000000-0005-0000-0000-0000BB6D0000}"/>
    <cellStyle name="Percent 2 11 3 4" xfId="3534" xr:uid="{00000000-0005-0000-0000-0000BC6D0000}"/>
    <cellStyle name="Percent 2 11 3 4 2" xfId="8016" xr:uid="{00000000-0005-0000-0000-0000BD6D0000}"/>
    <cellStyle name="Percent 2 11 3 4 2 2" xfId="17046" xr:uid="{00000000-0005-0000-0000-0000BE6D0000}"/>
    <cellStyle name="Percent 2 11 3 4 2 2 2" xfId="37098" xr:uid="{00000000-0005-0000-0000-0000BF6D0000}"/>
    <cellStyle name="Percent 2 11 3 4 2 3" xfId="28068" xr:uid="{00000000-0005-0000-0000-0000C06D0000}"/>
    <cellStyle name="Percent 2 11 3 4 3" xfId="12564" xr:uid="{00000000-0005-0000-0000-0000C16D0000}"/>
    <cellStyle name="Percent 2 11 3 4 3 2" xfId="32616" xr:uid="{00000000-0005-0000-0000-0000C26D0000}"/>
    <cellStyle name="Percent 2 11 3 4 4" xfId="23586" xr:uid="{00000000-0005-0000-0000-0000C36D0000}"/>
    <cellStyle name="Percent 2 11 3 5" xfId="5028" xr:uid="{00000000-0005-0000-0000-0000C46D0000}"/>
    <cellStyle name="Percent 2 11 3 5 2" xfId="14058" xr:uid="{00000000-0005-0000-0000-0000C56D0000}"/>
    <cellStyle name="Percent 2 11 3 5 2 2" xfId="34110" xr:uid="{00000000-0005-0000-0000-0000C66D0000}"/>
    <cellStyle name="Percent 2 11 3 5 3" xfId="25080" xr:uid="{00000000-0005-0000-0000-0000C76D0000}"/>
    <cellStyle name="Percent 2 11 3 6" xfId="9576" xr:uid="{00000000-0005-0000-0000-0000C86D0000}"/>
    <cellStyle name="Percent 2 11 3 6 2" xfId="29628" xr:uid="{00000000-0005-0000-0000-0000C96D0000}"/>
    <cellStyle name="Percent 2 11 3 7" xfId="20598" xr:uid="{00000000-0005-0000-0000-0000CA6D0000}"/>
    <cellStyle name="Percent 2 11 4" xfId="732" xr:uid="{00000000-0005-0000-0000-0000CB6D0000}"/>
    <cellStyle name="Percent 2 11 4 2" xfId="1479" xr:uid="{00000000-0005-0000-0000-0000CC6D0000}"/>
    <cellStyle name="Percent 2 11 4 2 2" xfId="2973" xr:uid="{00000000-0005-0000-0000-0000CD6D0000}"/>
    <cellStyle name="Percent 2 11 4 2 2 2" xfId="7455" xr:uid="{00000000-0005-0000-0000-0000CE6D0000}"/>
    <cellStyle name="Percent 2 11 4 2 2 2 2" xfId="16485" xr:uid="{00000000-0005-0000-0000-0000CF6D0000}"/>
    <cellStyle name="Percent 2 11 4 2 2 2 2 2" xfId="36537" xr:uid="{00000000-0005-0000-0000-0000D06D0000}"/>
    <cellStyle name="Percent 2 11 4 2 2 2 3" xfId="27507" xr:uid="{00000000-0005-0000-0000-0000D16D0000}"/>
    <cellStyle name="Percent 2 11 4 2 2 3" xfId="12003" xr:uid="{00000000-0005-0000-0000-0000D26D0000}"/>
    <cellStyle name="Percent 2 11 4 2 2 3 2" xfId="32055" xr:uid="{00000000-0005-0000-0000-0000D36D0000}"/>
    <cellStyle name="Percent 2 11 4 2 2 4" xfId="23025" xr:uid="{00000000-0005-0000-0000-0000D46D0000}"/>
    <cellStyle name="Percent 2 11 4 2 3" xfId="4467" xr:uid="{00000000-0005-0000-0000-0000D56D0000}"/>
    <cellStyle name="Percent 2 11 4 2 3 2" xfId="8949" xr:uid="{00000000-0005-0000-0000-0000D66D0000}"/>
    <cellStyle name="Percent 2 11 4 2 3 2 2" xfId="17979" xr:uid="{00000000-0005-0000-0000-0000D76D0000}"/>
    <cellStyle name="Percent 2 11 4 2 3 2 2 2" xfId="38031" xr:uid="{00000000-0005-0000-0000-0000D86D0000}"/>
    <cellStyle name="Percent 2 11 4 2 3 2 3" xfId="29001" xr:uid="{00000000-0005-0000-0000-0000D96D0000}"/>
    <cellStyle name="Percent 2 11 4 2 3 3" xfId="13497" xr:uid="{00000000-0005-0000-0000-0000DA6D0000}"/>
    <cellStyle name="Percent 2 11 4 2 3 3 2" xfId="33549" xr:uid="{00000000-0005-0000-0000-0000DB6D0000}"/>
    <cellStyle name="Percent 2 11 4 2 3 4" xfId="24519" xr:uid="{00000000-0005-0000-0000-0000DC6D0000}"/>
    <cellStyle name="Percent 2 11 4 2 4" xfId="5961" xr:uid="{00000000-0005-0000-0000-0000DD6D0000}"/>
    <cellStyle name="Percent 2 11 4 2 4 2" xfId="14991" xr:uid="{00000000-0005-0000-0000-0000DE6D0000}"/>
    <cellStyle name="Percent 2 11 4 2 4 2 2" xfId="35043" xr:uid="{00000000-0005-0000-0000-0000DF6D0000}"/>
    <cellStyle name="Percent 2 11 4 2 4 3" xfId="26013" xr:uid="{00000000-0005-0000-0000-0000E06D0000}"/>
    <cellStyle name="Percent 2 11 4 2 5" xfId="10509" xr:uid="{00000000-0005-0000-0000-0000E16D0000}"/>
    <cellStyle name="Percent 2 11 4 2 5 2" xfId="30561" xr:uid="{00000000-0005-0000-0000-0000E26D0000}"/>
    <cellStyle name="Percent 2 11 4 2 6" xfId="21531" xr:uid="{00000000-0005-0000-0000-0000E36D0000}"/>
    <cellStyle name="Percent 2 11 4 3" xfId="2226" xr:uid="{00000000-0005-0000-0000-0000E46D0000}"/>
    <cellStyle name="Percent 2 11 4 3 2" xfId="6708" xr:uid="{00000000-0005-0000-0000-0000E56D0000}"/>
    <cellStyle name="Percent 2 11 4 3 2 2" xfId="15738" xr:uid="{00000000-0005-0000-0000-0000E66D0000}"/>
    <cellStyle name="Percent 2 11 4 3 2 2 2" xfId="35790" xr:uid="{00000000-0005-0000-0000-0000E76D0000}"/>
    <cellStyle name="Percent 2 11 4 3 2 3" xfId="26760" xr:uid="{00000000-0005-0000-0000-0000E86D0000}"/>
    <cellStyle name="Percent 2 11 4 3 3" xfId="11256" xr:uid="{00000000-0005-0000-0000-0000E96D0000}"/>
    <cellStyle name="Percent 2 11 4 3 3 2" xfId="31308" xr:uid="{00000000-0005-0000-0000-0000EA6D0000}"/>
    <cellStyle name="Percent 2 11 4 3 4" xfId="22278" xr:uid="{00000000-0005-0000-0000-0000EB6D0000}"/>
    <cellStyle name="Percent 2 11 4 4" xfId="3720" xr:uid="{00000000-0005-0000-0000-0000EC6D0000}"/>
    <cellStyle name="Percent 2 11 4 4 2" xfId="8202" xr:uid="{00000000-0005-0000-0000-0000ED6D0000}"/>
    <cellStyle name="Percent 2 11 4 4 2 2" xfId="17232" xr:uid="{00000000-0005-0000-0000-0000EE6D0000}"/>
    <cellStyle name="Percent 2 11 4 4 2 2 2" xfId="37284" xr:uid="{00000000-0005-0000-0000-0000EF6D0000}"/>
    <cellStyle name="Percent 2 11 4 4 2 3" xfId="28254" xr:uid="{00000000-0005-0000-0000-0000F06D0000}"/>
    <cellStyle name="Percent 2 11 4 4 3" xfId="12750" xr:uid="{00000000-0005-0000-0000-0000F16D0000}"/>
    <cellStyle name="Percent 2 11 4 4 3 2" xfId="32802" xr:uid="{00000000-0005-0000-0000-0000F26D0000}"/>
    <cellStyle name="Percent 2 11 4 4 4" xfId="23772" xr:uid="{00000000-0005-0000-0000-0000F36D0000}"/>
    <cellStyle name="Percent 2 11 4 5" xfId="5214" xr:uid="{00000000-0005-0000-0000-0000F46D0000}"/>
    <cellStyle name="Percent 2 11 4 5 2" xfId="14244" xr:uid="{00000000-0005-0000-0000-0000F56D0000}"/>
    <cellStyle name="Percent 2 11 4 5 2 2" xfId="34296" xr:uid="{00000000-0005-0000-0000-0000F66D0000}"/>
    <cellStyle name="Percent 2 11 4 5 3" xfId="25266" xr:uid="{00000000-0005-0000-0000-0000F76D0000}"/>
    <cellStyle name="Percent 2 11 4 6" xfId="9762" xr:uid="{00000000-0005-0000-0000-0000F86D0000}"/>
    <cellStyle name="Percent 2 11 4 6 2" xfId="29814" xr:uid="{00000000-0005-0000-0000-0000F96D0000}"/>
    <cellStyle name="Percent 2 11 4 7" xfId="20784" xr:uid="{00000000-0005-0000-0000-0000FA6D0000}"/>
    <cellStyle name="Percent 2 11 5" xfId="919" xr:uid="{00000000-0005-0000-0000-0000FB6D0000}"/>
    <cellStyle name="Percent 2 11 5 2" xfId="2413" xr:uid="{00000000-0005-0000-0000-0000FC6D0000}"/>
    <cellStyle name="Percent 2 11 5 2 2" xfId="6895" xr:uid="{00000000-0005-0000-0000-0000FD6D0000}"/>
    <cellStyle name="Percent 2 11 5 2 2 2" xfId="15925" xr:uid="{00000000-0005-0000-0000-0000FE6D0000}"/>
    <cellStyle name="Percent 2 11 5 2 2 2 2" xfId="35977" xr:uid="{00000000-0005-0000-0000-0000FF6D0000}"/>
    <cellStyle name="Percent 2 11 5 2 2 3" xfId="26947" xr:uid="{00000000-0005-0000-0000-0000006E0000}"/>
    <cellStyle name="Percent 2 11 5 2 3" xfId="11443" xr:uid="{00000000-0005-0000-0000-0000016E0000}"/>
    <cellStyle name="Percent 2 11 5 2 3 2" xfId="31495" xr:uid="{00000000-0005-0000-0000-0000026E0000}"/>
    <cellStyle name="Percent 2 11 5 2 4" xfId="22465" xr:uid="{00000000-0005-0000-0000-0000036E0000}"/>
    <cellStyle name="Percent 2 11 5 3" xfId="3907" xr:uid="{00000000-0005-0000-0000-0000046E0000}"/>
    <cellStyle name="Percent 2 11 5 3 2" xfId="8389" xr:uid="{00000000-0005-0000-0000-0000056E0000}"/>
    <cellStyle name="Percent 2 11 5 3 2 2" xfId="17419" xr:uid="{00000000-0005-0000-0000-0000066E0000}"/>
    <cellStyle name="Percent 2 11 5 3 2 2 2" xfId="37471" xr:uid="{00000000-0005-0000-0000-0000076E0000}"/>
    <cellStyle name="Percent 2 11 5 3 2 3" xfId="28441" xr:uid="{00000000-0005-0000-0000-0000086E0000}"/>
    <cellStyle name="Percent 2 11 5 3 3" xfId="12937" xr:uid="{00000000-0005-0000-0000-0000096E0000}"/>
    <cellStyle name="Percent 2 11 5 3 3 2" xfId="32989" xr:uid="{00000000-0005-0000-0000-00000A6E0000}"/>
    <cellStyle name="Percent 2 11 5 3 4" xfId="23959" xr:uid="{00000000-0005-0000-0000-00000B6E0000}"/>
    <cellStyle name="Percent 2 11 5 4" xfId="5401" xr:uid="{00000000-0005-0000-0000-00000C6E0000}"/>
    <cellStyle name="Percent 2 11 5 4 2" xfId="14431" xr:uid="{00000000-0005-0000-0000-00000D6E0000}"/>
    <cellStyle name="Percent 2 11 5 4 2 2" xfId="34483" xr:uid="{00000000-0005-0000-0000-00000E6E0000}"/>
    <cellStyle name="Percent 2 11 5 4 3" xfId="25453" xr:uid="{00000000-0005-0000-0000-00000F6E0000}"/>
    <cellStyle name="Percent 2 11 5 5" xfId="9949" xr:uid="{00000000-0005-0000-0000-0000106E0000}"/>
    <cellStyle name="Percent 2 11 5 5 2" xfId="30001" xr:uid="{00000000-0005-0000-0000-0000116E0000}"/>
    <cellStyle name="Percent 2 11 5 6" xfId="20971" xr:uid="{00000000-0005-0000-0000-0000126E0000}"/>
    <cellStyle name="Percent 2 11 6" xfId="1668" xr:uid="{00000000-0005-0000-0000-0000136E0000}"/>
    <cellStyle name="Percent 2 11 6 2" xfId="6150" xr:uid="{00000000-0005-0000-0000-0000146E0000}"/>
    <cellStyle name="Percent 2 11 6 2 2" xfId="15180" xr:uid="{00000000-0005-0000-0000-0000156E0000}"/>
    <cellStyle name="Percent 2 11 6 2 2 2" xfId="35232" xr:uid="{00000000-0005-0000-0000-0000166E0000}"/>
    <cellStyle name="Percent 2 11 6 2 3" xfId="26202" xr:uid="{00000000-0005-0000-0000-0000176E0000}"/>
    <cellStyle name="Percent 2 11 6 3" xfId="10698" xr:uid="{00000000-0005-0000-0000-0000186E0000}"/>
    <cellStyle name="Percent 2 11 6 3 2" xfId="30750" xr:uid="{00000000-0005-0000-0000-0000196E0000}"/>
    <cellStyle name="Percent 2 11 6 4" xfId="21720" xr:uid="{00000000-0005-0000-0000-00001A6E0000}"/>
    <cellStyle name="Percent 2 11 7" xfId="3162" xr:uid="{00000000-0005-0000-0000-00001B6E0000}"/>
    <cellStyle name="Percent 2 11 7 2" xfId="7644" xr:uid="{00000000-0005-0000-0000-00001C6E0000}"/>
    <cellStyle name="Percent 2 11 7 2 2" xfId="16674" xr:uid="{00000000-0005-0000-0000-00001D6E0000}"/>
    <cellStyle name="Percent 2 11 7 2 2 2" xfId="36726" xr:uid="{00000000-0005-0000-0000-00001E6E0000}"/>
    <cellStyle name="Percent 2 11 7 2 3" xfId="27696" xr:uid="{00000000-0005-0000-0000-00001F6E0000}"/>
    <cellStyle name="Percent 2 11 7 3" xfId="12192" xr:uid="{00000000-0005-0000-0000-0000206E0000}"/>
    <cellStyle name="Percent 2 11 7 3 2" xfId="32244" xr:uid="{00000000-0005-0000-0000-0000216E0000}"/>
    <cellStyle name="Percent 2 11 7 4" xfId="23214" xr:uid="{00000000-0005-0000-0000-0000226E0000}"/>
    <cellStyle name="Percent 2 11 8" xfId="4656" xr:uid="{00000000-0005-0000-0000-0000236E0000}"/>
    <cellStyle name="Percent 2 11 8 2" xfId="13686" xr:uid="{00000000-0005-0000-0000-0000246E0000}"/>
    <cellStyle name="Percent 2 11 8 2 2" xfId="33738" xr:uid="{00000000-0005-0000-0000-0000256E0000}"/>
    <cellStyle name="Percent 2 11 8 3" xfId="24708" xr:uid="{00000000-0005-0000-0000-0000266E0000}"/>
    <cellStyle name="Percent 2 11 9" xfId="9204" xr:uid="{00000000-0005-0000-0000-0000276E0000}"/>
    <cellStyle name="Percent 2 11 9 2" xfId="29256" xr:uid="{00000000-0005-0000-0000-0000286E0000}"/>
    <cellStyle name="Percent 2 12" xfId="197" xr:uid="{00000000-0005-0000-0000-0000296E0000}"/>
    <cellStyle name="Percent 2 12 2" xfId="942" xr:uid="{00000000-0005-0000-0000-00002A6E0000}"/>
    <cellStyle name="Percent 2 12 2 2" xfId="2436" xr:uid="{00000000-0005-0000-0000-00002B6E0000}"/>
    <cellStyle name="Percent 2 12 2 2 2" xfId="6918" xr:uid="{00000000-0005-0000-0000-00002C6E0000}"/>
    <cellStyle name="Percent 2 12 2 2 2 2" xfId="15948" xr:uid="{00000000-0005-0000-0000-00002D6E0000}"/>
    <cellStyle name="Percent 2 12 2 2 2 2 2" xfId="36000" xr:uid="{00000000-0005-0000-0000-00002E6E0000}"/>
    <cellStyle name="Percent 2 12 2 2 2 3" xfId="26970" xr:uid="{00000000-0005-0000-0000-00002F6E0000}"/>
    <cellStyle name="Percent 2 12 2 2 3" xfId="11466" xr:uid="{00000000-0005-0000-0000-0000306E0000}"/>
    <cellStyle name="Percent 2 12 2 2 3 2" xfId="31518" xr:uid="{00000000-0005-0000-0000-0000316E0000}"/>
    <cellStyle name="Percent 2 12 2 2 4" xfId="22488" xr:uid="{00000000-0005-0000-0000-0000326E0000}"/>
    <cellStyle name="Percent 2 12 2 3" xfId="3930" xr:uid="{00000000-0005-0000-0000-0000336E0000}"/>
    <cellStyle name="Percent 2 12 2 3 2" xfId="8412" xr:uid="{00000000-0005-0000-0000-0000346E0000}"/>
    <cellStyle name="Percent 2 12 2 3 2 2" xfId="17442" xr:uid="{00000000-0005-0000-0000-0000356E0000}"/>
    <cellStyle name="Percent 2 12 2 3 2 2 2" xfId="37494" xr:uid="{00000000-0005-0000-0000-0000366E0000}"/>
    <cellStyle name="Percent 2 12 2 3 2 3" xfId="28464" xr:uid="{00000000-0005-0000-0000-0000376E0000}"/>
    <cellStyle name="Percent 2 12 2 3 3" xfId="12960" xr:uid="{00000000-0005-0000-0000-0000386E0000}"/>
    <cellStyle name="Percent 2 12 2 3 3 2" xfId="33012" xr:uid="{00000000-0005-0000-0000-0000396E0000}"/>
    <cellStyle name="Percent 2 12 2 3 4" xfId="23982" xr:uid="{00000000-0005-0000-0000-00003A6E0000}"/>
    <cellStyle name="Percent 2 12 2 4" xfId="5424" xr:uid="{00000000-0005-0000-0000-00003B6E0000}"/>
    <cellStyle name="Percent 2 12 2 4 2" xfId="14454" xr:uid="{00000000-0005-0000-0000-00003C6E0000}"/>
    <cellStyle name="Percent 2 12 2 4 2 2" xfId="34506" xr:uid="{00000000-0005-0000-0000-00003D6E0000}"/>
    <cellStyle name="Percent 2 12 2 4 3" xfId="25476" xr:uid="{00000000-0005-0000-0000-00003E6E0000}"/>
    <cellStyle name="Percent 2 12 2 5" xfId="9972" xr:uid="{00000000-0005-0000-0000-00003F6E0000}"/>
    <cellStyle name="Percent 2 12 2 5 2" xfId="30024" xr:uid="{00000000-0005-0000-0000-0000406E0000}"/>
    <cellStyle name="Percent 2 12 2 6" xfId="20994" xr:uid="{00000000-0005-0000-0000-0000416E0000}"/>
    <cellStyle name="Percent 2 12 3" xfId="1691" xr:uid="{00000000-0005-0000-0000-0000426E0000}"/>
    <cellStyle name="Percent 2 12 3 2" xfId="6173" xr:uid="{00000000-0005-0000-0000-0000436E0000}"/>
    <cellStyle name="Percent 2 12 3 2 2" xfId="15203" xr:uid="{00000000-0005-0000-0000-0000446E0000}"/>
    <cellStyle name="Percent 2 12 3 2 2 2" xfId="35255" xr:uid="{00000000-0005-0000-0000-0000456E0000}"/>
    <cellStyle name="Percent 2 12 3 2 3" xfId="26225" xr:uid="{00000000-0005-0000-0000-0000466E0000}"/>
    <cellStyle name="Percent 2 12 3 3" xfId="10721" xr:uid="{00000000-0005-0000-0000-0000476E0000}"/>
    <cellStyle name="Percent 2 12 3 3 2" xfId="30773" xr:uid="{00000000-0005-0000-0000-0000486E0000}"/>
    <cellStyle name="Percent 2 12 3 4" xfId="21743" xr:uid="{00000000-0005-0000-0000-0000496E0000}"/>
    <cellStyle name="Percent 2 12 4" xfId="3185" xr:uid="{00000000-0005-0000-0000-00004A6E0000}"/>
    <cellStyle name="Percent 2 12 4 2" xfId="7667" xr:uid="{00000000-0005-0000-0000-00004B6E0000}"/>
    <cellStyle name="Percent 2 12 4 2 2" xfId="16697" xr:uid="{00000000-0005-0000-0000-00004C6E0000}"/>
    <cellStyle name="Percent 2 12 4 2 2 2" xfId="36749" xr:uid="{00000000-0005-0000-0000-00004D6E0000}"/>
    <cellStyle name="Percent 2 12 4 2 3" xfId="27719" xr:uid="{00000000-0005-0000-0000-00004E6E0000}"/>
    <cellStyle name="Percent 2 12 4 3" xfId="12215" xr:uid="{00000000-0005-0000-0000-00004F6E0000}"/>
    <cellStyle name="Percent 2 12 4 3 2" xfId="32267" xr:uid="{00000000-0005-0000-0000-0000506E0000}"/>
    <cellStyle name="Percent 2 12 4 4" xfId="23237" xr:uid="{00000000-0005-0000-0000-0000516E0000}"/>
    <cellStyle name="Percent 2 12 5" xfId="4679" xr:uid="{00000000-0005-0000-0000-0000526E0000}"/>
    <cellStyle name="Percent 2 12 5 2" xfId="13709" xr:uid="{00000000-0005-0000-0000-0000536E0000}"/>
    <cellStyle name="Percent 2 12 5 2 2" xfId="33761" xr:uid="{00000000-0005-0000-0000-0000546E0000}"/>
    <cellStyle name="Percent 2 12 5 3" xfId="24731" xr:uid="{00000000-0005-0000-0000-0000556E0000}"/>
    <cellStyle name="Percent 2 12 6" xfId="9227" xr:uid="{00000000-0005-0000-0000-0000566E0000}"/>
    <cellStyle name="Percent 2 12 6 2" xfId="29279" xr:uid="{00000000-0005-0000-0000-0000576E0000}"/>
    <cellStyle name="Percent 2 12 7" xfId="20249" xr:uid="{00000000-0005-0000-0000-0000586E0000}"/>
    <cellStyle name="Percent 2 13" xfId="383" xr:uid="{00000000-0005-0000-0000-0000596E0000}"/>
    <cellStyle name="Percent 2 13 2" xfId="1130" xr:uid="{00000000-0005-0000-0000-00005A6E0000}"/>
    <cellStyle name="Percent 2 13 2 2" xfId="2624" xr:uid="{00000000-0005-0000-0000-00005B6E0000}"/>
    <cellStyle name="Percent 2 13 2 2 2" xfId="7106" xr:uid="{00000000-0005-0000-0000-00005C6E0000}"/>
    <cellStyle name="Percent 2 13 2 2 2 2" xfId="16136" xr:uid="{00000000-0005-0000-0000-00005D6E0000}"/>
    <cellStyle name="Percent 2 13 2 2 2 2 2" xfId="36188" xr:uid="{00000000-0005-0000-0000-00005E6E0000}"/>
    <cellStyle name="Percent 2 13 2 2 2 3" xfId="27158" xr:uid="{00000000-0005-0000-0000-00005F6E0000}"/>
    <cellStyle name="Percent 2 13 2 2 3" xfId="11654" xr:uid="{00000000-0005-0000-0000-0000606E0000}"/>
    <cellStyle name="Percent 2 13 2 2 3 2" xfId="31706" xr:uid="{00000000-0005-0000-0000-0000616E0000}"/>
    <cellStyle name="Percent 2 13 2 2 4" xfId="22676" xr:uid="{00000000-0005-0000-0000-0000626E0000}"/>
    <cellStyle name="Percent 2 13 2 3" xfId="4118" xr:uid="{00000000-0005-0000-0000-0000636E0000}"/>
    <cellStyle name="Percent 2 13 2 3 2" xfId="8600" xr:uid="{00000000-0005-0000-0000-0000646E0000}"/>
    <cellStyle name="Percent 2 13 2 3 2 2" xfId="17630" xr:uid="{00000000-0005-0000-0000-0000656E0000}"/>
    <cellStyle name="Percent 2 13 2 3 2 2 2" xfId="37682" xr:uid="{00000000-0005-0000-0000-0000666E0000}"/>
    <cellStyle name="Percent 2 13 2 3 2 3" xfId="28652" xr:uid="{00000000-0005-0000-0000-0000676E0000}"/>
    <cellStyle name="Percent 2 13 2 3 3" xfId="13148" xr:uid="{00000000-0005-0000-0000-0000686E0000}"/>
    <cellStyle name="Percent 2 13 2 3 3 2" xfId="33200" xr:uid="{00000000-0005-0000-0000-0000696E0000}"/>
    <cellStyle name="Percent 2 13 2 3 4" xfId="24170" xr:uid="{00000000-0005-0000-0000-00006A6E0000}"/>
    <cellStyle name="Percent 2 13 2 4" xfId="5612" xr:uid="{00000000-0005-0000-0000-00006B6E0000}"/>
    <cellStyle name="Percent 2 13 2 4 2" xfId="14642" xr:uid="{00000000-0005-0000-0000-00006C6E0000}"/>
    <cellStyle name="Percent 2 13 2 4 2 2" xfId="34694" xr:uid="{00000000-0005-0000-0000-00006D6E0000}"/>
    <cellStyle name="Percent 2 13 2 4 3" xfId="25664" xr:uid="{00000000-0005-0000-0000-00006E6E0000}"/>
    <cellStyle name="Percent 2 13 2 5" xfId="10160" xr:uid="{00000000-0005-0000-0000-00006F6E0000}"/>
    <cellStyle name="Percent 2 13 2 5 2" xfId="30212" xr:uid="{00000000-0005-0000-0000-0000706E0000}"/>
    <cellStyle name="Percent 2 13 2 6" xfId="21182" xr:uid="{00000000-0005-0000-0000-0000716E0000}"/>
    <cellStyle name="Percent 2 13 3" xfId="1877" xr:uid="{00000000-0005-0000-0000-0000726E0000}"/>
    <cellStyle name="Percent 2 13 3 2" xfId="6359" xr:uid="{00000000-0005-0000-0000-0000736E0000}"/>
    <cellStyle name="Percent 2 13 3 2 2" xfId="15389" xr:uid="{00000000-0005-0000-0000-0000746E0000}"/>
    <cellStyle name="Percent 2 13 3 2 2 2" xfId="35441" xr:uid="{00000000-0005-0000-0000-0000756E0000}"/>
    <cellStyle name="Percent 2 13 3 2 3" xfId="26411" xr:uid="{00000000-0005-0000-0000-0000766E0000}"/>
    <cellStyle name="Percent 2 13 3 3" xfId="10907" xr:uid="{00000000-0005-0000-0000-0000776E0000}"/>
    <cellStyle name="Percent 2 13 3 3 2" xfId="30959" xr:uid="{00000000-0005-0000-0000-0000786E0000}"/>
    <cellStyle name="Percent 2 13 3 4" xfId="21929" xr:uid="{00000000-0005-0000-0000-0000796E0000}"/>
    <cellStyle name="Percent 2 13 4" xfId="3371" xr:uid="{00000000-0005-0000-0000-00007A6E0000}"/>
    <cellStyle name="Percent 2 13 4 2" xfId="7853" xr:uid="{00000000-0005-0000-0000-00007B6E0000}"/>
    <cellStyle name="Percent 2 13 4 2 2" xfId="16883" xr:uid="{00000000-0005-0000-0000-00007C6E0000}"/>
    <cellStyle name="Percent 2 13 4 2 2 2" xfId="36935" xr:uid="{00000000-0005-0000-0000-00007D6E0000}"/>
    <cellStyle name="Percent 2 13 4 2 3" xfId="27905" xr:uid="{00000000-0005-0000-0000-00007E6E0000}"/>
    <cellStyle name="Percent 2 13 4 3" xfId="12401" xr:uid="{00000000-0005-0000-0000-00007F6E0000}"/>
    <cellStyle name="Percent 2 13 4 3 2" xfId="32453" xr:uid="{00000000-0005-0000-0000-0000806E0000}"/>
    <cellStyle name="Percent 2 13 4 4" xfId="23423" xr:uid="{00000000-0005-0000-0000-0000816E0000}"/>
    <cellStyle name="Percent 2 13 5" xfId="4865" xr:uid="{00000000-0005-0000-0000-0000826E0000}"/>
    <cellStyle name="Percent 2 13 5 2" xfId="13895" xr:uid="{00000000-0005-0000-0000-0000836E0000}"/>
    <cellStyle name="Percent 2 13 5 2 2" xfId="33947" xr:uid="{00000000-0005-0000-0000-0000846E0000}"/>
    <cellStyle name="Percent 2 13 5 3" xfId="24917" xr:uid="{00000000-0005-0000-0000-0000856E0000}"/>
    <cellStyle name="Percent 2 13 6" xfId="9413" xr:uid="{00000000-0005-0000-0000-0000866E0000}"/>
    <cellStyle name="Percent 2 13 6 2" xfId="29465" xr:uid="{00000000-0005-0000-0000-0000876E0000}"/>
    <cellStyle name="Percent 2 13 7" xfId="20435" xr:uid="{00000000-0005-0000-0000-0000886E0000}"/>
    <cellStyle name="Percent 2 14" xfId="569" xr:uid="{00000000-0005-0000-0000-0000896E0000}"/>
    <cellStyle name="Percent 2 14 2" xfId="1316" xr:uid="{00000000-0005-0000-0000-00008A6E0000}"/>
    <cellStyle name="Percent 2 14 2 2" xfId="2810" xr:uid="{00000000-0005-0000-0000-00008B6E0000}"/>
    <cellStyle name="Percent 2 14 2 2 2" xfId="7292" xr:uid="{00000000-0005-0000-0000-00008C6E0000}"/>
    <cellStyle name="Percent 2 14 2 2 2 2" xfId="16322" xr:uid="{00000000-0005-0000-0000-00008D6E0000}"/>
    <cellStyle name="Percent 2 14 2 2 2 2 2" xfId="36374" xr:uid="{00000000-0005-0000-0000-00008E6E0000}"/>
    <cellStyle name="Percent 2 14 2 2 2 3" xfId="27344" xr:uid="{00000000-0005-0000-0000-00008F6E0000}"/>
    <cellStyle name="Percent 2 14 2 2 3" xfId="11840" xr:uid="{00000000-0005-0000-0000-0000906E0000}"/>
    <cellStyle name="Percent 2 14 2 2 3 2" xfId="31892" xr:uid="{00000000-0005-0000-0000-0000916E0000}"/>
    <cellStyle name="Percent 2 14 2 2 4" xfId="22862" xr:uid="{00000000-0005-0000-0000-0000926E0000}"/>
    <cellStyle name="Percent 2 14 2 3" xfId="4304" xr:uid="{00000000-0005-0000-0000-0000936E0000}"/>
    <cellStyle name="Percent 2 14 2 3 2" xfId="8786" xr:uid="{00000000-0005-0000-0000-0000946E0000}"/>
    <cellStyle name="Percent 2 14 2 3 2 2" xfId="17816" xr:uid="{00000000-0005-0000-0000-0000956E0000}"/>
    <cellStyle name="Percent 2 14 2 3 2 2 2" xfId="37868" xr:uid="{00000000-0005-0000-0000-0000966E0000}"/>
    <cellStyle name="Percent 2 14 2 3 2 3" xfId="28838" xr:uid="{00000000-0005-0000-0000-0000976E0000}"/>
    <cellStyle name="Percent 2 14 2 3 3" xfId="13334" xr:uid="{00000000-0005-0000-0000-0000986E0000}"/>
    <cellStyle name="Percent 2 14 2 3 3 2" xfId="33386" xr:uid="{00000000-0005-0000-0000-0000996E0000}"/>
    <cellStyle name="Percent 2 14 2 3 4" xfId="24356" xr:uid="{00000000-0005-0000-0000-00009A6E0000}"/>
    <cellStyle name="Percent 2 14 2 4" xfId="5798" xr:uid="{00000000-0005-0000-0000-00009B6E0000}"/>
    <cellStyle name="Percent 2 14 2 4 2" xfId="14828" xr:uid="{00000000-0005-0000-0000-00009C6E0000}"/>
    <cellStyle name="Percent 2 14 2 4 2 2" xfId="34880" xr:uid="{00000000-0005-0000-0000-00009D6E0000}"/>
    <cellStyle name="Percent 2 14 2 4 3" xfId="25850" xr:uid="{00000000-0005-0000-0000-00009E6E0000}"/>
    <cellStyle name="Percent 2 14 2 5" xfId="10346" xr:uid="{00000000-0005-0000-0000-00009F6E0000}"/>
    <cellStyle name="Percent 2 14 2 5 2" xfId="30398" xr:uid="{00000000-0005-0000-0000-0000A06E0000}"/>
    <cellStyle name="Percent 2 14 2 6" xfId="21368" xr:uid="{00000000-0005-0000-0000-0000A16E0000}"/>
    <cellStyle name="Percent 2 14 3" xfId="2063" xr:uid="{00000000-0005-0000-0000-0000A26E0000}"/>
    <cellStyle name="Percent 2 14 3 2" xfId="6545" xr:uid="{00000000-0005-0000-0000-0000A36E0000}"/>
    <cellStyle name="Percent 2 14 3 2 2" xfId="15575" xr:uid="{00000000-0005-0000-0000-0000A46E0000}"/>
    <cellStyle name="Percent 2 14 3 2 2 2" xfId="35627" xr:uid="{00000000-0005-0000-0000-0000A56E0000}"/>
    <cellStyle name="Percent 2 14 3 2 3" xfId="26597" xr:uid="{00000000-0005-0000-0000-0000A66E0000}"/>
    <cellStyle name="Percent 2 14 3 3" xfId="11093" xr:uid="{00000000-0005-0000-0000-0000A76E0000}"/>
    <cellStyle name="Percent 2 14 3 3 2" xfId="31145" xr:uid="{00000000-0005-0000-0000-0000A86E0000}"/>
    <cellStyle name="Percent 2 14 3 4" xfId="22115" xr:uid="{00000000-0005-0000-0000-0000A96E0000}"/>
    <cellStyle name="Percent 2 14 4" xfId="3557" xr:uid="{00000000-0005-0000-0000-0000AA6E0000}"/>
    <cellStyle name="Percent 2 14 4 2" xfId="8039" xr:uid="{00000000-0005-0000-0000-0000AB6E0000}"/>
    <cellStyle name="Percent 2 14 4 2 2" xfId="17069" xr:uid="{00000000-0005-0000-0000-0000AC6E0000}"/>
    <cellStyle name="Percent 2 14 4 2 2 2" xfId="37121" xr:uid="{00000000-0005-0000-0000-0000AD6E0000}"/>
    <cellStyle name="Percent 2 14 4 2 3" xfId="28091" xr:uid="{00000000-0005-0000-0000-0000AE6E0000}"/>
    <cellStyle name="Percent 2 14 4 3" xfId="12587" xr:uid="{00000000-0005-0000-0000-0000AF6E0000}"/>
    <cellStyle name="Percent 2 14 4 3 2" xfId="32639" xr:uid="{00000000-0005-0000-0000-0000B06E0000}"/>
    <cellStyle name="Percent 2 14 4 4" xfId="23609" xr:uid="{00000000-0005-0000-0000-0000B16E0000}"/>
    <cellStyle name="Percent 2 14 5" xfId="5051" xr:uid="{00000000-0005-0000-0000-0000B26E0000}"/>
    <cellStyle name="Percent 2 14 5 2" xfId="14081" xr:uid="{00000000-0005-0000-0000-0000B36E0000}"/>
    <cellStyle name="Percent 2 14 5 2 2" xfId="34133" xr:uid="{00000000-0005-0000-0000-0000B46E0000}"/>
    <cellStyle name="Percent 2 14 5 3" xfId="25103" xr:uid="{00000000-0005-0000-0000-0000B56E0000}"/>
    <cellStyle name="Percent 2 14 6" xfId="9599" xr:uid="{00000000-0005-0000-0000-0000B66E0000}"/>
    <cellStyle name="Percent 2 14 6 2" xfId="29651" xr:uid="{00000000-0005-0000-0000-0000B76E0000}"/>
    <cellStyle name="Percent 2 14 7" xfId="20621" xr:uid="{00000000-0005-0000-0000-0000B86E0000}"/>
    <cellStyle name="Percent 2 15" xfId="756" xr:uid="{00000000-0005-0000-0000-0000B96E0000}"/>
    <cellStyle name="Percent 2 15 2" xfId="2250" xr:uid="{00000000-0005-0000-0000-0000BA6E0000}"/>
    <cellStyle name="Percent 2 15 2 2" xfId="6732" xr:uid="{00000000-0005-0000-0000-0000BB6E0000}"/>
    <cellStyle name="Percent 2 15 2 2 2" xfId="15762" xr:uid="{00000000-0005-0000-0000-0000BC6E0000}"/>
    <cellStyle name="Percent 2 15 2 2 2 2" xfId="35814" xr:uid="{00000000-0005-0000-0000-0000BD6E0000}"/>
    <cellStyle name="Percent 2 15 2 2 3" xfId="26784" xr:uid="{00000000-0005-0000-0000-0000BE6E0000}"/>
    <cellStyle name="Percent 2 15 2 3" xfId="11280" xr:uid="{00000000-0005-0000-0000-0000BF6E0000}"/>
    <cellStyle name="Percent 2 15 2 3 2" xfId="31332" xr:uid="{00000000-0005-0000-0000-0000C06E0000}"/>
    <cellStyle name="Percent 2 15 2 4" xfId="22302" xr:uid="{00000000-0005-0000-0000-0000C16E0000}"/>
    <cellStyle name="Percent 2 15 3" xfId="3744" xr:uid="{00000000-0005-0000-0000-0000C26E0000}"/>
    <cellStyle name="Percent 2 15 3 2" xfId="8226" xr:uid="{00000000-0005-0000-0000-0000C36E0000}"/>
    <cellStyle name="Percent 2 15 3 2 2" xfId="17256" xr:uid="{00000000-0005-0000-0000-0000C46E0000}"/>
    <cellStyle name="Percent 2 15 3 2 2 2" xfId="37308" xr:uid="{00000000-0005-0000-0000-0000C56E0000}"/>
    <cellStyle name="Percent 2 15 3 2 3" xfId="28278" xr:uid="{00000000-0005-0000-0000-0000C66E0000}"/>
    <cellStyle name="Percent 2 15 3 3" xfId="12774" xr:uid="{00000000-0005-0000-0000-0000C76E0000}"/>
    <cellStyle name="Percent 2 15 3 3 2" xfId="32826" xr:uid="{00000000-0005-0000-0000-0000C86E0000}"/>
    <cellStyle name="Percent 2 15 3 4" xfId="23796" xr:uid="{00000000-0005-0000-0000-0000C96E0000}"/>
    <cellStyle name="Percent 2 15 4" xfId="5238" xr:uid="{00000000-0005-0000-0000-0000CA6E0000}"/>
    <cellStyle name="Percent 2 15 4 2" xfId="14268" xr:uid="{00000000-0005-0000-0000-0000CB6E0000}"/>
    <cellStyle name="Percent 2 15 4 2 2" xfId="34320" xr:uid="{00000000-0005-0000-0000-0000CC6E0000}"/>
    <cellStyle name="Percent 2 15 4 3" xfId="25290" xr:uid="{00000000-0005-0000-0000-0000CD6E0000}"/>
    <cellStyle name="Percent 2 15 5" xfId="9786" xr:uid="{00000000-0005-0000-0000-0000CE6E0000}"/>
    <cellStyle name="Percent 2 15 5 2" xfId="29838" xr:uid="{00000000-0005-0000-0000-0000CF6E0000}"/>
    <cellStyle name="Percent 2 15 6" xfId="20808" xr:uid="{00000000-0005-0000-0000-0000D06E0000}"/>
    <cellStyle name="Percent 2 16" xfId="1505" xr:uid="{00000000-0005-0000-0000-0000D16E0000}"/>
    <cellStyle name="Percent 2 16 2" xfId="5987" xr:uid="{00000000-0005-0000-0000-0000D26E0000}"/>
    <cellStyle name="Percent 2 16 2 2" xfId="15017" xr:uid="{00000000-0005-0000-0000-0000D36E0000}"/>
    <cellStyle name="Percent 2 16 2 2 2" xfId="35069" xr:uid="{00000000-0005-0000-0000-0000D46E0000}"/>
    <cellStyle name="Percent 2 16 2 3" xfId="26039" xr:uid="{00000000-0005-0000-0000-0000D56E0000}"/>
    <cellStyle name="Percent 2 16 3" xfId="10535" xr:uid="{00000000-0005-0000-0000-0000D66E0000}"/>
    <cellStyle name="Percent 2 16 3 2" xfId="30587" xr:uid="{00000000-0005-0000-0000-0000D76E0000}"/>
    <cellStyle name="Percent 2 16 4" xfId="21557" xr:uid="{00000000-0005-0000-0000-0000D86E0000}"/>
    <cellStyle name="Percent 2 17" xfId="2999" xr:uid="{00000000-0005-0000-0000-0000D96E0000}"/>
    <cellStyle name="Percent 2 17 2" xfId="7481" xr:uid="{00000000-0005-0000-0000-0000DA6E0000}"/>
    <cellStyle name="Percent 2 17 2 2" xfId="16511" xr:uid="{00000000-0005-0000-0000-0000DB6E0000}"/>
    <cellStyle name="Percent 2 17 2 2 2" xfId="36563" xr:uid="{00000000-0005-0000-0000-0000DC6E0000}"/>
    <cellStyle name="Percent 2 17 2 3" xfId="27533" xr:uid="{00000000-0005-0000-0000-0000DD6E0000}"/>
    <cellStyle name="Percent 2 17 3" xfId="12029" xr:uid="{00000000-0005-0000-0000-0000DE6E0000}"/>
    <cellStyle name="Percent 2 17 3 2" xfId="32081" xr:uid="{00000000-0005-0000-0000-0000DF6E0000}"/>
    <cellStyle name="Percent 2 17 4" xfId="23051" xr:uid="{00000000-0005-0000-0000-0000E06E0000}"/>
    <cellStyle name="Percent 2 18" xfId="4493" xr:uid="{00000000-0005-0000-0000-0000E16E0000}"/>
    <cellStyle name="Percent 2 18 2" xfId="13523" xr:uid="{00000000-0005-0000-0000-0000E26E0000}"/>
    <cellStyle name="Percent 2 18 2 2" xfId="33575" xr:uid="{00000000-0005-0000-0000-0000E36E0000}"/>
    <cellStyle name="Percent 2 18 3" xfId="24545" xr:uid="{00000000-0005-0000-0000-0000E46E0000}"/>
    <cellStyle name="Percent 2 19" xfId="9041" xr:uid="{00000000-0005-0000-0000-0000E56E0000}"/>
    <cellStyle name="Percent 2 19 2" xfId="29093" xr:uid="{00000000-0005-0000-0000-0000E66E0000}"/>
    <cellStyle name="Percent 2 2" xfId="13" xr:uid="{00000000-0005-0000-0000-0000E76E0000}"/>
    <cellStyle name="Percent 2 20" xfId="20065" xr:uid="{00000000-0005-0000-0000-0000E86E0000}"/>
    <cellStyle name="Percent 2 3" xfId="17" xr:uid="{00000000-0005-0000-0000-0000E96E0000}"/>
    <cellStyle name="Percent 2 3 10" xfId="202" xr:uid="{00000000-0005-0000-0000-0000EA6E0000}"/>
    <cellStyle name="Percent 2 3 10 2" xfId="947" xr:uid="{00000000-0005-0000-0000-0000EB6E0000}"/>
    <cellStyle name="Percent 2 3 10 2 2" xfId="2441" xr:uid="{00000000-0005-0000-0000-0000EC6E0000}"/>
    <cellStyle name="Percent 2 3 10 2 2 2" xfId="6923" xr:uid="{00000000-0005-0000-0000-0000ED6E0000}"/>
    <cellStyle name="Percent 2 3 10 2 2 2 2" xfId="15953" xr:uid="{00000000-0005-0000-0000-0000EE6E0000}"/>
    <cellStyle name="Percent 2 3 10 2 2 2 2 2" xfId="36005" xr:uid="{00000000-0005-0000-0000-0000EF6E0000}"/>
    <cellStyle name="Percent 2 3 10 2 2 2 3" xfId="26975" xr:uid="{00000000-0005-0000-0000-0000F06E0000}"/>
    <cellStyle name="Percent 2 3 10 2 2 3" xfId="11471" xr:uid="{00000000-0005-0000-0000-0000F16E0000}"/>
    <cellStyle name="Percent 2 3 10 2 2 3 2" xfId="31523" xr:uid="{00000000-0005-0000-0000-0000F26E0000}"/>
    <cellStyle name="Percent 2 3 10 2 2 4" xfId="22493" xr:uid="{00000000-0005-0000-0000-0000F36E0000}"/>
    <cellStyle name="Percent 2 3 10 2 3" xfId="3935" xr:uid="{00000000-0005-0000-0000-0000F46E0000}"/>
    <cellStyle name="Percent 2 3 10 2 3 2" xfId="8417" xr:uid="{00000000-0005-0000-0000-0000F56E0000}"/>
    <cellStyle name="Percent 2 3 10 2 3 2 2" xfId="17447" xr:uid="{00000000-0005-0000-0000-0000F66E0000}"/>
    <cellStyle name="Percent 2 3 10 2 3 2 2 2" xfId="37499" xr:uid="{00000000-0005-0000-0000-0000F76E0000}"/>
    <cellStyle name="Percent 2 3 10 2 3 2 3" xfId="28469" xr:uid="{00000000-0005-0000-0000-0000F86E0000}"/>
    <cellStyle name="Percent 2 3 10 2 3 3" xfId="12965" xr:uid="{00000000-0005-0000-0000-0000F96E0000}"/>
    <cellStyle name="Percent 2 3 10 2 3 3 2" xfId="33017" xr:uid="{00000000-0005-0000-0000-0000FA6E0000}"/>
    <cellStyle name="Percent 2 3 10 2 3 4" xfId="23987" xr:uid="{00000000-0005-0000-0000-0000FB6E0000}"/>
    <cellStyle name="Percent 2 3 10 2 4" xfId="5429" xr:uid="{00000000-0005-0000-0000-0000FC6E0000}"/>
    <cellStyle name="Percent 2 3 10 2 4 2" xfId="14459" xr:uid="{00000000-0005-0000-0000-0000FD6E0000}"/>
    <cellStyle name="Percent 2 3 10 2 4 2 2" xfId="34511" xr:uid="{00000000-0005-0000-0000-0000FE6E0000}"/>
    <cellStyle name="Percent 2 3 10 2 4 3" xfId="25481" xr:uid="{00000000-0005-0000-0000-0000FF6E0000}"/>
    <cellStyle name="Percent 2 3 10 2 5" xfId="9977" xr:uid="{00000000-0005-0000-0000-0000006F0000}"/>
    <cellStyle name="Percent 2 3 10 2 5 2" xfId="30029" xr:uid="{00000000-0005-0000-0000-0000016F0000}"/>
    <cellStyle name="Percent 2 3 10 2 6" xfId="20999" xr:uid="{00000000-0005-0000-0000-0000026F0000}"/>
    <cellStyle name="Percent 2 3 10 3" xfId="1696" xr:uid="{00000000-0005-0000-0000-0000036F0000}"/>
    <cellStyle name="Percent 2 3 10 3 2" xfId="6178" xr:uid="{00000000-0005-0000-0000-0000046F0000}"/>
    <cellStyle name="Percent 2 3 10 3 2 2" xfId="15208" xr:uid="{00000000-0005-0000-0000-0000056F0000}"/>
    <cellStyle name="Percent 2 3 10 3 2 2 2" xfId="35260" xr:uid="{00000000-0005-0000-0000-0000066F0000}"/>
    <cellStyle name="Percent 2 3 10 3 2 3" xfId="26230" xr:uid="{00000000-0005-0000-0000-0000076F0000}"/>
    <cellStyle name="Percent 2 3 10 3 3" xfId="10726" xr:uid="{00000000-0005-0000-0000-0000086F0000}"/>
    <cellStyle name="Percent 2 3 10 3 3 2" xfId="30778" xr:uid="{00000000-0005-0000-0000-0000096F0000}"/>
    <cellStyle name="Percent 2 3 10 3 4" xfId="21748" xr:uid="{00000000-0005-0000-0000-00000A6F0000}"/>
    <cellStyle name="Percent 2 3 10 4" xfId="3190" xr:uid="{00000000-0005-0000-0000-00000B6F0000}"/>
    <cellStyle name="Percent 2 3 10 4 2" xfId="7672" xr:uid="{00000000-0005-0000-0000-00000C6F0000}"/>
    <cellStyle name="Percent 2 3 10 4 2 2" xfId="16702" xr:uid="{00000000-0005-0000-0000-00000D6F0000}"/>
    <cellStyle name="Percent 2 3 10 4 2 2 2" xfId="36754" xr:uid="{00000000-0005-0000-0000-00000E6F0000}"/>
    <cellStyle name="Percent 2 3 10 4 2 3" xfId="27724" xr:uid="{00000000-0005-0000-0000-00000F6F0000}"/>
    <cellStyle name="Percent 2 3 10 4 3" xfId="12220" xr:uid="{00000000-0005-0000-0000-0000106F0000}"/>
    <cellStyle name="Percent 2 3 10 4 3 2" xfId="32272" xr:uid="{00000000-0005-0000-0000-0000116F0000}"/>
    <cellStyle name="Percent 2 3 10 4 4" xfId="23242" xr:uid="{00000000-0005-0000-0000-0000126F0000}"/>
    <cellStyle name="Percent 2 3 10 5" xfId="4684" xr:uid="{00000000-0005-0000-0000-0000136F0000}"/>
    <cellStyle name="Percent 2 3 10 5 2" xfId="13714" xr:uid="{00000000-0005-0000-0000-0000146F0000}"/>
    <cellStyle name="Percent 2 3 10 5 2 2" xfId="33766" xr:uid="{00000000-0005-0000-0000-0000156F0000}"/>
    <cellStyle name="Percent 2 3 10 5 3" xfId="24736" xr:uid="{00000000-0005-0000-0000-0000166F0000}"/>
    <cellStyle name="Percent 2 3 10 6" xfId="9232" xr:uid="{00000000-0005-0000-0000-0000176F0000}"/>
    <cellStyle name="Percent 2 3 10 6 2" xfId="29284" xr:uid="{00000000-0005-0000-0000-0000186F0000}"/>
    <cellStyle name="Percent 2 3 10 7" xfId="20254" xr:uid="{00000000-0005-0000-0000-0000196F0000}"/>
    <cellStyle name="Percent 2 3 11" xfId="388" xr:uid="{00000000-0005-0000-0000-00001A6F0000}"/>
    <cellStyle name="Percent 2 3 11 2" xfId="1135" xr:uid="{00000000-0005-0000-0000-00001B6F0000}"/>
    <cellStyle name="Percent 2 3 11 2 2" xfId="2629" xr:uid="{00000000-0005-0000-0000-00001C6F0000}"/>
    <cellStyle name="Percent 2 3 11 2 2 2" xfId="7111" xr:uid="{00000000-0005-0000-0000-00001D6F0000}"/>
    <cellStyle name="Percent 2 3 11 2 2 2 2" xfId="16141" xr:uid="{00000000-0005-0000-0000-00001E6F0000}"/>
    <cellStyle name="Percent 2 3 11 2 2 2 2 2" xfId="36193" xr:uid="{00000000-0005-0000-0000-00001F6F0000}"/>
    <cellStyle name="Percent 2 3 11 2 2 2 3" xfId="27163" xr:uid="{00000000-0005-0000-0000-0000206F0000}"/>
    <cellStyle name="Percent 2 3 11 2 2 3" xfId="11659" xr:uid="{00000000-0005-0000-0000-0000216F0000}"/>
    <cellStyle name="Percent 2 3 11 2 2 3 2" xfId="31711" xr:uid="{00000000-0005-0000-0000-0000226F0000}"/>
    <cellStyle name="Percent 2 3 11 2 2 4" xfId="22681" xr:uid="{00000000-0005-0000-0000-0000236F0000}"/>
    <cellStyle name="Percent 2 3 11 2 3" xfId="4123" xr:uid="{00000000-0005-0000-0000-0000246F0000}"/>
    <cellStyle name="Percent 2 3 11 2 3 2" xfId="8605" xr:uid="{00000000-0005-0000-0000-0000256F0000}"/>
    <cellStyle name="Percent 2 3 11 2 3 2 2" xfId="17635" xr:uid="{00000000-0005-0000-0000-0000266F0000}"/>
    <cellStyle name="Percent 2 3 11 2 3 2 2 2" xfId="37687" xr:uid="{00000000-0005-0000-0000-0000276F0000}"/>
    <cellStyle name="Percent 2 3 11 2 3 2 3" xfId="28657" xr:uid="{00000000-0005-0000-0000-0000286F0000}"/>
    <cellStyle name="Percent 2 3 11 2 3 3" xfId="13153" xr:uid="{00000000-0005-0000-0000-0000296F0000}"/>
    <cellStyle name="Percent 2 3 11 2 3 3 2" xfId="33205" xr:uid="{00000000-0005-0000-0000-00002A6F0000}"/>
    <cellStyle name="Percent 2 3 11 2 3 4" xfId="24175" xr:uid="{00000000-0005-0000-0000-00002B6F0000}"/>
    <cellStyle name="Percent 2 3 11 2 4" xfId="5617" xr:uid="{00000000-0005-0000-0000-00002C6F0000}"/>
    <cellStyle name="Percent 2 3 11 2 4 2" xfId="14647" xr:uid="{00000000-0005-0000-0000-00002D6F0000}"/>
    <cellStyle name="Percent 2 3 11 2 4 2 2" xfId="34699" xr:uid="{00000000-0005-0000-0000-00002E6F0000}"/>
    <cellStyle name="Percent 2 3 11 2 4 3" xfId="25669" xr:uid="{00000000-0005-0000-0000-00002F6F0000}"/>
    <cellStyle name="Percent 2 3 11 2 5" xfId="10165" xr:uid="{00000000-0005-0000-0000-0000306F0000}"/>
    <cellStyle name="Percent 2 3 11 2 5 2" xfId="30217" xr:uid="{00000000-0005-0000-0000-0000316F0000}"/>
    <cellStyle name="Percent 2 3 11 2 6" xfId="21187" xr:uid="{00000000-0005-0000-0000-0000326F0000}"/>
    <cellStyle name="Percent 2 3 11 3" xfId="1882" xr:uid="{00000000-0005-0000-0000-0000336F0000}"/>
    <cellStyle name="Percent 2 3 11 3 2" xfId="6364" xr:uid="{00000000-0005-0000-0000-0000346F0000}"/>
    <cellStyle name="Percent 2 3 11 3 2 2" xfId="15394" xr:uid="{00000000-0005-0000-0000-0000356F0000}"/>
    <cellStyle name="Percent 2 3 11 3 2 2 2" xfId="35446" xr:uid="{00000000-0005-0000-0000-0000366F0000}"/>
    <cellStyle name="Percent 2 3 11 3 2 3" xfId="26416" xr:uid="{00000000-0005-0000-0000-0000376F0000}"/>
    <cellStyle name="Percent 2 3 11 3 3" xfId="10912" xr:uid="{00000000-0005-0000-0000-0000386F0000}"/>
    <cellStyle name="Percent 2 3 11 3 3 2" xfId="30964" xr:uid="{00000000-0005-0000-0000-0000396F0000}"/>
    <cellStyle name="Percent 2 3 11 3 4" xfId="21934" xr:uid="{00000000-0005-0000-0000-00003A6F0000}"/>
    <cellStyle name="Percent 2 3 11 4" xfId="3376" xr:uid="{00000000-0005-0000-0000-00003B6F0000}"/>
    <cellStyle name="Percent 2 3 11 4 2" xfId="7858" xr:uid="{00000000-0005-0000-0000-00003C6F0000}"/>
    <cellStyle name="Percent 2 3 11 4 2 2" xfId="16888" xr:uid="{00000000-0005-0000-0000-00003D6F0000}"/>
    <cellStyle name="Percent 2 3 11 4 2 2 2" xfId="36940" xr:uid="{00000000-0005-0000-0000-00003E6F0000}"/>
    <cellStyle name="Percent 2 3 11 4 2 3" xfId="27910" xr:uid="{00000000-0005-0000-0000-00003F6F0000}"/>
    <cellStyle name="Percent 2 3 11 4 3" xfId="12406" xr:uid="{00000000-0005-0000-0000-0000406F0000}"/>
    <cellStyle name="Percent 2 3 11 4 3 2" xfId="32458" xr:uid="{00000000-0005-0000-0000-0000416F0000}"/>
    <cellStyle name="Percent 2 3 11 4 4" xfId="23428" xr:uid="{00000000-0005-0000-0000-0000426F0000}"/>
    <cellStyle name="Percent 2 3 11 5" xfId="4870" xr:uid="{00000000-0005-0000-0000-0000436F0000}"/>
    <cellStyle name="Percent 2 3 11 5 2" xfId="13900" xr:uid="{00000000-0005-0000-0000-0000446F0000}"/>
    <cellStyle name="Percent 2 3 11 5 2 2" xfId="33952" xr:uid="{00000000-0005-0000-0000-0000456F0000}"/>
    <cellStyle name="Percent 2 3 11 5 3" xfId="24922" xr:uid="{00000000-0005-0000-0000-0000466F0000}"/>
    <cellStyle name="Percent 2 3 11 6" xfId="9418" xr:uid="{00000000-0005-0000-0000-0000476F0000}"/>
    <cellStyle name="Percent 2 3 11 6 2" xfId="29470" xr:uid="{00000000-0005-0000-0000-0000486F0000}"/>
    <cellStyle name="Percent 2 3 11 7" xfId="20440" xr:uid="{00000000-0005-0000-0000-0000496F0000}"/>
    <cellStyle name="Percent 2 3 12" xfId="574" xr:uid="{00000000-0005-0000-0000-00004A6F0000}"/>
    <cellStyle name="Percent 2 3 12 2" xfId="1321" xr:uid="{00000000-0005-0000-0000-00004B6F0000}"/>
    <cellStyle name="Percent 2 3 12 2 2" xfId="2815" xr:uid="{00000000-0005-0000-0000-00004C6F0000}"/>
    <cellStyle name="Percent 2 3 12 2 2 2" xfId="7297" xr:uid="{00000000-0005-0000-0000-00004D6F0000}"/>
    <cellStyle name="Percent 2 3 12 2 2 2 2" xfId="16327" xr:uid="{00000000-0005-0000-0000-00004E6F0000}"/>
    <cellStyle name="Percent 2 3 12 2 2 2 2 2" xfId="36379" xr:uid="{00000000-0005-0000-0000-00004F6F0000}"/>
    <cellStyle name="Percent 2 3 12 2 2 2 3" xfId="27349" xr:uid="{00000000-0005-0000-0000-0000506F0000}"/>
    <cellStyle name="Percent 2 3 12 2 2 3" xfId="11845" xr:uid="{00000000-0005-0000-0000-0000516F0000}"/>
    <cellStyle name="Percent 2 3 12 2 2 3 2" xfId="31897" xr:uid="{00000000-0005-0000-0000-0000526F0000}"/>
    <cellStyle name="Percent 2 3 12 2 2 4" xfId="22867" xr:uid="{00000000-0005-0000-0000-0000536F0000}"/>
    <cellStyle name="Percent 2 3 12 2 3" xfId="4309" xr:uid="{00000000-0005-0000-0000-0000546F0000}"/>
    <cellStyle name="Percent 2 3 12 2 3 2" xfId="8791" xr:uid="{00000000-0005-0000-0000-0000556F0000}"/>
    <cellStyle name="Percent 2 3 12 2 3 2 2" xfId="17821" xr:uid="{00000000-0005-0000-0000-0000566F0000}"/>
    <cellStyle name="Percent 2 3 12 2 3 2 2 2" xfId="37873" xr:uid="{00000000-0005-0000-0000-0000576F0000}"/>
    <cellStyle name="Percent 2 3 12 2 3 2 3" xfId="28843" xr:uid="{00000000-0005-0000-0000-0000586F0000}"/>
    <cellStyle name="Percent 2 3 12 2 3 3" xfId="13339" xr:uid="{00000000-0005-0000-0000-0000596F0000}"/>
    <cellStyle name="Percent 2 3 12 2 3 3 2" xfId="33391" xr:uid="{00000000-0005-0000-0000-00005A6F0000}"/>
    <cellStyle name="Percent 2 3 12 2 3 4" xfId="24361" xr:uid="{00000000-0005-0000-0000-00005B6F0000}"/>
    <cellStyle name="Percent 2 3 12 2 4" xfId="5803" xr:uid="{00000000-0005-0000-0000-00005C6F0000}"/>
    <cellStyle name="Percent 2 3 12 2 4 2" xfId="14833" xr:uid="{00000000-0005-0000-0000-00005D6F0000}"/>
    <cellStyle name="Percent 2 3 12 2 4 2 2" xfId="34885" xr:uid="{00000000-0005-0000-0000-00005E6F0000}"/>
    <cellStyle name="Percent 2 3 12 2 4 3" xfId="25855" xr:uid="{00000000-0005-0000-0000-00005F6F0000}"/>
    <cellStyle name="Percent 2 3 12 2 5" xfId="10351" xr:uid="{00000000-0005-0000-0000-0000606F0000}"/>
    <cellStyle name="Percent 2 3 12 2 5 2" xfId="30403" xr:uid="{00000000-0005-0000-0000-0000616F0000}"/>
    <cellStyle name="Percent 2 3 12 2 6" xfId="21373" xr:uid="{00000000-0005-0000-0000-0000626F0000}"/>
    <cellStyle name="Percent 2 3 12 3" xfId="2068" xr:uid="{00000000-0005-0000-0000-0000636F0000}"/>
    <cellStyle name="Percent 2 3 12 3 2" xfId="6550" xr:uid="{00000000-0005-0000-0000-0000646F0000}"/>
    <cellStyle name="Percent 2 3 12 3 2 2" xfId="15580" xr:uid="{00000000-0005-0000-0000-0000656F0000}"/>
    <cellStyle name="Percent 2 3 12 3 2 2 2" xfId="35632" xr:uid="{00000000-0005-0000-0000-0000666F0000}"/>
    <cellStyle name="Percent 2 3 12 3 2 3" xfId="26602" xr:uid="{00000000-0005-0000-0000-0000676F0000}"/>
    <cellStyle name="Percent 2 3 12 3 3" xfId="11098" xr:uid="{00000000-0005-0000-0000-0000686F0000}"/>
    <cellStyle name="Percent 2 3 12 3 3 2" xfId="31150" xr:uid="{00000000-0005-0000-0000-0000696F0000}"/>
    <cellStyle name="Percent 2 3 12 3 4" xfId="22120" xr:uid="{00000000-0005-0000-0000-00006A6F0000}"/>
    <cellStyle name="Percent 2 3 12 4" xfId="3562" xr:uid="{00000000-0005-0000-0000-00006B6F0000}"/>
    <cellStyle name="Percent 2 3 12 4 2" xfId="8044" xr:uid="{00000000-0005-0000-0000-00006C6F0000}"/>
    <cellStyle name="Percent 2 3 12 4 2 2" xfId="17074" xr:uid="{00000000-0005-0000-0000-00006D6F0000}"/>
    <cellStyle name="Percent 2 3 12 4 2 2 2" xfId="37126" xr:uid="{00000000-0005-0000-0000-00006E6F0000}"/>
    <cellStyle name="Percent 2 3 12 4 2 3" xfId="28096" xr:uid="{00000000-0005-0000-0000-00006F6F0000}"/>
    <cellStyle name="Percent 2 3 12 4 3" xfId="12592" xr:uid="{00000000-0005-0000-0000-0000706F0000}"/>
    <cellStyle name="Percent 2 3 12 4 3 2" xfId="32644" xr:uid="{00000000-0005-0000-0000-0000716F0000}"/>
    <cellStyle name="Percent 2 3 12 4 4" xfId="23614" xr:uid="{00000000-0005-0000-0000-0000726F0000}"/>
    <cellStyle name="Percent 2 3 12 5" xfId="5056" xr:uid="{00000000-0005-0000-0000-0000736F0000}"/>
    <cellStyle name="Percent 2 3 12 5 2" xfId="14086" xr:uid="{00000000-0005-0000-0000-0000746F0000}"/>
    <cellStyle name="Percent 2 3 12 5 2 2" xfId="34138" xr:uid="{00000000-0005-0000-0000-0000756F0000}"/>
    <cellStyle name="Percent 2 3 12 5 3" xfId="25108" xr:uid="{00000000-0005-0000-0000-0000766F0000}"/>
    <cellStyle name="Percent 2 3 12 6" xfId="9604" xr:uid="{00000000-0005-0000-0000-0000776F0000}"/>
    <cellStyle name="Percent 2 3 12 6 2" xfId="29656" xr:uid="{00000000-0005-0000-0000-0000786F0000}"/>
    <cellStyle name="Percent 2 3 12 7" xfId="20626" xr:uid="{00000000-0005-0000-0000-0000796F0000}"/>
    <cellStyle name="Percent 2 3 13" xfId="761" xr:uid="{00000000-0005-0000-0000-00007A6F0000}"/>
    <cellStyle name="Percent 2 3 13 2" xfId="2255" xr:uid="{00000000-0005-0000-0000-00007B6F0000}"/>
    <cellStyle name="Percent 2 3 13 2 2" xfId="6737" xr:uid="{00000000-0005-0000-0000-00007C6F0000}"/>
    <cellStyle name="Percent 2 3 13 2 2 2" xfId="15767" xr:uid="{00000000-0005-0000-0000-00007D6F0000}"/>
    <cellStyle name="Percent 2 3 13 2 2 2 2" xfId="35819" xr:uid="{00000000-0005-0000-0000-00007E6F0000}"/>
    <cellStyle name="Percent 2 3 13 2 2 3" xfId="26789" xr:uid="{00000000-0005-0000-0000-00007F6F0000}"/>
    <cellStyle name="Percent 2 3 13 2 3" xfId="11285" xr:uid="{00000000-0005-0000-0000-0000806F0000}"/>
    <cellStyle name="Percent 2 3 13 2 3 2" xfId="31337" xr:uid="{00000000-0005-0000-0000-0000816F0000}"/>
    <cellStyle name="Percent 2 3 13 2 4" xfId="22307" xr:uid="{00000000-0005-0000-0000-0000826F0000}"/>
    <cellStyle name="Percent 2 3 13 3" xfId="3749" xr:uid="{00000000-0005-0000-0000-0000836F0000}"/>
    <cellStyle name="Percent 2 3 13 3 2" xfId="8231" xr:uid="{00000000-0005-0000-0000-0000846F0000}"/>
    <cellStyle name="Percent 2 3 13 3 2 2" xfId="17261" xr:uid="{00000000-0005-0000-0000-0000856F0000}"/>
    <cellStyle name="Percent 2 3 13 3 2 2 2" xfId="37313" xr:uid="{00000000-0005-0000-0000-0000866F0000}"/>
    <cellStyle name="Percent 2 3 13 3 2 3" xfId="28283" xr:uid="{00000000-0005-0000-0000-0000876F0000}"/>
    <cellStyle name="Percent 2 3 13 3 3" xfId="12779" xr:uid="{00000000-0005-0000-0000-0000886F0000}"/>
    <cellStyle name="Percent 2 3 13 3 3 2" xfId="32831" xr:uid="{00000000-0005-0000-0000-0000896F0000}"/>
    <cellStyle name="Percent 2 3 13 3 4" xfId="23801" xr:uid="{00000000-0005-0000-0000-00008A6F0000}"/>
    <cellStyle name="Percent 2 3 13 4" xfId="5243" xr:uid="{00000000-0005-0000-0000-00008B6F0000}"/>
    <cellStyle name="Percent 2 3 13 4 2" xfId="14273" xr:uid="{00000000-0005-0000-0000-00008C6F0000}"/>
    <cellStyle name="Percent 2 3 13 4 2 2" xfId="34325" xr:uid="{00000000-0005-0000-0000-00008D6F0000}"/>
    <cellStyle name="Percent 2 3 13 4 3" xfId="25295" xr:uid="{00000000-0005-0000-0000-00008E6F0000}"/>
    <cellStyle name="Percent 2 3 13 5" xfId="9791" xr:uid="{00000000-0005-0000-0000-00008F6F0000}"/>
    <cellStyle name="Percent 2 3 13 5 2" xfId="29843" xr:uid="{00000000-0005-0000-0000-0000906F0000}"/>
    <cellStyle name="Percent 2 3 13 6" xfId="20813" xr:uid="{00000000-0005-0000-0000-0000916F0000}"/>
    <cellStyle name="Percent 2 3 14" xfId="1510" xr:uid="{00000000-0005-0000-0000-0000926F0000}"/>
    <cellStyle name="Percent 2 3 14 2" xfId="5992" xr:uid="{00000000-0005-0000-0000-0000936F0000}"/>
    <cellStyle name="Percent 2 3 14 2 2" xfId="15022" xr:uid="{00000000-0005-0000-0000-0000946F0000}"/>
    <cellStyle name="Percent 2 3 14 2 2 2" xfId="35074" xr:uid="{00000000-0005-0000-0000-0000956F0000}"/>
    <cellStyle name="Percent 2 3 14 2 3" xfId="26044" xr:uid="{00000000-0005-0000-0000-0000966F0000}"/>
    <cellStyle name="Percent 2 3 14 3" xfId="10540" xr:uid="{00000000-0005-0000-0000-0000976F0000}"/>
    <cellStyle name="Percent 2 3 14 3 2" xfId="30592" xr:uid="{00000000-0005-0000-0000-0000986F0000}"/>
    <cellStyle name="Percent 2 3 14 4" xfId="21562" xr:uid="{00000000-0005-0000-0000-0000996F0000}"/>
    <cellStyle name="Percent 2 3 15" xfId="3004" xr:uid="{00000000-0005-0000-0000-00009A6F0000}"/>
    <cellStyle name="Percent 2 3 15 2" xfId="7486" xr:uid="{00000000-0005-0000-0000-00009B6F0000}"/>
    <cellStyle name="Percent 2 3 15 2 2" xfId="16516" xr:uid="{00000000-0005-0000-0000-00009C6F0000}"/>
    <cellStyle name="Percent 2 3 15 2 2 2" xfId="36568" xr:uid="{00000000-0005-0000-0000-00009D6F0000}"/>
    <cellStyle name="Percent 2 3 15 2 3" xfId="27538" xr:uid="{00000000-0005-0000-0000-00009E6F0000}"/>
    <cellStyle name="Percent 2 3 15 3" xfId="12034" xr:uid="{00000000-0005-0000-0000-00009F6F0000}"/>
    <cellStyle name="Percent 2 3 15 3 2" xfId="32086" xr:uid="{00000000-0005-0000-0000-0000A06F0000}"/>
    <cellStyle name="Percent 2 3 15 4" xfId="23056" xr:uid="{00000000-0005-0000-0000-0000A16F0000}"/>
    <cellStyle name="Percent 2 3 16" xfId="4498" xr:uid="{00000000-0005-0000-0000-0000A26F0000}"/>
    <cellStyle name="Percent 2 3 16 2" xfId="13528" xr:uid="{00000000-0005-0000-0000-0000A36F0000}"/>
    <cellStyle name="Percent 2 3 16 2 2" xfId="33580" xr:uid="{00000000-0005-0000-0000-0000A46F0000}"/>
    <cellStyle name="Percent 2 3 16 3" xfId="24550" xr:uid="{00000000-0005-0000-0000-0000A56F0000}"/>
    <cellStyle name="Percent 2 3 17" xfId="9046" xr:uid="{00000000-0005-0000-0000-0000A66F0000}"/>
    <cellStyle name="Percent 2 3 17 2" xfId="29098" xr:uid="{00000000-0005-0000-0000-0000A76F0000}"/>
    <cellStyle name="Percent 2 3 18" xfId="20069" xr:uid="{00000000-0005-0000-0000-0000A86F0000}"/>
    <cellStyle name="Percent 2 3 2" xfId="26" xr:uid="{00000000-0005-0000-0000-0000A96F0000}"/>
    <cellStyle name="Percent 2 3 2 10" xfId="398" xr:uid="{00000000-0005-0000-0000-0000AA6F0000}"/>
    <cellStyle name="Percent 2 3 2 10 2" xfId="1145" xr:uid="{00000000-0005-0000-0000-0000AB6F0000}"/>
    <cellStyle name="Percent 2 3 2 10 2 2" xfId="2639" xr:uid="{00000000-0005-0000-0000-0000AC6F0000}"/>
    <cellStyle name="Percent 2 3 2 10 2 2 2" xfId="7121" xr:uid="{00000000-0005-0000-0000-0000AD6F0000}"/>
    <cellStyle name="Percent 2 3 2 10 2 2 2 2" xfId="16151" xr:uid="{00000000-0005-0000-0000-0000AE6F0000}"/>
    <cellStyle name="Percent 2 3 2 10 2 2 2 2 2" xfId="36203" xr:uid="{00000000-0005-0000-0000-0000AF6F0000}"/>
    <cellStyle name="Percent 2 3 2 10 2 2 2 3" xfId="27173" xr:uid="{00000000-0005-0000-0000-0000B06F0000}"/>
    <cellStyle name="Percent 2 3 2 10 2 2 3" xfId="11669" xr:uid="{00000000-0005-0000-0000-0000B16F0000}"/>
    <cellStyle name="Percent 2 3 2 10 2 2 3 2" xfId="31721" xr:uid="{00000000-0005-0000-0000-0000B26F0000}"/>
    <cellStyle name="Percent 2 3 2 10 2 2 4" xfId="22691" xr:uid="{00000000-0005-0000-0000-0000B36F0000}"/>
    <cellStyle name="Percent 2 3 2 10 2 3" xfId="4133" xr:uid="{00000000-0005-0000-0000-0000B46F0000}"/>
    <cellStyle name="Percent 2 3 2 10 2 3 2" xfId="8615" xr:uid="{00000000-0005-0000-0000-0000B56F0000}"/>
    <cellStyle name="Percent 2 3 2 10 2 3 2 2" xfId="17645" xr:uid="{00000000-0005-0000-0000-0000B66F0000}"/>
    <cellStyle name="Percent 2 3 2 10 2 3 2 2 2" xfId="37697" xr:uid="{00000000-0005-0000-0000-0000B76F0000}"/>
    <cellStyle name="Percent 2 3 2 10 2 3 2 3" xfId="28667" xr:uid="{00000000-0005-0000-0000-0000B86F0000}"/>
    <cellStyle name="Percent 2 3 2 10 2 3 3" xfId="13163" xr:uid="{00000000-0005-0000-0000-0000B96F0000}"/>
    <cellStyle name="Percent 2 3 2 10 2 3 3 2" xfId="33215" xr:uid="{00000000-0005-0000-0000-0000BA6F0000}"/>
    <cellStyle name="Percent 2 3 2 10 2 3 4" xfId="24185" xr:uid="{00000000-0005-0000-0000-0000BB6F0000}"/>
    <cellStyle name="Percent 2 3 2 10 2 4" xfId="5627" xr:uid="{00000000-0005-0000-0000-0000BC6F0000}"/>
    <cellStyle name="Percent 2 3 2 10 2 4 2" xfId="14657" xr:uid="{00000000-0005-0000-0000-0000BD6F0000}"/>
    <cellStyle name="Percent 2 3 2 10 2 4 2 2" xfId="34709" xr:uid="{00000000-0005-0000-0000-0000BE6F0000}"/>
    <cellStyle name="Percent 2 3 2 10 2 4 3" xfId="25679" xr:uid="{00000000-0005-0000-0000-0000BF6F0000}"/>
    <cellStyle name="Percent 2 3 2 10 2 5" xfId="10175" xr:uid="{00000000-0005-0000-0000-0000C06F0000}"/>
    <cellStyle name="Percent 2 3 2 10 2 5 2" xfId="30227" xr:uid="{00000000-0005-0000-0000-0000C16F0000}"/>
    <cellStyle name="Percent 2 3 2 10 2 6" xfId="21197" xr:uid="{00000000-0005-0000-0000-0000C26F0000}"/>
    <cellStyle name="Percent 2 3 2 10 3" xfId="1892" xr:uid="{00000000-0005-0000-0000-0000C36F0000}"/>
    <cellStyle name="Percent 2 3 2 10 3 2" xfId="6374" xr:uid="{00000000-0005-0000-0000-0000C46F0000}"/>
    <cellStyle name="Percent 2 3 2 10 3 2 2" xfId="15404" xr:uid="{00000000-0005-0000-0000-0000C56F0000}"/>
    <cellStyle name="Percent 2 3 2 10 3 2 2 2" xfId="35456" xr:uid="{00000000-0005-0000-0000-0000C66F0000}"/>
    <cellStyle name="Percent 2 3 2 10 3 2 3" xfId="26426" xr:uid="{00000000-0005-0000-0000-0000C76F0000}"/>
    <cellStyle name="Percent 2 3 2 10 3 3" xfId="10922" xr:uid="{00000000-0005-0000-0000-0000C86F0000}"/>
    <cellStyle name="Percent 2 3 2 10 3 3 2" xfId="30974" xr:uid="{00000000-0005-0000-0000-0000C96F0000}"/>
    <cellStyle name="Percent 2 3 2 10 3 4" xfId="21944" xr:uid="{00000000-0005-0000-0000-0000CA6F0000}"/>
    <cellStyle name="Percent 2 3 2 10 4" xfId="3386" xr:uid="{00000000-0005-0000-0000-0000CB6F0000}"/>
    <cellStyle name="Percent 2 3 2 10 4 2" xfId="7868" xr:uid="{00000000-0005-0000-0000-0000CC6F0000}"/>
    <cellStyle name="Percent 2 3 2 10 4 2 2" xfId="16898" xr:uid="{00000000-0005-0000-0000-0000CD6F0000}"/>
    <cellStyle name="Percent 2 3 2 10 4 2 2 2" xfId="36950" xr:uid="{00000000-0005-0000-0000-0000CE6F0000}"/>
    <cellStyle name="Percent 2 3 2 10 4 2 3" xfId="27920" xr:uid="{00000000-0005-0000-0000-0000CF6F0000}"/>
    <cellStyle name="Percent 2 3 2 10 4 3" xfId="12416" xr:uid="{00000000-0005-0000-0000-0000D06F0000}"/>
    <cellStyle name="Percent 2 3 2 10 4 3 2" xfId="32468" xr:uid="{00000000-0005-0000-0000-0000D16F0000}"/>
    <cellStyle name="Percent 2 3 2 10 4 4" xfId="23438" xr:uid="{00000000-0005-0000-0000-0000D26F0000}"/>
    <cellStyle name="Percent 2 3 2 10 5" xfId="4880" xr:uid="{00000000-0005-0000-0000-0000D36F0000}"/>
    <cellStyle name="Percent 2 3 2 10 5 2" xfId="13910" xr:uid="{00000000-0005-0000-0000-0000D46F0000}"/>
    <cellStyle name="Percent 2 3 2 10 5 2 2" xfId="33962" xr:uid="{00000000-0005-0000-0000-0000D56F0000}"/>
    <cellStyle name="Percent 2 3 2 10 5 3" xfId="24932" xr:uid="{00000000-0005-0000-0000-0000D66F0000}"/>
    <cellStyle name="Percent 2 3 2 10 6" xfId="9428" xr:uid="{00000000-0005-0000-0000-0000D76F0000}"/>
    <cellStyle name="Percent 2 3 2 10 6 2" xfId="29480" xr:uid="{00000000-0005-0000-0000-0000D86F0000}"/>
    <cellStyle name="Percent 2 3 2 10 7" xfId="20450" xr:uid="{00000000-0005-0000-0000-0000D96F0000}"/>
    <cellStyle name="Percent 2 3 2 11" xfId="584" xr:uid="{00000000-0005-0000-0000-0000DA6F0000}"/>
    <cellStyle name="Percent 2 3 2 11 2" xfId="1331" xr:uid="{00000000-0005-0000-0000-0000DB6F0000}"/>
    <cellStyle name="Percent 2 3 2 11 2 2" xfId="2825" xr:uid="{00000000-0005-0000-0000-0000DC6F0000}"/>
    <cellStyle name="Percent 2 3 2 11 2 2 2" xfId="7307" xr:uid="{00000000-0005-0000-0000-0000DD6F0000}"/>
    <cellStyle name="Percent 2 3 2 11 2 2 2 2" xfId="16337" xr:uid="{00000000-0005-0000-0000-0000DE6F0000}"/>
    <cellStyle name="Percent 2 3 2 11 2 2 2 2 2" xfId="36389" xr:uid="{00000000-0005-0000-0000-0000DF6F0000}"/>
    <cellStyle name="Percent 2 3 2 11 2 2 2 3" xfId="27359" xr:uid="{00000000-0005-0000-0000-0000E06F0000}"/>
    <cellStyle name="Percent 2 3 2 11 2 2 3" xfId="11855" xr:uid="{00000000-0005-0000-0000-0000E16F0000}"/>
    <cellStyle name="Percent 2 3 2 11 2 2 3 2" xfId="31907" xr:uid="{00000000-0005-0000-0000-0000E26F0000}"/>
    <cellStyle name="Percent 2 3 2 11 2 2 4" xfId="22877" xr:uid="{00000000-0005-0000-0000-0000E36F0000}"/>
    <cellStyle name="Percent 2 3 2 11 2 3" xfId="4319" xr:uid="{00000000-0005-0000-0000-0000E46F0000}"/>
    <cellStyle name="Percent 2 3 2 11 2 3 2" xfId="8801" xr:uid="{00000000-0005-0000-0000-0000E56F0000}"/>
    <cellStyle name="Percent 2 3 2 11 2 3 2 2" xfId="17831" xr:uid="{00000000-0005-0000-0000-0000E66F0000}"/>
    <cellStyle name="Percent 2 3 2 11 2 3 2 2 2" xfId="37883" xr:uid="{00000000-0005-0000-0000-0000E76F0000}"/>
    <cellStyle name="Percent 2 3 2 11 2 3 2 3" xfId="28853" xr:uid="{00000000-0005-0000-0000-0000E86F0000}"/>
    <cellStyle name="Percent 2 3 2 11 2 3 3" xfId="13349" xr:uid="{00000000-0005-0000-0000-0000E96F0000}"/>
    <cellStyle name="Percent 2 3 2 11 2 3 3 2" xfId="33401" xr:uid="{00000000-0005-0000-0000-0000EA6F0000}"/>
    <cellStyle name="Percent 2 3 2 11 2 3 4" xfId="24371" xr:uid="{00000000-0005-0000-0000-0000EB6F0000}"/>
    <cellStyle name="Percent 2 3 2 11 2 4" xfId="5813" xr:uid="{00000000-0005-0000-0000-0000EC6F0000}"/>
    <cellStyle name="Percent 2 3 2 11 2 4 2" xfId="14843" xr:uid="{00000000-0005-0000-0000-0000ED6F0000}"/>
    <cellStyle name="Percent 2 3 2 11 2 4 2 2" xfId="34895" xr:uid="{00000000-0005-0000-0000-0000EE6F0000}"/>
    <cellStyle name="Percent 2 3 2 11 2 4 3" xfId="25865" xr:uid="{00000000-0005-0000-0000-0000EF6F0000}"/>
    <cellStyle name="Percent 2 3 2 11 2 5" xfId="10361" xr:uid="{00000000-0005-0000-0000-0000F06F0000}"/>
    <cellStyle name="Percent 2 3 2 11 2 5 2" xfId="30413" xr:uid="{00000000-0005-0000-0000-0000F16F0000}"/>
    <cellStyle name="Percent 2 3 2 11 2 6" xfId="21383" xr:uid="{00000000-0005-0000-0000-0000F26F0000}"/>
    <cellStyle name="Percent 2 3 2 11 3" xfId="2078" xr:uid="{00000000-0005-0000-0000-0000F36F0000}"/>
    <cellStyle name="Percent 2 3 2 11 3 2" xfId="6560" xr:uid="{00000000-0005-0000-0000-0000F46F0000}"/>
    <cellStyle name="Percent 2 3 2 11 3 2 2" xfId="15590" xr:uid="{00000000-0005-0000-0000-0000F56F0000}"/>
    <cellStyle name="Percent 2 3 2 11 3 2 2 2" xfId="35642" xr:uid="{00000000-0005-0000-0000-0000F66F0000}"/>
    <cellStyle name="Percent 2 3 2 11 3 2 3" xfId="26612" xr:uid="{00000000-0005-0000-0000-0000F76F0000}"/>
    <cellStyle name="Percent 2 3 2 11 3 3" xfId="11108" xr:uid="{00000000-0005-0000-0000-0000F86F0000}"/>
    <cellStyle name="Percent 2 3 2 11 3 3 2" xfId="31160" xr:uid="{00000000-0005-0000-0000-0000F96F0000}"/>
    <cellStyle name="Percent 2 3 2 11 3 4" xfId="22130" xr:uid="{00000000-0005-0000-0000-0000FA6F0000}"/>
    <cellStyle name="Percent 2 3 2 11 4" xfId="3572" xr:uid="{00000000-0005-0000-0000-0000FB6F0000}"/>
    <cellStyle name="Percent 2 3 2 11 4 2" xfId="8054" xr:uid="{00000000-0005-0000-0000-0000FC6F0000}"/>
    <cellStyle name="Percent 2 3 2 11 4 2 2" xfId="17084" xr:uid="{00000000-0005-0000-0000-0000FD6F0000}"/>
    <cellStyle name="Percent 2 3 2 11 4 2 2 2" xfId="37136" xr:uid="{00000000-0005-0000-0000-0000FE6F0000}"/>
    <cellStyle name="Percent 2 3 2 11 4 2 3" xfId="28106" xr:uid="{00000000-0005-0000-0000-0000FF6F0000}"/>
    <cellStyle name="Percent 2 3 2 11 4 3" xfId="12602" xr:uid="{00000000-0005-0000-0000-000000700000}"/>
    <cellStyle name="Percent 2 3 2 11 4 3 2" xfId="32654" xr:uid="{00000000-0005-0000-0000-000001700000}"/>
    <cellStyle name="Percent 2 3 2 11 4 4" xfId="23624" xr:uid="{00000000-0005-0000-0000-000002700000}"/>
    <cellStyle name="Percent 2 3 2 11 5" xfId="5066" xr:uid="{00000000-0005-0000-0000-000003700000}"/>
    <cellStyle name="Percent 2 3 2 11 5 2" xfId="14096" xr:uid="{00000000-0005-0000-0000-000004700000}"/>
    <cellStyle name="Percent 2 3 2 11 5 2 2" xfId="34148" xr:uid="{00000000-0005-0000-0000-000005700000}"/>
    <cellStyle name="Percent 2 3 2 11 5 3" xfId="25118" xr:uid="{00000000-0005-0000-0000-000006700000}"/>
    <cellStyle name="Percent 2 3 2 11 6" xfId="9614" xr:uid="{00000000-0005-0000-0000-000007700000}"/>
    <cellStyle name="Percent 2 3 2 11 6 2" xfId="29666" xr:uid="{00000000-0005-0000-0000-000008700000}"/>
    <cellStyle name="Percent 2 3 2 11 7" xfId="20636" xr:uid="{00000000-0005-0000-0000-000009700000}"/>
    <cellStyle name="Percent 2 3 2 12" xfId="771" xr:uid="{00000000-0005-0000-0000-00000A700000}"/>
    <cellStyle name="Percent 2 3 2 12 2" xfId="2265" xr:uid="{00000000-0005-0000-0000-00000B700000}"/>
    <cellStyle name="Percent 2 3 2 12 2 2" xfId="6747" xr:uid="{00000000-0005-0000-0000-00000C700000}"/>
    <cellStyle name="Percent 2 3 2 12 2 2 2" xfId="15777" xr:uid="{00000000-0005-0000-0000-00000D700000}"/>
    <cellStyle name="Percent 2 3 2 12 2 2 2 2" xfId="35829" xr:uid="{00000000-0005-0000-0000-00000E700000}"/>
    <cellStyle name="Percent 2 3 2 12 2 2 3" xfId="26799" xr:uid="{00000000-0005-0000-0000-00000F700000}"/>
    <cellStyle name="Percent 2 3 2 12 2 3" xfId="11295" xr:uid="{00000000-0005-0000-0000-000010700000}"/>
    <cellStyle name="Percent 2 3 2 12 2 3 2" xfId="31347" xr:uid="{00000000-0005-0000-0000-000011700000}"/>
    <cellStyle name="Percent 2 3 2 12 2 4" xfId="22317" xr:uid="{00000000-0005-0000-0000-000012700000}"/>
    <cellStyle name="Percent 2 3 2 12 3" xfId="3759" xr:uid="{00000000-0005-0000-0000-000013700000}"/>
    <cellStyle name="Percent 2 3 2 12 3 2" xfId="8241" xr:uid="{00000000-0005-0000-0000-000014700000}"/>
    <cellStyle name="Percent 2 3 2 12 3 2 2" xfId="17271" xr:uid="{00000000-0005-0000-0000-000015700000}"/>
    <cellStyle name="Percent 2 3 2 12 3 2 2 2" xfId="37323" xr:uid="{00000000-0005-0000-0000-000016700000}"/>
    <cellStyle name="Percent 2 3 2 12 3 2 3" xfId="28293" xr:uid="{00000000-0005-0000-0000-000017700000}"/>
    <cellStyle name="Percent 2 3 2 12 3 3" xfId="12789" xr:uid="{00000000-0005-0000-0000-000018700000}"/>
    <cellStyle name="Percent 2 3 2 12 3 3 2" xfId="32841" xr:uid="{00000000-0005-0000-0000-000019700000}"/>
    <cellStyle name="Percent 2 3 2 12 3 4" xfId="23811" xr:uid="{00000000-0005-0000-0000-00001A700000}"/>
    <cellStyle name="Percent 2 3 2 12 4" xfId="5253" xr:uid="{00000000-0005-0000-0000-00001B700000}"/>
    <cellStyle name="Percent 2 3 2 12 4 2" xfId="14283" xr:uid="{00000000-0005-0000-0000-00001C700000}"/>
    <cellStyle name="Percent 2 3 2 12 4 2 2" xfId="34335" xr:uid="{00000000-0005-0000-0000-00001D700000}"/>
    <cellStyle name="Percent 2 3 2 12 4 3" xfId="25305" xr:uid="{00000000-0005-0000-0000-00001E700000}"/>
    <cellStyle name="Percent 2 3 2 12 5" xfId="9801" xr:uid="{00000000-0005-0000-0000-00001F700000}"/>
    <cellStyle name="Percent 2 3 2 12 5 2" xfId="29853" xr:uid="{00000000-0005-0000-0000-000020700000}"/>
    <cellStyle name="Percent 2 3 2 12 6" xfId="20823" xr:uid="{00000000-0005-0000-0000-000021700000}"/>
    <cellStyle name="Percent 2 3 2 13" xfId="1520" xr:uid="{00000000-0005-0000-0000-000022700000}"/>
    <cellStyle name="Percent 2 3 2 13 2" xfId="6002" xr:uid="{00000000-0005-0000-0000-000023700000}"/>
    <cellStyle name="Percent 2 3 2 13 2 2" xfId="15032" xr:uid="{00000000-0005-0000-0000-000024700000}"/>
    <cellStyle name="Percent 2 3 2 13 2 2 2" xfId="35084" xr:uid="{00000000-0005-0000-0000-000025700000}"/>
    <cellStyle name="Percent 2 3 2 13 2 3" xfId="26054" xr:uid="{00000000-0005-0000-0000-000026700000}"/>
    <cellStyle name="Percent 2 3 2 13 3" xfId="10550" xr:uid="{00000000-0005-0000-0000-000027700000}"/>
    <cellStyle name="Percent 2 3 2 13 3 2" xfId="30602" xr:uid="{00000000-0005-0000-0000-000028700000}"/>
    <cellStyle name="Percent 2 3 2 13 4" xfId="21572" xr:uid="{00000000-0005-0000-0000-000029700000}"/>
    <cellStyle name="Percent 2 3 2 14" xfId="3014" xr:uid="{00000000-0005-0000-0000-00002A700000}"/>
    <cellStyle name="Percent 2 3 2 14 2" xfId="7496" xr:uid="{00000000-0005-0000-0000-00002B700000}"/>
    <cellStyle name="Percent 2 3 2 14 2 2" xfId="16526" xr:uid="{00000000-0005-0000-0000-00002C700000}"/>
    <cellStyle name="Percent 2 3 2 14 2 2 2" xfId="36578" xr:uid="{00000000-0005-0000-0000-00002D700000}"/>
    <cellStyle name="Percent 2 3 2 14 2 3" xfId="27548" xr:uid="{00000000-0005-0000-0000-00002E700000}"/>
    <cellStyle name="Percent 2 3 2 14 3" xfId="12044" xr:uid="{00000000-0005-0000-0000-00002F700000}"/>
    <cellStyle name="Percent 2 3 2 14 3 2" xfId="32096" xr:uid="{00000000-0005-0000-0000-000030700000}"/>
    <cellStyle name="Percent 2 3 2 14 4" xfId="23066" xr:uid="{00000000-0005-0000-0000-000031700000}"/>
    <cellStyle name="Percent 2 3 2 15" xfId="4508" xr:uid="{00000000-0005-0000-0000-000032700000}"/>
    <cellStyle name="Percent 2 3 2 15 2" xfId="13538" xr:uid="{00000000-0005-0000-0000-000033700000}"/>
    <cellStyle name="Percent 2 3 2 15 2 2" xfId="33590" xr:uid="{00000000-0005-0000-0000-000034700000}"/>
    <cellStyle name="Percent 2 3 2 15 3" xfId="24560" xr:uid="{00000000-0005-0000-0000-000035700000}"/>
    <cellStyle name="Percent 2 3 2 16" xfId="9056" xr:uid="{00000000-0005-0000-0000-000036700000}"/>
    <cellStyle name="Percent 2 3 2 16 2" xfId="29108" xr:uid="{00000000-0005-0000-0000-000037700000}"/>
    <cellStyle name="Percent 2 3 2 17" xfId="20078" xr:uid="{00000000-0005-0000-0000-000038700000}"/>
    <cellStyle name="Percent 2 3 2 2" xfId="49" xr:uid="{00000000-0005-0000-0000-000039700000}"/>
    <cellStyle name="Percent 2 3 2 2 10" xfId="20101" xr:uid="{00000000-0005-0000-0000-00003A700000}"/>
    <cellStyle name="Percent 2 3 2 2 2" xfId="235" xr:uid="{00000000-0005-0000-0000-00003B700000}"/>
    <cellStyle name="Percent 2 3 2 2 2 2" xfId="980" xr:uid="{00000000-0005-0000-0000-00003C700000}"/>
    <cellStyle name="Percent 2 3 2 2 2 2 2" xfId="2474" xr:uid="{00000000-0005-0000-0000-00003D700000}"/>
    <cellStyle name="Percent 2 3 2 2 2 2 2 2" xfId="6956" xr:uid="{00000000-0005-0000-0000-00003E700000}"/>
    <cellStyle name="Percent 2 3 2 2 2 2 2 2 2" xfId="15986" xr:uid="{00000000-0005-0000-0000-00003F700000}"/>
    <cellStyle name="Percent 2 3 2 2 2 2 2 2 2 2" xfId="36038" xr:uid="{00000000-0005-0000-0000-000040700000}"/>
    <cellStyle name="Percent 2 3 2 2 2 2 2 2 3" xfId="27008" xr:uid="{00000000-0005-0000-0000-000041700000}"/>
    <cellStyle name="Percent 2 3 2 2 2 2 2 3" xfId="11504" xr:uid="{00000000-0005-0000-0000-000042700000}"/>
    <cellStyle name="Percent 2 3 2 2 2 2 2 3 2" xfId="31556" xr:uid="{00000000-0005-0000-0000-000043700000}"/>
    <cellStyle name="Percent 2 3 2 2 2 2 2 4" xfId="22526" xr:uid="{00000000-0005-0000-0000-000044700000}"/>
    <cellStyle name="Percent 2 3 2 2 2 2 3" xfId="3968" xr:uid="{00000000-0005-0000-0000-000045700000}"/>
    <cellStyle name="Percent 2 3 2 2 2 2 3 2" xfId="8450" xr:uid="{00000000-0005-0000-0000-000046700000}"/>
    <cellStyle name="Percent 2 3 2 2 2 2 3 2 2" xfId="17480" xr:uid="{00000000-0005-0000-0000-000047700000}"/>
    <cellStyle name="Percent 2 3 2 2 2 2 3 2 2 2" xfId="37532" xr:uid="{00000000-0005-0000-0000-000048700000}"/>
    <cellStyle name="Percent 2 3 2 2 2 2 3 2 3" xfId="28502" xr:uid="{00000000-0005-0000-0000-000049700000}"/>
    <cellStyle name="Percent 2 3 2 2 2 2 3 3" xfId="12998" xr:uid="{00000000-0005-0000-0000-00004A700000}"/>
    <cellStyle name="Percent 2 3 2 2 2 2 3 3 2" xfId="33050" xr:uid="{00000000-0005-0000-0000-00004B700000}"/>
    <cellStyle name="Percent 2 3 2 2 2 2 3 4" xfId="24020" xr:uid="{00000000-0005-0000-0000-00004C700000}"/>
    <cellStyle name="Percent 2 3 2 2 2 2 4" xfId="5462" xr:uid="{00000000-0005-0000-0000-00004D700000}"/>
    <cellStyle name="Percent 2 3 2 2 2 2 4 2" xfId="14492" xr:uid="{00000000-0005-0000-0000-00004E700000}"/>
    <cellStyle name="Percent 2 3 2 2 2 2 4 2 2" xfId="34544" xr:uid="{00000000-0005-0000-0000-00004F700000}"/>
    <cellStyle name="Percent 2 3 2 2 2 2 4 3" xfId="25514" xr:uid="{00000000-0005-0000-0000-000050700000}"/>
    <cellStyle name="Percent 2 3 2 2 2 2 5" xfId="10010" xr:uid="{00000000-0005-0000-0000-000051700000}"/>
    <cellStyle name="Percent 2 3 2 2 2 2 5 2" xfId="30062" xr:uid="{00000000-0005-0000-0000-000052700000}"/>
    <cellStyle name="Percent 2 3 2 2 2 2 6" xfId="21032" xr:uid="{00000000-0005-0000-0000-000053700000}"/>
    <cellStyle name="Percent 2 3 2 2 2 3" xfId="1729" xr:uid="{00000000-0005-0000-0000-000054700000}"/>
    <cellStyle name="Percent 2 3 2 2 2 3 2" xfId="6211" xr:uid="{00000000-0005-0000-0000-000055700000}"/>
    <cellStyle name="Percent 2 3 2 2 2 3 2 2" xfId="15241" xr:uid="{00000000-0005-0000-0000-000056700000}"/>
    <cellStyle name="Percent 2 3 2 2 2 3 2 2 2" xfId="35293" xr:uid="{00000000-0005-0000-0000-000057700000}"/>
    <cellStyle name="Percent 2 3 2 2 2 3 2 3" xfId="26263" xr:uid="{00000000-0005-0000-0000-000058700000}"/>
    <cellStyle name="Percent 2 3 2 2 2 3 3" xfId="10759" xr:uid="{00000000-0005-0000-0000-000059700000}"/>
    <cellStyle name="Percent 2 3 2 2 2 3 3 2" xfId="30811" xr:uid="{00000000-0005-0000-0000-00005A700000}"/>
    <cellStyle name="Percent 2 3 2 2 2 3 4" xfId="21781" xr:uid="{00000000-0005-0000-0000-00005B700000}"/>
    <cellStyle name="Percent 2 3 2 2 2 4" xfId="3223" xr:uid="{00000000-0005-0000-0000-00005C700000}"/>
    <cellStyle name="Percent 2 3 2 2 2 4 2" xfId="7705" xr:uid="{00000000-0005-0000-0000-00005D700000}"/>
    <cellStyle name="Percent 2 3 2 2 2 4 2 2" xfId="16735" xr:uid="{00000000-0005-0000-0000-00005E700000}"/>
    <cellStyle name="Percent 2 3 2 2 2 4 2 2 2" xfId="36787" xr:uid="{00000000-0005-0000-0000-00005F700000}"/>
    <cellStyle name="Percent 2 3 2 2 2 4 2 3" xfId="27757" xr:uid="{00000000-0005-0000-0000-000060700000}"/>
    <cellStyle name="Percent 2 3 2 2 2 4 3" xfId="12253" xr:uid="{00000000-0005-0000-0000-000061700000}"/>
    <cellStyle name="Percent 2 3 2 2 2 4 3 2" xfId="32305" xr:uid="{00000000-0005-0000-0000-000062700000}"/>
    <cellStyle name="Percent 2 3 2 2 2 4 4" xfId="23275" xr:uid="{00000000-0005-0000-0000-000063700000}"/>
    <cellStyle name="Percent 2 3 2 2 2 5" xfId="4717" xr:uid="{00000000-0005-0000-0000-000064700000}"/>
    <cellStyle name="Percent 2 3 2 2 2 5 2" xfId="13747" xr:uid="{00000000-0005-0000-0000-000065700000}"/>
    <cellStyle name="Percent 2 3 2 2 2 5 2 2" xfId="33799" xr:uid="{00000000-0005-0000-0000-000066700000}"/>
    <cellStyle name="Percent 2 3 2 2 2 5 3" xfId="24769" xr:uid="{00000000-0005-0000-0000-000067700000}"/>
    <cellStyle name="Percent 2 3 2 2 2 6" xfId="9265" xr:uid="{00000000-0005-0000-0000-000068700000}"/>
    <cellStyle name="Percent 2 3 2 2 2 6 2" xfId="29317" xr:uid="{00000000-0005-0000-0000-000069700000}"/>
    <cellStyle name="Percent 2 3 2 2 2 7" xfId="20287" xr:uid="{00000000-0005-0000-0000-00006A700000}"/>
    <cellStyle name="Percent 2 3 2 2 3" xfId="421" xr:uid="{00000000-0005-0000-0000-00006B700000}"/>
    <cellStyle name="Percent 2 3 2 2 3 2" xfId="1168" xr:uid="{00000000-0005-0000-0000-00006C700000}"/>
    <cellStyle name="Percent 2 3 2 2 3 2 2" xfId="2662" xr:uid="{00000000-0005-0000-0000-00006D700000}"/>
    <cellStyle name="Percent 2 3 2 2 3 2 2 2" xfId="7144" xr:uid="{00000000-0005-0000-0000-00006E700000}"/>
    <cellStyle name="Percent 2 3 2 2 3 2 2 2 2" xfId="16174" xr:uid="{00000000-0005-0000-0000-00006F700000}"/>
    <cellStyle name="Percent 2 3 2 2 3 2 2 2 2 2" xfId="36226" xr:uid="{00000000-0005-0000-0000-000070700000}"/>
    <cellStyle name="Percent 2 3 2 2 3 2 2 2 3" xfId="27196" xr:uid="{00000000-0005-0000-0000-000071700000}"/>
    <cellStyle name="Percent 2 3 2 2 3 2 2 3" xfId="11692" xr:uid="{00000000-0005-0000-0000-000072700000}"/>
    <cellStyle name="Percent 2 3 2 2 3 2 2 3 2" xfId="31744" xr:uid="{00000000-0005-0000-0000-000073700000}"/>
    <cellStyle name="Percent 2 3 2 2 3 2 2 4" xfId="22714" xr:uid="{00000000-0005-0000-0000-000074700000}"/>
    <cellStyle name="Percent 2 3 2 2 3 2 3" xfId="4156" xr:uid="{00000000-0005-0000-0000-000075700000}"/>
    <cellStyle name="Percent 2 3 2 2 3 2 3 2" xfId="8638" xr:uid="{00000000-0005-0000-0000-000076700000}"/>
    <cellStyle name="Percent 2 3 2 2 3 2 3 2 2" xfId="17668" xr:uid="{00000000-0005-0000-0000-000077700000}"/>
    <cellStyle name="Percent 2 3 2 2 3 2 3 2 2 2" xfId="37720" xr:uid="{00000000-0005-0000-0000-000078700000}"/>
    <cellStyle name="Percent 2 3 2 2 3 2 3 2 3" xfId="28690" xr:uid="{00000000-0005-0000-0000-000079700000}"/>
    <cellStyle name="Percent 2 3 2 2 3 2 3 3" xfId="13186" xr:uid="{00000000-0005-0000-0000-00007A700000}"/>
    <cellStyle name="Percent 2 3 2 2 3 2 3 3 2" xfId="33238" xr:uid="{00000000-0005-0000-0000-00007B700000}"/>
    <cellStyle name="Percent 2 3 2 2 3 2 3 4" xfId="24208" xr:uid="{00000000-0005-0000-0000-00007C700000}"/>
    <cellStyle name="Percent 2 3 2 2 3 2 4" xfId="5650" xr:uid="{00000000-0005-0000-0000-00007D700000}"/>
    <cellStyle name="Percent 2 3 2 2 3 2 4 2" xfId="14680" xr:uid="{00000000-0005-0000-0000-00007E700000}"/>
    <cellStyle name="Percent 2 3 2 2 3 2 4 2 2" xfId="34732" xr:uid="{00000000-0005-0000-0000-00007F700000}"/>
    <cellStyle name="Percent 2 3 2 2 3 2 4 3" xfId="25702" xr:uid="{00000000-0005-0000-0000-000080700000}"/>
    <cellStyle name="Percent 2 3 2 2 3 2 5" xfId="10198" xr:uid="{00000000-0005-0000-0000-000081700000}"/>
    <cellStyle name="Percent 2 3 2 2 3 2 5 2" xfId="30250" xr:uid="{00000000-0005-0000-0000-000082700000}"/>
    <cellStyle name="Percent 2 3 2 2 3 2 6" xfId="21220" xr:uid="{00000000-0005-0000-0000-000083700000}"/>
    <cellStyle name="Percent 2 3 2 2 3 3" xfId="1915" xr:uid="{00000000-0005-0000-0000-000084700000}"/>
    <cellStyle name="Percent 2 3 2 2 3 3 2" xfId="6397" xr:uid="{00000000-0005-0000-0000-000085700000}"/>
    <cellStyle name="Percent 2 3 2 2 3 3 2 2" xfId="15427" xr:uid="{00000000-0005-0000-0000-000086700000}"/>
    <cellStyle name="Percent 2 3 2 2 3 3 2 2 2" xfId="35479" xr:uid="{00000000-0005-0000-0000-000087700000}"/>
    <cellStyle name="Percent 2 3 2 2 3 3 2 3" xfId="26449" xr:uid="{00000000-0005-0000-0000-000088700000}"/>
    <cellStyle name="Percent 2 3 2 2 3 3 3" xfId="10945" xr:uid="{00000000-0005-0000-0000-000089700000}"/>
    <cellStyle name="Percent 2 3 2 2 3 3 3 2" xfId="30997" xr:uid="{00000000-0005-0000-0000-00008A700000}"/>
    <cellStyle name="Percent 2 3 2 2 3 3 4" xfId="21967" xr:uid="{00000000-0005-0000-0000-00008B700000}"/>
    <cellStyle name="Percent 2 3 2 2 3 4" xfId="3409" xr:uid="{00000000-0005-0000-0000-00008C700000}"/>
    <cellStyle name="Percent 2 3 2 2 3 4 2" xfId="7891" xr:uid="{00000000-0005-0000-0000-00008D700000}"/>
    <cellStyle name="Percent 2 3 2 2 3 4 2 2" xfId="16921" xr:uid="{00000000-0005-0000-0000-00008E700000}"/>
    <cellStyle name="Percent 2 3 2 2 3 4 2 2 2" xfId="36973" xr:uid="{00000000-0005-0000-0000-00008F700000}"/>
    <cellStyle name="Percent 2 3 2 2 3 4 2 3" xfId="27943" xr:uid="{00000000-0005-0000-0000-000090700000}"/>
    <cellStyle name="Percent 2 3 2 2 3 4 3" xfId="12439" xr:uid="{00000000-0005-0000-0000-000091700000}"/>
    <cellStyle name="Percent 2 3 2 2 3 4 3 2" xfId="32491" xr:uid="{00000000-0005-0000-0000-000092700000}"/>
    <cellStyle name="Percent 2 3 2 2 3 4 4" xfId="23461" xr:uid="{00000000-0005-0000-0000-000093700000}"/>
    <cellStyle name="Percent 2 3 2 2 3 5" xfId="4903" xr:uid="{00000000-0005-0000-0000-000094700000}"/>
    <cellStyle name="Percent 2 3 2 2 3 5 2" xfId="13933" xr:uid="{00000000-0005-0000-0000-000095700000}"/>
    <cellStyle name="Percent 2 3 2 2 3 5 2 2" xfId="33985" xr:uid="{00000000-0005-0000-0000-000096700000}"/>
    <cellStyle name="Percent 2 3 2 2 3 5 3" xfId="24955" xr:uid="{00000000-0005-0000-0000-000097700000}"/>
    <cellStyle name="Percent 2 3 2 2 3 6" xfId="9451" xr:uid="{00000000-0005-0000-0000-000098700000}"/>
    <cellStyle name="Percent 2 3 2 2 3 6 2" xfId="29503" xr:uid="{00000000-0005-0000-0000-000099700000}"/>
    <cellStyle name="Percent 2 3 2 2 3 7" xfId="20473" xr:uid="{00000000-0005-0000-0000-00009A700000}"/>
    <cellStyle name="Percent 2 3 2 2 4" xfId="607" xr:uid="{00000000-0005-0000-0000-00009B700000}"/>
    <cellStyle name="Percent 2 3 2 2 4 2" xfId="1354" xr:uid="{00000000-0005-0000-0000-00009C700000}"/>
    <cellStyle name="Percent 2 3 2 2 4 2 2" xfId="2848" xr:uid="{00000000-0005-0000-0000-00009D700000}"/>
    <cellStyle name="Percent 2 3 2 2 4 2 2 2" xfId="7330" xr:uid="{00000000-0005-0000-0000-00009E700000}"/>
    <cellStyle name="Percent 2 3 2 2 4 2 2 2 2" xfId="16360" xr:uid="{00000000-0005-0000-0000-00009F700000}"/>
    <cellStyle name="Percent 2 3 2 2 4 2 2 2 2 2" xfId="36412" xr:uid="{00000000-0005-0000-0000-0000A0700000}"/>
    <cellStyle name="Percent 2 3 2 2 4 2 2 2 3" xfId="27382" xr:uid="{00000000-0005-0000-0000-0000A1700000}"/>
    <cellStyle name="Percent 2 3 2 2 4 2 2 3" xfId="11878" xr:uid="{00000000-0005-0000-0000-0000A2700000}"/>
    <cellStyle name="Percent 2 3 2 2 4 2 2 3 2" xfId="31930" xr:uid="{00000000-0005-0000-0000-0000A3700000}"/>
    <cellStyle name="Percent 2 3 2 2 4 2 2 4" xfId="22900" xr:uid="{00000000-0005-0000-0000-0000A4700000}"/>
    <cellStyle name="Percent 2 3 2 2 4 2 3" xfId="4342" xr:uid="{00000000-0005-0000-0000-0000A5700000}"/>
    <cellStyle name="Percent 2 3 2 2 4 2 3 2" xfId="8824" xr:uid="{00000000-0005-0000-0000-0000A6700000}"/>
    <cellStyle name="Percent 2 3 2 2 4 2 3 2 2" xfId="17854" xr:uid="{00000000-0005-0000-0000-0000A7700000}"/>
    <cellStyle name="Percent 2 3 2 2 4 2 3 2 2 2" xfId="37906" xr:uid="{00000000-0005-0000-0000-0000A8700000}"/>
    <cellStyle name="Percent 2 3 2 2 4 2 3 2 3" xfId="28876" xr:uid="{00000000-0005-0000-0000-0000A9700000}"/>
    <cellStyle name="Percent 2 3 2 2 4 2 3 3" xfId="13372" xr:uid="{00000000-0005-0000-0000-0000AA700000}"/>
    <cellStyle name="Percent 2 3 2 2 4 2 3 3 2" xfId="33424" xr:uid="{00000000-0005-0000-0000-0000AB700000}"/>
    <cellStyle name="Percent 2 3 2 2 4 2 3 4" xfId="24394" xr:uid="{00000000-0005-0000-0000-0000AC700000}"/>
    <cellStyle name="Percent 2 3 2 2 4 2 4" xfId="5836" xr:uid="{00000000-0005-0000-0000-0000AD700000}"/>
    <cellStyle name="Percent 2 3 2 2 4 2 4 2" xfId="14866" xr:uid="{00000000-0005-0000-0000-0000AE700000}"/>
    <cellStyle name="Percent 2 3 2 2 4 2 4 2 2" xfId="34918" xr:uid="{00000000-0005-0000-0000-0000AF700000}"/>
    <cellStyle name="Percent 2 3 2 2 4 2 4 3" xfId="25888" xr:uid="{00000000-0005-0000-0000-0000B0700000}"/>
    <cellStyle name="Percent 2 3 2 2 4 2 5" xfId="10384" xr:uid="{00000000-0005-0000-0000-0000B1700000}"/>
    <cellStyle name="Percent 2 3 2 2 4 2 5 2" xfId="30436" xr:uid="{00000000-0005-0000-0000-0000B2700000}"/>
    <cellStyle name="Percent 2 3 2 2 4 2 6" xfId="21406" xr:uid="{00000000-0005-0000-0000-0000B3700000}"/>
    <cellStyle name="Percent 2 3 2 2 4 3" xfId="2101" xr:uid="{00000000-0005-0000-0000-0000B4700000}"/>
    <cellStyle name="Percent 2 3 2 2 4 3 2" xfId="6583" xr:uid="{00000000-0005-0000-0000-0000B5700000}"/>
    <cellStyle name="Percent 2 3 2 2 4 3 2 2" xfId="15613" xr:uid="{00000000-0005-0000-0000-0000B6700000}"/>
    <cellStyle name="Percent 2 3 2 2 4 3 2 2 2" xfId="35665" xr:uid="{00000000-0005-0000-0000-0000B7700000}"/>
    <cellStyle name="Percent 2 3 2 2 4 3 2 3" xfId="26635" xr:uid="{00000000-0005-0000-0000-0000B8700000}"/>
    <cellStyle name="Percent 2 3 2 2 4 3 3" xfId="11131" xr:uid="{00000000-0005-0000-0000-0000B9700000}"/>
    <cellStyle name="Percent 2 3 2 2 4 3 3 2" xfId="31183" xr:uid="{00000000-0005-0000-0000-0000BA700000}"/>
    <cellStyle name="Percent 2 3 2 2 4 3 4" xfId="22153" xr:uid="{00000000-0005-0000-0000-0000BB700000}"/>
    <cellStyle name="Percent 2 3 2 2 4 4" xfId="3595" xr:uid="{00000000-0005-0000-0000-0000BC700000}"/>
    <cellStyle name="Percent 2 3 2 2 4 4 2" xfId="8077" xr:uid="{00000000-0005-0000-0000-0000BD700000}"/>
    <cellStyle name="Percent 2 3 2 2 4 4 2 2" xfId="17107" xr:uid="{00000000-0005-0000-0000-0000BE700000}"/>
    <cellStyle name="Percent 2 3 2 2 4 4 2 2 2" xfId="37159" xr:uid="{00000000-0005-0000-0000-0000BF700000}"/>
    <cellStyle name="Percent 2 3 2 2 4 4 2 3" xfId="28129" xr:uid="{00000000-0005-0000-0000-0000C0700000}"/>
    <cellStyle name="Percent 2 3 2 2 4 4 3" xfId="12625" xr:uid="{00000000-0005-0000-0000-0000C1700000}"/>
    <cellStyle name="Percent 2 3 2 2 4 4 3 2" xfId="32677" xr:uid="{00000000-0005-0000-0000-0000C2700000}"/>
    <cellStyle name="Percent 2 3 2 2 4 4 4" xfId="23647" xr:uid="{00000000-0005-0000-0000-0000C3700000}"/>
    <cellStyle name="Percent 2 3 2 2 4 5" xfId="5089" xr:uid="{00000000-0005-0000-0000-0000C4700000}"/>
    <cellStyle name="Percent 2 3 2 2 4 5 2" xfId="14119" xr:uid="{00000000-0005-0000-0000-0000C5700000}"/>
    <cellStyle name="Percent 2 3 2 2 4 5 2 2" xfId="34171" xr:uid="{00000000-0005-0000-0000-0000C6700000}"/>
    <cellStyle name="Percent 2 3 2 2 4 5 3" xfId="25141" xr:uid="{00000000-0005-0000-0000-0000C7700000}"/>
    <cellStyle name="Percent 2 3 2 2 4 6" xfId="9637" xr:uid="{00000000-0005-0000-0000-0000C8700000}"/>
    <cellStyle name="Percent 2 3 2 2 4 6 2" xfId="29689" xr:uid="{00000000-0005-0000-0000-0000C9700000}"/>
    <cellStyle name="Percent 2 3 2 2 4 7" xfId="20659" xr:uid="{00000000-0005-0000-0000-0000CA700000}"/>
    <cellStyle name="Percent 2 3 2 2 5" xfId="794" xr:uid="{00000000-0005-0000-0000-0000CB700000}"/>
    <cellStyle name="Percent 2 3 2 2 5 2" xfId="2288" xr:uid="{00000000-0005-0000-0000-0000CC700000}"/>
    <cellStyle name="Percent 2 3 2 2 5 2 2" xfId="6770" xr:uid="{00000000-0005-0000-0000-0000CD700000}"/>
    <cellStyle name="Percent 2 3 2 2 5 2 2 2" xfId="15800" xr:uid="{00000000-0005-0000-0000-0000CE700000}"/>
    <cellStyle name="Percent 2 3 2 2 5 2 2 2 2" xfId="35852" xr:uid="{00000000-0005-0000-0000-0000CF700000}"/>
    <cellStyle name="Percent 2 3 2 2 5 2 2 3" xfId="26822" xr:uid="{00000000-0005-0000-0000-0000D0700000}"/>
    <cellStyle name="Percent 2 3 2 2 5 2 3" xfId="11318" xr:uid="{00000000-0005-0000-0000-0000D1700000}"/>
    <cellStyle name="Percent 2 3 2 2 5 2 3 2" xfId="31370" xr:uid="{00000000-0005-0000-0000-0000D2700000}"/>
    <cellStyle name="Percent 2 3 2 2 5 2 4" xfId="22340" xr:uid="{00000000-0005-0000-0000-0000D3700000}"/>
    <cellStyle name="Percent 2 3 2 2 5 3" xfId="3782" xr:uid="{00000000-0005-0000-0000-0000D4700000}"/>
    <cellStyle name="Percent 2 3 2 2 5 3 2" xfId="8264" xr:uid="{00000000-0005-0000-0000-0000D5700000}"/>
    <cellStyle name="Percent 2 3 2 2 5 3 2 2" xfId="17294" xr:uid="{00000000-0005-0000-0000-0000D6700000}"/>
    <cellStyle name="Percent 2 3 2 2 5 3 2 2 2" xfId="37346" xr:uid="{00000000-0005-0000-0000-0000D7700000}"/>
    <cellStyle name="Percent 2 3 2 2 5 3 2 3" xfId="28316" xr:uid="{00000000-0005-0000-0000-0000D8700000}"/>
    <cellStyle name="Percent 2 3 2 2 5 3 3" xfId="12812" xr:uid="{00000000-0005-0000-0000-0000D9700000}"/>
    <cellStyle name="Percent 2 3 2 2 5 3 3 2" xfId="32864" xr:uid="{00000000-0005-0000-0000-0000DA700000}"/>
    <cellStyle name="Percent 2 3 2 2 5 3 4" xfId="23834" xr:uid="{00000000-0005-0000-0000-0000DB700000}"/>
    <cellStyle name="Percent 2 3 2 2 5 4" xfId="5276" xr:uid="{00000000-0005-0000-0000-0000DC700000}"/>
    <cellStyle name="Percent 2 3 2 2 5 4 2" xfId="14306" xr:uid="{00000000-0005-0000-0000-0000DD700000}"/>
    <cellStyle name="Percent 2 3 2 2 5 4 2 2" xfId="34358" xr:uid="{00000000-0005-0000-0000-0000DE700000}"/>
    <cellStyle name="Percent 2 3 2 2 5 4 3" xfId="25328" xr:uid="{00000000-0005-0000-0000-0000DF700000}"/>
    <cellStyle name="Percent 2 3 2 2 5 5" xfId="9824" xr:uid="{00000000-0005-0000-0000-0000E0700000}"/>
    <cellStyle name="Percent 2 3 2 2 5 5 2" xfId="29876" xr:uid="{00000000-0005-0000-0000-0000E1700000}"/>
    <cellStyle name="Percent 2 3 2 2 5 6" xfId="20846" xr:uid="{00000000-0005-0000-0000-0000E2700000}"/>
    <cellStyle name="Percent 2 3 2 2 6" xfId="1543" xr:uid="{00000000-0005-0000-0000-0000E3700000}"/>
    <cellStyle name="Percent 2 3 2 2 6 2" xfId="6025" xr:uid="{00000000-0005-0000-0000-0000E4700000}"/>
    <cellStyle name="Percent 2 3 2 2 6 2 2" xfId="15055" xr:uid="{00000000-0005-0000-0000-0000E5700000}"/>
    <cellStyle name="Percent 2 3 2 2 6 2 2 2" xfId="35107" xr:uid="{00000000-0005-0000-0000-0000E6700000}"/>
    <cellStyle name="Percent 2 3 2 2 6 2 3" xfId="26077" xr:uid="{00000000-0005-0000-0000-0000E7700000}"/>
    <cellStyle name="Percent 2 3 2 2 6 3" xfId="10573" xr:uid="{00000000-0005-0000-0000-0000E8700000}"/>
    <cellStyle name="Percent 2 3 2 2 6 3 2" xfId="30625" xr:uid="{00000000-0005-0000-0000-0000E9700000}"/>
    <cellStyle name="Percent 2 3 2 2 6 4" xfId="21595" xr:uid="{00000000-0005-0000-0000-0000EA700000}"/>
    <cellStyle name="Percent 2 3 2 2 7" xfId="3037" xr:uid="{00000000-0005-0000-0000-0000EB700000}"/>
    <cellStyle name="Percent 2 3 2 2 7 2" xfId="7519" xr:uid="{00000000-0005-0000-0000-0000EC700000}"/>
    <cellStyle name="Percent 2 3 2 2 7 2 2" xfId="16549" xr:uid="{00000000-0005-0000-0000-0000ED700000}"/>
    <cellStyle name="Percent 2 3 2 2 7 2 2 2" xfId="36601" xr:uid="{00000000-0005-0000-0000-0000EE700000}"/>
    <cellStyle name="Percent 2 3 2 2 7 2 3" xfId="27571" xr:uid="{00000000-0005-0000-0000-0000EF700000}"/>
    <cellStyle name="Percent 2 3 2 2 7 3" xfId="12067" xr:uid="{00000000-0005-0000-0000-0000F0700000}"/>
    <cellStyle name="Percent 2 3 2 2 7 3 2" xfId="32119" xr:uid="{00000000-0005-0000-0000-0000F1700000}"/>
    <cellStyle name="Percent 2 3 2 2 7 4" xfId="23089" xr:uid="{00000000-0005-0000-0000-0000F2700000}"/>
    <cellStyle name="Percent 2 3 2 2 8" xfId="4531" xr:uid="{00000000-0005-0000-0000-0000F3700000}"/>
    <cellStyle name="Percent 2 3 2 2 8 2" xfId="13561" xr:uid="{00000000-0005-0000-0000-0000F4700000}"/>
    <cellStyle name="Percent 2 3 2 2 8 2 2" xfId="33613" xr:uid="{00000000-0005-0000-0000-0000F5700000}"/>
    <cellStyle name="Percent 2 3 2 2 8 3" xfId="24583" xr:uid="{00000000-0005-0000-0000-0000F6700000}"/>
    <cellStyle name="Percent 2 3 2 2 9" xfId="9079" xr:uid="{00000000-0005-0000-0000-0000F7700000}"/>
    <cellStyle name="Percent 2 3 2 2 9 2" xfId="29131" xr:uid="{00000000-0005-0000-0000-0000F8700000}"/>
    <cellStyle name="Percent 2 3 2 3" xfId="72" xr:uid="{00000000-0005-0000-0000-0000F9700000}"/>
    <cellStyle name="Percent 2 3 2 3 10" xfId="20124" xr:uid="{00000000-0005-0000-0000-0000FA700000}"/>
    <cellStyle name="Percent 2 3 2 3 2" xfId="258" xr:uid="{00000000-0005-0000-0000-0000FB700000}"/>
    <cellStyle name="Percent 2 3 2 3 2 2" xfId="1003" xr:uid="{00000000-0005-0000-0000-0000FC700000}"/>
    <cellStyle name="Percent 2 3 2 3 2 2 2" xfId="2497" xr:uid="{00000000-0005-0000-0000-0000FD700000}"/>
    <cellStyle name="Percent 2 3 2 3 2 2 2 2" xfId="6979" xr:uid="{00000000-0005-0000-0000-0000FE700000}"/>
    <cellStyle name="Percent 2 3 2 3 2 2 2 2 2" xfId="16009" xr:uid="{00000000-0005-0000-0000-0000FF700000}"/>
    <cellStyle name="Percent 2 3 2 3 2 2 2 2 2 2" xfId="36061" xr:uid="{00000000-0005-0000-0000-000000710000}"/>
    <cellStyle name="Percent 2 3 2 3 2 2 2 2 3" xfId="27031" xr:uid="{00000000-0005-0000-0000-000001710000}"/>
    <cellStyle name="Percent 2 3 2 3 2 2 2 3" xfId="11527" xr:uid="{00000000-0005-0000-0000-000002710000}"/>
    <cellStyle name="Percent 2 3 2 3 2 2 2 3 2" xfId="31579" xr:uid="{00000000-0005-0000-0000-000003710000}"/>
    <cellStyle name="Percent 2 3 2 3 2 2 2 4" xfId="22549" xr:uid="{00000000-0005-0000-0000-000004710000}"/>
    <cellStyle name="Percent 2 3 2 3 2 2 3" xfId="3991" xr:uid="{00000000-0005-0000-0000-000005710000}"/>
    <cellStyle name="Percent 2 3 2 3 2 2 3 2" xfId="8473" xr:uid="{00000000-0005-0000-0000-000006710000}"/>
    <cellStyle name="Percent 2 3 2 3 2 2 3 2 2" xfId="17503" xr:uid="{00000000-0005-0000-0000-000007710000}"/>
    <cellStyle name="Percent 2 3 2 3 2 2 3 2 2 2" xfId="37555" xr:uid="{00000000-0005-0000-0000-000008710000}"/>
    <cellStyle name="Percent 2 3 2 3 2 2 3 2 3" xfId="28525" xr:uid="{00000000-0005-0000-0000-000009710000}"/>
    <cellStyle name="Percent 2 3 2 3 2 2 3 3" xfId="13021" xr:uid="{00000000-0005-0000-0000-00000A710000}"/>
    <cellStyle name="Percent 2 3 2 3 2 2 3 3 2" xfId="33073" xr:uid="{00000000-0005-0000-0000-00000B710000}"/>
    <cellStyle name="Percent 2 3 2 3 2 2 3 4" xfId="24043" xr:uid="{00000000-0005-0000-0000-00000C710000}"/>
    <cellStyle name="Percent 2 3 2 3 2 2 4" xfId="5485" xr:uid="{00000000-0005-0000-0000-00000D710000}"/>
    <cellStyle name="Percent 2 3 2 3 2 2 4 2" xfId="14515" xr:uid="{00000000-0005-0000-0000-00000E710000}"/>
    <cellStyle name="Percent 2 3 2 3 2 2 4 2 2" xfId="34567" xr:uid="{00000000-0005-0000-0000-00000F710000}"/>
    <cellStyle name="Percent 2 3 2 3 2 2 4 3" xfId="25537" xr:uid="{00000000-0005-0000-0000-000010710000}"/>
    <cellStyle name="Percent 2 3 2 3 2 2 5" xfId="10033" xr:uid="{00000000-0005-0000-0000-000011710000}"/>
    <cellStyle name="Percent 2 3 2 3 2 2 5 2" xfId="30085" xr:uid="{00000000-0005-0000-0000-000012710000}"/>
    <cellStyle name="Percent 2 3 2 3 2 2 6" xfId="21055" xr:uid="{00000000-0005-0000-0000-000013710000}"/>
    <cellStyle name="Percent 2 3 2 3 2 3" xfId="1752" xr:uid="{00000000-0005-0000-0000-000014710000}"/>
    <cellStyle name="Percent 2 3 2 3 2 3 2" xfId="6234" xr:uid="{00000000-0005-0000-0000-000015710000}"/>
    <cellStyle name="Percent 2 3 2 3 2 3 2 2" xfId="15264" xr:uid="{00000000-0005-0000-0000-000016710000}"/>
    <cellStyle name="Percent 2 3 2 3 2 3 2 2 2" xfId="35316" xr:uid="{00000000-0005-0000-0000-000017710000}"/>
    <cellStyle name="Percent 2 3 2 3 2 3 2 3" xfId="26286" xr:uid="{00000000-0005-0000-0000-000018710000}"/>
    <cellStyle name="Percent 2 3 2 3 2 3 3" xfId="10782" xr:uid="{00000000-0005-0000-0000-000019710000}"/>
    <cellStyle name="Percent 2 3 2 3 2 3 3 2" xfId="30834" xr:uid="{00000000-0005-0000-0000-00001A710000}"/>
    <cellStyle name="Percent 2 3 2 3 2 3 4" xfId="21804" xr:uid="{00000000-0005-0000-0000-00001B710000}"/>
    <cellStyle name="Percent 2 3 2 3 2 4" xfId="3246" xr:uid="{00000000-0005-0000-0000-00001C710000}"/>
    <cellStyle name="Percent 2 3 2 3 2 4 2" xfId="7728" xr:uid="{00000000-0005-0000-0000-00001D710000}"/>
    <cellStyle name="Percent 2 3 2 3 2 4 2 2" xfId="16758" xr:uid="{00000000-0005-0000-0000-00001E710000}"/>
    <cellStyle name="Percent 2 3 2 3 2 4 2 2 2" xfId="36810" xr:uid="{00000000-0005-0000-0000-00001F710000}"/>
    <cellStyle name="Percent 2 3 2 3 2 4 2 3" xfId="27780" xr:uid="{00000000-0005-0000-0000-000020710000}"/>
    <cellStyle name="Percent 2 3 2 3 2 4 3" xfId="12276" xr:uid="{00000000-0005-0000-0000-000021710000}"/>
    <cellStyle name="Percent 2 3 2 3 2 4 3 2" xfId="32328" xr:uid="{00000000-0005-0000-0000-000022710000}"/>
    <cellStyle name="Percent 2 3 2 3 2 4 4" xfId="23298" xr:uid="{00000000-0005-0000-0000-000023710000}"/>
    <cellStyle name="Percent 2 3 2 3 2 5" xfId="4740" xr:uid="{00000000-0005-0000-0000-000024710000}"/>
    <cellStyle name="Percent 2 3 2 3 2 5 2" xfId="13770" xr:uid="{00000000-0005-0000-0000-000025710000}"/>
    <cellStyle name="Percent 2 3 2 3 2 5 2 2" xfId="33822" xr:uid="{00000000-0005-0000-0000-000026710000}"/>
    <cellStyle name="Percent 2 3 2 3 2 5 3" xfId="24792" xr:uid="{00000000-0005-0000-0000-000027710000}"/>
    <cellStyle name="Percent 2 3 2 3 2 6" xfId="9288" xr:uid="{00000000-0005-0000-0000-000028710000}"/>
    <cellStyle name="Percent 2 3 2 3 2 6 2" xfId="29340" xr:uid="{00000000-0005-0000-0000-000029710000}"/>
    <cellStyle name="Percent 2 3 2 3 2 7" xfId="20310" xr:uid="{00000000-0005-0000-0000-00002A710000}"/>
    <cellStyle name="Percent 2 3 2 3 3" xfId="444" xr:uid="{00000000-0005-0000-0000-00002B710000}"/>
    <cellStyle name="Percent 2 3 2 3 3 2" xfId="1191" xr:uid="{00000000-0005-0000-0000-00002C710000}"/>
    <cellStyle name="Percent 2 3 2 3 3 2 2" xfId="2685" xr:uid="{00000000-0005-0000-0000-00002D710000}"/>
    <cellStyle name="Percent 2 3 2 3 3 2 2 2" xfId="7167" xr:uid="{00000000-0005-0000-0000-00002E710000}"/>
    <cellStyle name="Percent 2 3 2 3 3 2 2 2 2" xfId="16197" xr:uid="{00000000-0005-0000-0000-00002F710000}"/>
    <cellStyle name="Percent 2 3 2 3 3 2 2 2 2 2" xfId="36249" xr:uid="{00000000-0005-0000-0000-000030710000}"/>
    <cellStyle name="Percent 2 3 2 3 3 2 2 2 3" xfId="27219" xr:uid="{00000000-0005-0000-0000-000031710000}"/>
    <cellStyle name="Percent 2 3 2 3 3 2 2 3" xfId="11715" xr:uid="{00000000-0005-0000-0000-000032710000}"/>
    <cellStyle name="Percent 2 3 2 3 3 2 2 3 2" xfId="31767" xr:uid="{00000000-0005-0000-0000-000033710000}"/>
    <cellStyle name="Percent 2 3 2 3 3 2 2 4" xfId="22737" xr:uid="{00000000-0005-0000-0000-000034710000}"/>
    <cellStyle name="Percent 2 3 2 3 3 2 3" xfId="4179" xr:uid="{00000000-0005-0000-0000-000035710000}"/>
    <cellStyle name="Percent 2 3 2 3 3 2 3 2" xfId="8661" xr:uid="{00000000-0005-0000-0000-000036710000}"/>
    <cellStyle name="Percent 2 3 2 3 3 2 3 2 2" xfId="17691" xr:uid="{00000000-0005-0000-0000-000037710000}"/>
    <cellStyle name="Percent 2 3 2 3 3 2 3 2 2 2" xfId="37743" xr:uid="{00000000-0005-0000-0000-000038710000}"/>
    <cellStyle name="Percent 2 3 2 3 3 2 3 2 3" xfId="28713" xr:uid="{00000000-0005-0000-0000-000039710000}"/>
    <cellStyle name="Percent 2 3 2 3 3 2 3 3" xfId="13209" xr:uid="{00000000-0005-0000-0000-00003A710000}"/>
    <cellStyle name="Percent 2 3 2 3 3 2 3 3 2" xfId="33261" xr:uid="{00000000-0005-0000-0000-00003B710000}"/>
    <cellStyle name="Percent 2 3 2 3 3 2 3 4" xfId="24231" xr:uid="{00000000-0005-0000-0000-00003C710000}"/>
    <cellStyle name="Percent 2 3 2 3 3 2 4" xfId="5673" xr:uid="{00000000-0005-0000-0000-00003D710000}"/>
    <cellStyle name="Percent 2 3 2 3 3 2 4 2" xfId="14703" xr:uid="{00000000-0005-0000-0000-00003E710000}"/>
    <cellStyle name="Percent 2 3 2 3 3 2 4 2 2" xfId="34755" xr:uid="{00000000-0005-0000-0000-00003F710000}"/>
    <cellStyle name="Percent 2 3 2 3 3 2 4 3" xfId="25725" xr:uid="{00000000-0005-0000-0000-000040710000}"/>
    <cellStyle name="Percent 2 3 2 3 3 2 5" xfId="10221" xr:uid="{00000000-0005-0000-0000-000041710000}"/>
    <cellStyle name="Percent 2 3 2 3 3 2 5 2" xfId="30273" xr:uid="{00000000-0005-0000-0000-000042710000}"/>
    <cellStyle name="Percent 2 3 2 3 3 2 6" xfId="21243" xr:uid="{00000000-0005-0000-0000-000043710000}"/>
    <cellStyle name="Percent 2 3 2 3 3 3" xfId="1938" xr:uid="{00000000-0005-0000-0000-000044710000}"/>
    <cellStyle name="Percent 2 3 2 3 3 3 2" xfId="6420" xr:uid="{00000000-0005-0000-0000-000045710000}"/>
    <cellStyle name="Percent 2 3 2 3 3 3 2 2" xfId="15450" xr:uid="{00000000-0005-0000-0000-000046710000}"/>
    <cellStyle name="Percent 2 3 2 3 3 3 2 2 2" xfId="35502" xr:uid="{00000000-0005-0000-0000-000047710000}"/>
    <cellStyle name="Percent 2 3 2 3 3 3 2 3" xfId="26472" xr:uid="{00000000-0005-0000-0000-000048710000}"/>
    <cellStyle name="Percent 2 3 2 3 3 3 3" xfId="10968" xr:uid="{00000000-0005-0000-0000-000049710000}"/>
    <cellStyle name="Percent 2 3 2 3 3 3 3 2" xfId="31020" xr:uid="{00000000-0005-0000-0000-00004A710000}"/>
    <cellStyle name="Percent 2 3 2 3 3 3 4" xfId="21990" xr:uid="{00000000-0005-0000-0000-00004B710000}"/>
    <cellStyle name="Percent 2 3 2 3 3 4" xfId="3432" xr:uid="{00000000-0005-0000-0000-00004C710000}"/>
    <cellStyle name="Percent 2 3 2 3 3 4 2" xfId="7914" xr:uid="{00000000-0005-0000-0000-00004D710000}"/>
    <cellStyle name="Percent 2 3 2 3 3 4 2 2" xfId="16944" xr:uid="{00000000-0005-0000-0000-00004E710000}"/>
    <cellStyle name="Percent 2 3 2 3 3 4 2 2 2" xfId="36996" xr:uid="{00000000-0005-0000-0000-00004F710000}"/>
    <cellStyle name="Percent 2 3 2 3 3 4 2 3" xfId="27966" xr:uid="{00000000-0005-0000-0000-000050710000}"/>
    <cellStyle name="Percent 2 3 2 3 3 4 3" xfId="12462" xr:uid="{00000000-0005-0000-0000-000051710000}"/>
    <cellStyle name="Percent 2 3 2 3 3 4 3 2" xfId="32514" xr:uid="{00000000-0005-0000-0000-000052710000}"/>
    <cellStyle name="Percent 2 3 2 3 3 4 4" xfId="23484" xr:uid="{00000000-0005-0000-0000-000053710000}"/>
    <cellStyle name="Percent 2 3 2 3 3 5" xfId="4926" xr:uid="{00000000-0005-0000-0000-000054710000}"/>
    <cellStyle name="Percent 2 3 2 3 3 5 2" xfId="13956" xr:uid="{00000000-0005-0000-0000-000055710000}"/>
    <cellStyle name="Percent 2 3 2 3 3 5 2 2" xfId="34008" xr:uid="{00000000-0005-0000-0000-000056710000}"/>
    <cellStyle name="Percent 2 3 2 3 3 5 3" xfId="24978" xr:uid="{00000000-0005-0000-0000-000057710000}"/>
    <cellStyle name="Percent 2 3 2 3 3 6" xfId="9474" xr:uid="{00000000-0005-0000-0000-000058710000}"/>
    <cellStyle name="Percent 2 3 2 3 3 6 2" xfId="29526" xr:uid="{00000000-0005-0000-0000-000059710000}"/>
    <cellStyle name="Percent 2 3 2 3 3 7" xfId="20496" xr:uid="{00000000-0005-0000-0000-00005A710000}"/>
    <cellStyle name="Percent 2 3 2 3 4" xfId="630" xr:uid="{00000000-0005-0000-0000-00005B710000}"/>
    <cellStyle name="Percent 2 3 2 3 4 2" xfId="1377" xr:uid="{00000000-0005-0000-0000-00005C710000}"/>
    <cellStyle name="Percent 2 3 2 3 4 2 2" xfId="2871" xr:uid="{00000000-0005-0000-0000-00005D710000}"/>
    <cellStyle name="Percent 2 3 2 3 4 2 2 2" xfId="7353" xr:uid="{00000000-0005-0000-0000-00005E710000}"/>
    <cellStyle name="Percent 2 3 2 3 4 2 2 2 2" xfId="16383" xr:uid="{00000000-0005-0000-0000-00005F710000}"/>
    <cellStyle name="Percent 2 3 2 3 4 2 2 2 2 2" xfId="36435" xr:uid="{00000000-0005-0000-0000-000060710000}"/>
    <cellStyle name="Percent 2 3 2 3 4 2 2 2 3" xfId="27405" xr:uid="{00000000-0005-0000-0000-000061710000}"/>
    <cellStyle name="Percent 2 3 2 3 4 2 2 3" xfId="11901" xr:uid="{00000000-0005-0000-0000-000062710000}"/>
    <cellStyle name="Percent 2 3 2 3 4 2 2 3 2" xfId="31953" xr:uid="{00000000-0005-0000-0000-000063710000}"/>
    <cellStyle name="Percent 2 3 2 3 4 2 2 4" xfId="22923" xr:uid="{00000000-0005-0000-0000-000064710000}"/>
    <cellStyle name="Percent 2 3 2 3 4 2 3" xfId="4365" xr:uid="{00000000-0005-0000-0000-000065710000}"/>
    <cellStyle name="Percent 2 3 2 3 4 2 3 2" xfId="8847" xr:uid="{00000000-0005-0000-0000-000066710000}"/>
    <cellStyle name="Percent 2 3 2 3 4 2 3 2 2" xfId="17877" xr:uid="{00000000-0005-0000-0000-000067710000}"/>
    <cellStyle name="Percent 2 3 2 3 4 2 3 2 2 2" xfId="37929" xr:uid="{00000000-0005-0000-0000-000068710000}"/>
    <cellStyle name="Percent 2 3 2 3 4 2 3 2 3" xfId="28899" xr:uid="{00000000-0005-0000-0000-000069710000}"/>
    <cellStyle name="Percent 2 3 2 3 4 2 3 3" xfId="13395" xr:uid="{00000000-0005-0000-0000-00006A710000}"/>
    <cellStyle name="Percent 2 3 2 3 4 2 3 3 2" xfId="33447" xr:uid="{00000000-0005-0000-0000-00006B710000}"/>
    <cellStyle name="Percent 2 3 2 3 4 2 3 4" xfId="24417" xr:uid="{00000000-0005-0000-0000-00006C710000}"/>
    <cellStyle name="Percent 2 3 2 3 4 2 4" xfId="5859" xr:uid="{00000000-0005-0000-0000-00006D710000}"/>
    <cellStyle name="Percent 2 3 2 3 4 2 4 2" xfId="14889" xr:uid="{00000000-0005-0000-0000-00006E710000}"/>
    <cellStyle name="Percent 2 3 2 3 4 2 4 2 2" xfId="34941" xr:uid="{00000000-0005-0000-0000-00006F710000}"/>
    <cellStyle name="Percent 2 3 2 3 4 2 4 3" xfId="25911" xr:uid="{00000000-0005-0000-0000-000070710000}"/>
    <cellStyle name="Percent 2 3 2 3 4 2 5" xfId="10407" xr:uid="{00000000-0005-0000-0000-000071710000}"/>
    <cellStyle name="Percent 2 3 2 3 4 2 5 2" xfId="30459" xr:uid="{00000000-0005-0000-0000-000072710000}"/>
    <cellStyle name="Percent 2 3 2 3 4 2 6" xfId="21429" xr:uid="{00000000-0005-0000-0000-000073710000}"/>
    <cellStyle name="Percent 2 3 2 3 4 3" xfId="2124" xr:uid="{00000000-0005-0000-0000-000074710000}"/>
    <cellStyle name="Percent 2 3 2 3 4 3 2" xfId="6606" xr:uid="{00000000-0005-0000-0000-000075710000}"/>
    <cellStyle name="Percent 2 3 2 3 4 3 2 2" xfId="15636" xr:uid="{00000000-0005-0000-0000-000076710000}"/>
    <cellStyle name="Percent 2 3 2 3 4 3 2 2 2" xfId="35688" xr:uid="{00000000-0005-0000-0000-000077710000}"/>
    <cellStyle name="Percent 2 3 2 3 4 3 2 3" xfId="26658" xr:uid="{00000000-0005-0000-0000-000078710000}"/>
    <cellStyle name="Percent 2 3 2 3 4 3 3" xfId="11154" xr:uid="{00000000-0005-0000-0000-000079710000}"/>
    <cellStyle name="Percent 2 3 2 3 4 3 3 2" xfId="31206" xr:uid="{00000000-0005-0000-0000-00007A710000}"/>
    <cellStyle name="Percent 2 3 2 3 4 3 4" xfId="22176" xr:uid="{00000000-0005-0000-0000-00007B710000}"/>
    <cellStyle name="Percent 2 3 2 3 4 4" xfId="3618" xr:uid="{00000000-0005-0000-0000-00007C710000}"/>
    <cellStyle name="Percent 2 3 2 3 4 4 2" xfId="8100" xr:uid="{00000000-0005-0000-0000-00007D710000}"/>
    <cellStyle name="Percent 2 3 2 3 4 4 2 2" xfId="17130" xr:uid="{00000000-0005-0000-0000-00007E710000}"/>
    <cellStyle name="Percent 2 3 2 3 4 4 2 2 2" xfId="37182" xr:uid="{00000000-0005-0000-0000-00007F710000}"/>
    <cellStyle name="Percent 2 3 2 3 4 4 2 3" xfId="28152" xr:uid="{00000000-0005-0000-0000-000080710000}"/>
    <cellStyle name="Percent 2 3 2 3 4 4 3" xfId="12648" xr:uid="{00000000-0005-0000-0000-000081710000}"/>
    <cellStyle name="Percent 2 3 2 3 4 4 3 2" xfId="32700" xr:uid="{00000000-0005-0000-0000-000082710000}"/>
    <cellStyle name="Percent 2 3 2 3 4 4 4" xfId="23670" xr:uid="{00000000-0005-0000-0000-000083710000}"/>
    <cellStyle name="Percent 2 3 2 3 4 5" xfId="5112" xr:uid="{00000000-0005-0000-0000-000084710000}"/>
    <cellStyle name="Percent 2 3 2 3 4 5 2" xfId="14142" xr:uid="{00000000-0005-0000-0000-000085710000}"/>
    <cellStyle name="Percent 2 3 2 3 4 5 2 2" xfId="34194" xr:uid="{00000000-0005-0000-0000-000086710000}"/>
    <cellStyle name="Percent 2 3 2 3 4 5 3" xfId="25164" xr:uid="{00000000-0005-0000-0000-000087710000}"/>
    <cellStyle name="Percent 2 3 2 3 4 6" xfId="9660" xr:uid="{00000000-0005-0000-0000-000088710000}"/>
    <cellStyle name="Percent 2 3 2 3 4 6 2" xfId="29712" xr:uid="{00000000-0005-0000-0000-000089710000}"/>
    <cellStyle name="Percent 2 3 2 3 4 7" xfId="20682" xr:uid="{00000000-0005-0000-0000-00008A710000}"/>
    <cellStyle name="Percent 2 3 2 3 5" xfId="817" xr:uid="{00000000-0005-0000-0000-00008B710000}"/>
    <cellStyle name="Percent 2 3 2 3 5 2" xfId="2311" xr:uid="{00000000-0005-0000-0000-00008C710000}"/>
    <cellStyle name="Percent 2 3 2 3 5 2 2" xfId="6793" xr:uid="{00000000-0005-0000-0000-00008D710000}"/>
    <cellStyle name="Percent 2 3 2 3 5 2 2 2" xfId="15823" xr:uid="{00000000-0005-0000-0000-00008E710000}"/>
    <cellStyle name="Percent 2 3 2 3 5 2 2 2 2" xfId="35875" xr:uid="{00000000-0005-0000-0000-00008F710000}"/>
    <cellStyle name="Percent 2 3 2 3 5 2 2 3" xfId="26845" xr:uid="{00000000-0005-0000-0000-000090710000}"/>
    <cellStyle name="Percent 2 3 2 3 5 2 3" xfId="11341" xr:uid="{00000000-0005-0000-0000-000091710000}"/>
    <cellStyle name="Percent 2 3 2 3 5 2 3 2" xfId="31393" xr:uid="{00000000-0005-0000-0000-000092710000}"/>
    <cellStyle name="Percent 2 3 2 3 5 2 4" xfId="22363" xr:uid="{00000000-0005-0000-0000-000093710000}"/>
    <cellStyle name="Percent 2 3 2 3 5 3" xfId="3805" xr:uid="{00000000-0005-0000-0000-000094710000}"/>
    <cellStyle name="Percent 2 3 2 3 5 3 2" xfId="8287" xr:uid="{00000000-0005-0000-0000-000095710000}"/>
    <cellStyle name="Percent 2 3 2 3 5 3 2 2" xfId="17317" xr:uid="{00000000-0005-0000-0000-000096710000}"/>
    <cellStyle name="Percent 2 3 2 3 5 3 2 2 2" xfId="37369" xr:uid="{00000000-0005-0000-0000-000097710000}"/>
    <cellStyle name="Percent 2 3 2 3 5 3 2 3" xfId="28339" xr:uid="{00000000-0005-0000-0000-000098710000}"/>
    <cellStyle name="Percent 2 3 2 3 5 3 3" xfId="12835" xr:uid="{00000000-0005-0000-0000-000099710000}"/>
    <cellStyle name="Percent 2 3 2 3 5 3 3 2" xfId="32887" xr:uid="{00000000-0005-0000-0000-00009A710000}"/>
    <cellStyle name="Percent 2 3 2 3 5 3 4" xfId="23857" xr:uid="{00000000-0005-0000-0000-00009B710000}"/>
    <cellStyle name="Percent 2 3 2 3 5 4" xfId="5299" xr:uid="{00000000-0005-0000-0000-00009C710000}"/>
    <cellStyle name="Percent 2 3 2 3 5 4 2" xfId="14329" xr:uid="{00000000-0005-0000-0000-00009D710000}"/>
    <cellStyle name="Percent 2 3 2 3 5 4 2 2" xfId="34381" xr:uid="{00000000-0005-0000-0000-00009E710000}"/>
    <cellStyle name="Percent 2 3 2 3 5 4 3" xfId="25351" xr:uid="{00000000-0005-0000-0000-00009F710000}"/>
    <cellStyle name="Percent 2 3 2 3 5 5" xfId="9847" xr:uid="{00000000-0005-0000-0000-0000A0710000}"/>
    <cellStyle name="Percent 2 3 2 3 5 5 2" xfId="29899" xr:uid="{00000000-0005-0000-0000-0000A1710000}"/>
    <cellStyle name="Percent 2 3 2 3 5 6" xfId="20869" xr:uid="{00000000-0005-0000-0000-0000A2710000}"/>
    <cellStyle name="Percent 2 3 2 3 6" xfId="1566" xr:uid="{00000000-0005-0000-0000-0000A3710000}"/>
    <cellStyle name="Percent 2 3 2 3 6 2" xfId="6048" xr:uid="{00000000-0005-0000-0000-0000A4710000}"/>
    <cellStyle name="Percent 2 3 2 3 6 2 2" xfId="15078" xr:uid="{00000000-0005-0000-0000-0000A5710000}"/>
    <cellStyle name="Percent 2 3 2 3 6 2 2 2" xfId="35130" xr:uid="{00000000-0005-0000-0000-0000A6710000}"/>
    <cellStyle name="Percent 2 3 2 3 6 2 3" xfId="26100" xr:uid="{00000000-0005-0000-0000-0000A7710000}"/>
    <cellStyle name="Percent 2 3 2 3 6 3" xfId="10596" xr:uid="{00000000-0005-0000-0000-0000A8710000}"/>
    <cellStyle name="Percent 2 3 2 3 6 3 2" xfId="30648" xr:uid="{00000000-0005-0000-0000-0000A9710000}"/>
    <cellStyle name="Percent 2 3 2 3 6 4" xfId="21618" xr:uid="{00000000-0005-0000-0000-0000AA710000}"/>
    <cellStyle name="Percent 2 3 2 3 7" xfId="3060" xr:uid="{00000000-0005-0000-0000-0000AB710000}"/>
    <cellStyle name="Percent 2 3 2 3 7 2" xfId="7542" xr:uid="{00000000-0005-0000-0000-0000AC710000}"/>
    <cellStyle name="Percent 2 3 2 3 7 2 2" xfId="16572" xr:uid="{00000000-0005-0000-0000-0000AD710000}"/>
    <cellStyle name="Percent 2 3 2 3 7 2 2 2" xfId="36624" xr:uid="{00000000-0005-0000-0000-0000AE710000}"/>
    <cellStyle name="Percent 2 3 2 3 7 2 3" xfId="27594" xr:uid="{00000000-0005-0000-0000-0000AF710000}"/>
    <cellStyle name="Percent 2 3 2 3 7 3" xfId="12090" xr:uid="{00000000-0005-0000-0000-0000B0710000}"/>
    <cellStyle name="Percent 2 3 2 3 7 3 2" xfId="32142" xr:uid="{00000000-0005-0000-0000-0000B1710000}"/>
    <cellStyle name="Percent 2 3 2 3 7 4" xfId="23112" xr:uid="{00000000-0005-0000-0000-0000B2710000}"/>
    <cellStyle name="Percent 2 3 2 3 8" xfId="4554" xr:uid="{00000000-0005-0000-0000-0000B3710000}"/>
    <cellStyle name="Percent 2 3 2 3 8 2" xfId="13584" xr:uid="{00000000-0005-0000-0000-0000B4710000}"/>
    <cellStyle name="Percent 2 3 2 3 8 2 2" xfId="33636" xr:uid="{00000000-0005-0000-0000-0000B5710000}"/>
    <cellStyle name="Percent 2 3 2 3 8 3" xfId="24606" xr:uid="{00000000-0005-0000-0000-0000B6710000}"/>
    <cellStyle name="Percent 2 3 2 3 9" xfId="9102" xr:uid="{00000000-0005-0000-0000-0000B7710000}"/>
    <cellStyle name="Percent 2 3 2 3 9 2" xfId="29154" xr:uid="{00000000-0005-0000-0000-0000B8710000}"/>
    <cellStyle name="Percent 2 3 2 4" xfId="96" xr:uid="{00000000-0005-0000-0000-0000B9710000}"/>
    <cellStyle name="Percent 2 3 2 4 10" xfId="20148" xr:uid="{00000000-0005-0000-0000-0000BA710000}"/>
    <cellStyle name="Percent 2 3 2 4 2" xfId="282" xr:uid="{00000000-0005-0000-0000-0000BB710000}"/>
    <cellStyle name="Percent 2 3 2 4 2 2" xfId="1026" xr:uid="{00000000-0005-0000-0000-0000BC710000}"/>
    <cellStyle name="Percent 2 3 2 4 2 2 2" xfId="2520" xr:uid="{00000000-0005-0000-0000-0000BD710000}"/>
    <cellStyle name="Percent 2 3 2 4 2 2 2 2" xfId="7002" xr:uid="{00000000-0005-0000-0000-0000BE710000}"/>
    <cellStyle name="Percent 2 3 2 4 2 2 2 2 2" xfId="16032" xr:uid="{00000000-0005-0000-0000-0000BF710000}"/>
    <cellStyle name="Percent 2 3 2 4 2 2 2 2 2 2" xfId="36084" xr:uid="{00000000-0005-0000-0000-0000C0710000}"/>
    <cellStyle name="Percent 2 3 2 4 2 2 2 2 3" xfId="27054" xr:uid="{00000000-0005-0000-0000-0000C1710000}"/>
    <cellStyle name="Percent 2 3 2 4 2 2 2 3" xfId="11550" xr:uid="{00000000-0005-0000-0000-0000C2710000}"/>
    <cellStyle name="Percent 2 3 2 4 2 2 2 3 2" xfId="31602" xr:uid="{00000000-0005-0000-0000-0000C3710000}"/>
    <cellStyle name="Percent 2 3 2 4 2 2 2 4" xfId="22572" xr:uid="{00000000-0005-0000-0000-0000C4710000}"/>
    <cellStyle name="Percent 2 3 2 4 2 2 3" xfId="4014" xr:uid="{00000000-0005-0000-0000-0000C5710000}"/>
    <cellStyle name="Percent 2 3 2 4 2 2 3 2" xfId="8496" xr:uid="{00000000-0005-0000-0000-0000C6710000}"/>
    <cellStyle name="Percent 2 3 2 4 2 2 3 2 2" xfId="17526" xr:uid="{00000000-0005-0000-0000-0000C7710000}"/>
    <cellStyle name="Percent 2 3 2 4 2 2 3 2 2 2" xfId="37578" xr:uid="{00000000-0005-0000-0000-0000C8710000}"/>
    <cellStyle name="Percent 2 3 2 4 2 2 3 2 3" xfId="28548" xr:uid="{00000000-0005-0000-0000-0000C9710000}"/>
    <cellStyle name="Percent 2 3 2 4 2 2 3 3" xfId="13044" xr:uid="{00000000-0005-0000-0000-0000CA710000}"/>
    <cellStyle name="Percent 2 3 2 4 2 2 3 3 2" xfId="33096" xr:uid="{00000000-0005-0000-0000-0000CB710000}"/>
    <cellStyle name="Percent 2 3 2 4 2 2 3 4" xfId="24066" xr:uid="{00000000-0005-0000-0000-0000CC710000}"/>
    <cellStyle name="Percent 2 3 2 4 2 2 4" xfId="5508" xr:uid="{00000000-0005-0000-0000-0000CD710000}"/>
    <cellStyle name="Percent 2 3 2 4 2 2 4 2" xfId="14538" xr:uid="{00000000-0005-0000-0000-0000CE710000}"/>
    <cellStyle name="Percent 2 3 2 4 2 2 4 2 2" xfId="34590" xr:uid="{00000000-0005-0000-0000-0000CF710000}"/>
    <cellStyle name="Percent 2 3 2 4 2 2 4 3" xfId="25560" xr:uid="{00000000-0005-0000-0000-0000D0710000}"/>
    <cellStyle name="Percent 2 3 2 4 2 2 5" xfId="10056" xr:uid="{00000000-0005-0000-0000-0000D1710000}"/>
    <cellStyle name="Percent 2 3 2 4 2 2 5 2" xfId="30108" xr:uid="{00000000-0005-0000-0000-0000D2710000}"/>
    <cellStyle name="Percent 2 3 2 4 2 2 6" xfId="21078" xr:uid="{00000000-0005-0000-0000-0000D3710000}"/>
    <cellStyle name="Percent 2 3 2 4 2 3" xfId="1776" xr:uid="{00000000-0005-0000-0000-0000D4710000}"/>
    <cellStyle name="Percent 2 3 2 4 2 3 2" xfId="6258" xr:uid="{00000000-0005-0000-0000-0000D5710000}"/>
    <cellStyle name="Percent 2 3 2 4 2 3 2 2" xfId="15288" xr:uid="{00000000-0005-0000-0000-0000D6710000}"/>
    <cellStyle name="Percent 2 3 2 4 2 3 2 2 2" xfId="35340" xr:uid="{00000000-0005-0000-0000-0000D7710000}"/>
    <cellStyle name="Percent 2 3 2 4 2 3 2 3" xfId="26310" xr:uid="{00000000-0005-0000-0000-0000D8710000}"/>
    <cellStyle name="Percent 2 3 2 4 2 3 3" xfId="10806" xr:uid="{00000000-0005-0000-0000-0000D9710000}"/>
    <cellStyle name="Percent 2 3 2 4 2 3 3 2" xfId="30858" xr:uid="{00000000-0005-0000-0000-0000DA710000}"/>
    <cellStyle name="Percent 2 3 2 4 2 3 4" xfId="21828" xr:uid="{00000000-0005-0000-0000-0000DB710000}"/>
    <cellStyle name="Percent 2 3 2 4 2 4" xfId="3270" xr:uid="{00000000-0005-0000-0000-0000DC710000}"/>
    <cellStyle name="Percent 2 3 2 4 2 4 2" xfId="7752" xr:uid="{00000000-0005-0000-0000-0000DD710000}"/>
    <cellStyle name="Percent 2 3 2 4 2 4 2 2" xfId="16782" xr:uid="{00000000-0005-0000-0000-0000DE710000}"/>
    <cellStyle name="Percent 2 3 2 4 2 4 2 2 2" xfId="36834" xr:uid="{00000000-0005-0000-0000-0000DF710000}"/>
    <cellStyle name="Percent 2 3 2 4 2 4 2 3" xfId="27804" xr:uid="{00000000-0005-0000-0000-0000E0710000}"/>
    <cellStyle name="Percent 2 3 2 4 2 4 3" xfId="12300" xr:uid="{00000000-0005-0000-0000-0000E1710000}"/>
    <cellStyle name="Percent 2 3 2 4 2 4 3 2" xfId="32352" xr:uid="{00000000-0005-0000-0000-0000E2710000}"/>
    <cellStyle name="Percent 2 3 2 4 2 4 4" xfId="23322" xr:uid="{00000000-0005-0000-0000-0000E3710000}"/>
    <cellStyle name="Percent 2 3 2 4 2 5" xfId="4764" xr:uid="{00000000-0005-0000-0000-0000E4710000}"/>
    <cellStyle name="Percent 2 3 2 4 2 5 2" xfId="13794" xr:uid="{00000000-0005-0000-0000-0000E5710000}"/>
    <cellStyle name="Percent 2 3 2 4 2 5 2 2" xfId="33846" xr:uid="{00000000-0005-0000-0000-0000E6710000}"/>
    <cellStyle name="Percent 2 3 2 4 2 5 3" xfId="24816" xr:uid="{00000000-0005-0000-0000-0000E7710000}"/>
    <cellStyle name="Percent 2 3 2 4 2 6" xfId="9312" xr:uid="{00000000-0005-0000-0000-0000E8710000}"/>
    <cellStyle name="Percent 2 3 2 4 2 6 2" xfId="29364" xr:uid="{00000000-0005-0000-0000-0000E9710000}"/>
    <cellStyle name="Percent 2 3 2 4 2 7" xfId="20334" xr:uid="{00000000-0005-0000-0000-0000EA710000}"/>
    <cellStyle name="Percent 2 3 2 4 3" xfId="468" xr:uid="{00000000-0005-0000-0000-0000EB710000}"/>
    <cellStyle name="Percent 2 3 2 4 3 2" xfId="1215" xr:uid="{00000000-0005-0000-0000-0000EC710000}"/>
    <cellStyle name="Percent 2 3 2 4 3 2 2" xfId="2709" xr:uid="{00000000-0005-0000-0000-0000ED710000}"/>
    <cellStyle name="Percent 2 3 2 4 3 2 2 2" xfId="7191" xr:uid="{00000000-0005-0000-0000-0000EE710000}"/>
    <cellStyle name="Percent 2 3 2 4 3 2 2 2 2" xfId="16221" xr:uid="{00000000-0005-0000-0000-0000EF710000}"/>
    <cellStyle name="Percent 2 3 2 4 3 2 2 2 2 2" xfId="36273" xr:uid="{00000000-0005-0000-0000-0000F0710000}"/>
    <cellStyle name="Percent 2 3 2 4 3 2 2 2 3" xfId="27243" xr:uid="{00000000-0005-0000-0000-0000F1710000}"/>
    <cellStyle name="Percent 2 3 2 4 3 2 2 3" xfId="11739" xr:uid="{00000000-0005-0000-0000-0000F2710000}"/>
    <cellStyle name="Percent 2 3 2 4 3 2 2 3 2" xfId="31791" xr:uid="{00000000-0005-0000-0000-0000F3710000}"/>
    <cellStyle name="Percent 2 3 2 4 3 2 2 4" xfId="22761" xr:uid="{00000000-0005-0000-0000-0000F4710000}"/>
    <cellStyle name="Percent 2 3 2 4 3 2 3" xfId="4203" xr:uid="{00000000-0005-0000-0000-0000F5710000}"/>
    <cellStyle name="Percent 2 3 2 4 3 2 3 2" xfId="8685" xr:uid="{00000000-0005-0000-0000-0000F6710000}"/>
    <cellStyle name="Percent 2 3 2 4 3 2 3 2 2" xfId="17715" xr:uid="{00000000-0005-0000-0000-0000F7710000}"/>
    <cellStyle name="Percent 2 3 2 4 3 2 3 2 2 2" xfId="37767" xr:uid="{00000000-0005-0000-0000-0000F8710000}"/>
    <cellStyle name="Percent 2 3 2 4 3 2 3 2 3" xfId="28737" xr:uid="{00000000-0005-0000-0000-0000F9710000}"/>
    <cellStyle name="Percent 2 3 2 4 3 2 3 3" xfId="13233" xr:uid="{00000000-0005-0000-0000-0000FA710000}"/>
    <cellStyle name="Percent 2 3 2 4 3 2 3 3 2" xfId="33285" xr:uid="{00000000-0005-0000-0000-0000FB710000}"/>
    <cellStyle name="Percent 2 3 2 4 3 2 3 4" xfId="24255" xr:uid="{00000000-0005-0000-0000-0000FC710000}"/>
    <cellStyle name="Percent 2 3 2 4 3 2 4" xfId="5697" xr:uid="{00000000-0005-0000-0000-0000FD710000}"/>
    <cellStyle name="Percent 2 3 2 4 3 2 4 2" xfId="14727" xr:uid="{00000000-0005-0000-0000-0000FE710000}"/>
    <cellStyle name="Percent 2 3 2 4 3 2 4 2 2" xfId="34779" xr:uid="{00000000-0005-0000-0000-0000FF710000}"/>
    <cellStyle name="Percent 2 3 2 4 3 2 4 3" xfId="25749" xr:uid="{00000000-0005-0000-0000-000000720000}"/>
    <cellStyle name="Percent 2 3 2 4 3 2 5" xfId="10245" xr:uid="{00000000-0005-0000-0000-000001720000}"/>
    <cellStyle name="Percent 2 3 2 4 3 2 5 2" xfId="30297" xr:uid="{00000000-0005-0000-0000-000002720000}"/>
    <cellStyle name="Percent 2 3 2 4 3 2 6" xfId="21267" xr:uid="{00000000-0005-0000-0000-000003720000}"/>
    <cellStyle name="Percent 2 3 2 4 3 3" xfId="1962" xr:uid="{00000000-0005-0000-0000-000004720000}"/>
    <cellStyle name="Percent 2 3 2 4 3 3 2" xfId="6444" xr:uid="{00000000-0005-0000-0000-000005720000}"/>
    <cellStyle name="Percent 2 3 2 4 3 3 2 2" xfId="15474" xr:uid="{00000000-0005-0000-0000-000006720000}"/>
    <cellStyle name="Percent 2 3 2 4 3 3 2 2 2" xfId="35526" xr:uid="{00000000-0005-0000-0000-000007720000}"/>
    <cellStyle name="Percent 2 3 2 4 3 3 2 3" xfId="26496" xr:uid="{00000000-0005-0000-0000-000008720000}"/>
    <cellStyle name="Percent 2 3 2 4 3 3 3" xfId="10992" xr:uid="{00000000-0005-0000-0000-000009720000}"/>
    <cellStyle name="Percent 2 3 2 4 3 3 3 2" xfId="31044" xr:uid="{00000000-0005-0000-0000-00000A720000}"/>
    <cellStyle name="Percent 2 3 2 4 3 3 4" xfId="22014" xr:uid="{00000000-0005-0000-0000-00000B720000}"/>
    <cellStyle name="Percent 2 3 2 4 3 4" xfId="3456" xr:uid="{00000000-0005-0000-0000-00000C720000}"/>
    <cellStyle name="Percent 2 3 2 4 3 4 2" xfId="7938" xr:uid="{00000000-0005-0000-0000-00000D720000}"/>
    <cellStyle name="Percent 2 3 2 4 3 4 2 2" xfId="16968" xr:uid="{00000000-0005-0000-0000-00000E720000}"/>
    <cellStyle name="Percent 2 3 2 4 3 4 2 2 2" xfId="37020" xr:uid="{00000000-0005-0000-0000-00000F720000}"/>
    <cellStyle name="Percent 2 3 2 4 3 4 2 3" xfId="27990" xr:uid="{00000000-0005-0000-0000-000010720000}"/>
    <cellStyle name="Percent 2 3 2 4 3 4 3" xfId="12486" xr:uid="{00000000-0005-0000-0000-000011720000}"/>
    <cellStyle name="Percent 2 3 2 4 3 4 3 2" xfId="32538" xr:uid="{00000000-0005-0000-0000-000012720000}"/>
    <cellStyle name="Percent 2 3 2 4 3 4 4" xfId="23508" xr:uid="{00000000-0005-0000-0000-000013720000}"/>
    <cellStyle name="Percent 2 3 2 4 3 5" xfId="4950" xr:uid="{00000000-0005-0000-0000-000014720000}"/>
    <cellStyle name="Percent 2 3 2 4 3 5 2" xfId="13980" xr:uid="{00000000-0005-0000-0000-000015720000}"/>
    <cellStyle name="Percent 2 3 2 4 3 5 2 2" xfId="34032" xr:uid="{00000000-0005-0000-0000-000016720000}"/>
    <cellStyle name="Percent 2 3 2 4 3 5 3" xfId="25002" xr:uid="{00000000-0005-0000-0000-000017720000}"/>
    <cellStyle name="Percent 2 3 2 4 3 6" xfId="9498" xr:uid="{00000000-0005-0000-0000-000018720000}"/>
    <cellStyle name="Percent 2 3 2 4 3 6 2" xfId="29550" xr:uid="{00000000-0005-0000-0000-000019720000}"/>
    <cellStyle name="Percent 2 3 2 4 3 7" xfId="20520" xr:uid="{00000000-0005-0000-0000-00001A720000}"/>
    <cellStyle name="Percent 2 3 2 4 4" xfId="654" xr:uid="{00000000-0005-0000-0000-00001B720000}"/>
    <cellStyle name="Percent 2 3 2 4 4 2" xfId="1401" xr:uid="{00000000-0005-0000-0000-00001C720000}"/>
    <cellStyle name="Percent 2 3 2 4 4 2 2" xfId="2895" xr:uid="{00000000-0005-0000-0000-00001D720000}"/>
    <cellStyle name="Percent 2 3 2 4 4 2 2 2" xfId="7377" xr:uid="{00000000-0005-0000-0000-00001E720000}"/>
    <cellStyle name="Percent 2 3 2 4 4 2 2 2 2" xfId="16407" xr:uid="{00000000-0005-0000-0000-00001F720000}"/>
    <cellStyle name="Percent 2 3 2 4 4 2 2 2 2 2" xfId="36459" xr:uid="{00000000-0005-0000-0000-000020720000}"/>
    <cellStyle name="Percent 2 3 2 4 4 2 2 2 3" xfId="27429" xr:uid="{00000000-0005-0000-0000-000021720000}"/>
    <cellStyle name="Percent 2 3 2 4 4 2 2 3" xfId="11925" xr:uid="{00000000-0005-0000-0000-000022720000}"/>
    <cellStyle name="Percent 2 3 2 4 4 2 2 3 2" xfId="31977" xr:uid="{00000000-0005-0000-0000-000023720000}"/>
    <cellStyle name="Percent 2 3 2 4 4 2 2 4" xfId="22947" xr:uid="{00000000-0005-0000-0000-000024720000}"/>
    <cellStyle name="Percent 2 3 2 4 4 2 3" xfId="4389" xr:uid="{00000000-0005-0000-0000-000025720000}"/>
    <cellStyle name="Percent 2 3 2 4 4 2 3 2" xfId="8871" xr:uid="{00000000-0005-0000-0000-000026720000}"/>
    <cellStyle name="Percent 2 3 2 4 4 2 3 2 2" xfId="17901" xr:uid="{00000000-0005-0000-0000-000027720000}"/>
    <cellStyle name="Percent 2 3 2 4 4 2 3 2 2 2" xfId="37953" xr:uid="{00000000-0005-0000-0000-000028720000}"/>
    <cellStyle name="Percent 2 3 2 4 4 2 3 2 3" xfId="28923" xr:uid="{00000000-0005-0000-0000-000029720000}"/>
    <cellStyle name="Percent 2 3 2 4 4 2 3 3" xfId="13419" xr:uid="{00000000-0005-0000-0000-00002A720000}"/>
    <cellStyle name="Percent 2 3 2 4 4 2 3 3 2" xfId="33471" xr:uid="{00000000-0005-0000-0000-00002B720000}"/>
    <cellStyle name="Percent 2 3 2 4 4 2 3 4" xfId="24441" xr:uid="{00000000-0005-0000-0000-00002C720000}"/>
    <cellStyle name="Percent 2 3 2 4 4 2 4" xfId="5883" xr:uid="{00000000-0005-0000-0000-00002D720000}"/>
    <cellStyle name="Percent 2 3 2 4 4 2 4 2" xfId="14913" xr:uid="{00000000-0005-0000-0000-00002E720000}"/>
    <cellStyle name="Percent 2 3 2 4 4 2 4 2 2" xfId="34965" xr:uid="{00000000-0005-0000-0000-00002F720000}"/>
    <cellStyle name="Percent 2 3 2 4 4 2 4 3" xfId="25935" xr:uid="{00000000-0005-0000-0000-000030720000}"/>
    <cellStyle name="Percent 2 3 2 4 4 2 5" xfId="10431" xr:uid="{00000000-0005-0000-0000-000031720000}"/>
    <cellStyle name="Percent 2 3 2 4 4 2 5 2" xfId="30483" xr:uid="{00000000-0005-0000-0000-000032720000}"/>
    <cellStyle name="Percent 2 3 2 4 4 2 6" xfId="21453" xr:uid="{00000000-0005-0000-0000-000033720000}"/>
    <cellStyle name="Percent 2 3 2 4 4 3" xfId="2148" xr:uid="{00000000-0005-0000-0000-000034720000}"/>
    <cellStyle name="Percent 2 3 2 4 4 3 2" xfId="6630" xr:uid="{00000000-0005-0000-0000-000035720000}"/>
    <cellStyle name="Percent 2 3 2 4 4 3 2 2" xfId="15660" xr:uid="{00000000-0005-0000-0000-000036720000}"/>
    <cellStyle name="Percent 2 3 2 4 4 3 2 2 2" xfId="35712" xr:uid="{00000000-0005-0000-0000-000037720000}"/>
    <cellStyle name="Percent 2 3 2 4 4 3 2 3" xfId="26682" xr:uid="{00000000-0005-0000-0000-000038720000}"/>
    <cellStyle name="Percent 2 3 2 4 4 3 3" xfId="11178" xr:uid="{00000000-0005-0000-0000-000039720000}"/>
    <cellStyle name="Percent 2 3 2 4 4 3 3 2" xfId="31230" xr:uid="{00000000-0005-0000-0000-00003A720000}"/>
    <cellStyle name="Percent 2 3 2 4 4 3 4" xfId="22200" xr:uid="{00000000-0005-0000-0000-00003B720000}"/>
    <cellStyle name="Percent 2 3 2 4 4 4" xfId="3642" xr:uid="{00000000-0005-0000-0000-00003C720000}"/>
    <cellStyle name="Percent 2 3 2 4 4 4 2" xfId="8124" xr:uid="{00000000-0005-0000-0000-00003D720000}"/>
    <cellStyle name="Percent 2 3 2 4 4 4 2 2" xfId="17154" xr:uid="{00000000-0005-0000-0000-00003E720000}"/>
    <cellStyle name="Percent 2 3 2 4 4 4 2 2 2" xfId="37206" xr:uid="{00000000-0005-0000-0000-00003F720000}"/>
    <cellStyle name="Percent 2 3 2 4 4 4 2 3" xfId="28176" xr:uid="{00000000-0005-0000-0000-000040720000}"/>
    <cellStyle name="Percent 2 3 2 4 4 4 3" xfId="12672" xr:uid="{00000000-0005-0000-0000-000041720000}"/>
    <cellStyle name="Percent 2 3 2 4 4 4 3 2" xfId="32724" xr:uid="{00000000-0005-0000-0000-000042720000}"/>
    <cellStyle name="Percent 2 3 2 4 4 4 4" xfId="23694" xr:uid="{00000000-0005-0000-0000-000043720000}"/>
    <cellStyle name="Percent 2 3 2 4 4 5" xfId="5136" xr:uid="{00000000-0005-0000-0000-000044720000}"/>
    <cellStyle name="Percent 2 3 2 4 4 5 2" xfId="14166" xr:uid="{00000000-0005-0000-0000-000045720000}"/>
    <cellStyle name="Percent 2 3 2 4 4 5 2 2" xfId="34218" xr:uid="{00000000-0005-0000-0000-000046720000}"/>
    <cellStyle name="Percent 2 3 2 4 4 5 3" xfId="25188" xr:uid="{00000000-0005-0000-0000-000047720000}"/>
    <cellStyle name="Percent 2 3 2 4 4 6" xfId="9684" xr:uid="{00000000-0005-0000-0000-000048720000}"/>
    <cellStyle name="Percent 2 3 2 4 4 6 2" xfId="29736" xr:uid="{00000000-0005-0000-0000-000049720000}"/>
    <cellStyle name="Percent 2 3 2 4 4 7" xfId="20706" xr:uid="{00000000-0005-0000-0000-00004A720000}"/>
    <cellStyle name="Percent 2 3 2 4 5" xfId="841" xr:uid="{00000000-0005-0000-0000-00004B720000}"/>
    <cellStyle name="Percent 2 3 2 4 5 2" xfId="2335" xr:uid="{00000000-0005-0000-0000-00004C720000}"/>
    <cellStyle name="Percent 2 3 2 4 5 2 2" xfId="6817" xr:uid="{00000000-0005-0000-0000-00004D720000}"/>
    <cellStyle name="Percent 2 3 2 4 5 2 2 2" xfId="15847" xr:uid="{00000000-0005-0000-0000-00004E720000}"/>
    <cellStyle name="Percent 2 3 2 4 5 2 2 2 2" xfId="35899" xr:uid="{00000000-0005-0000-0000-00004F720000}"/>
    <cellStyle name="Percent 2 3 2 4 5 2 2 3" xfId="26869" xr:uid="{00000000-0005-0000-0000-000050720000}"/>
    <cellStyle name="Percent 2 3 2 4 5 2 3" xfId="11365" xr:uid="{00000000-0005-0000-0000-000051720000}"/>
    <cellStyle name="Percent 2 3 2 4 5 2 3 2" xfId="31417" xr:uid="{00000000-0005-0000-0000-000052720000}"/>
    <cellStyle name="Percent 2 3 2 4 5 2 4" xfId="22387" xr:uid="{00000000-0005-0000-0000-000053720000}"/>
    <cellStyle name="Percent 2 3 2 4 5 3" xfId="3829" xr:uid="{00000000-0005-0000-0000-000054720000}"/>
    <cellStyle name="Percent 2 3 2 4 5 3 2" xfId="8311" xr:uid="{00000000-0005-0000-0000-000055720000}"/>
    <cellStyle name="Percent 2 3 2 4 5 3 2 2" xfId="17341" xr:uid="{00000000-0005-0000-0000-000056720000}"/>
    <cellStyle name="Percent 2 3 2 4 5 3 2 2 2" xfId="37393" xr:uid="{00000000-0005-0000-0000-000057720000}"/>
    <cellStyle name="Percent 2 3 2 4 5 3 2 3" xfId="28363" xr:uid="{00000000-0005-0000-0000-000058720000}"/>
    <cellStyle name="Percent 2 3 2 4 5 3 3" xfId="12859" xr:uid="{00000000-0005-0000-0000-000059720000}"/>
    <cellStyle name="Percent 2 3 2 4 5 3 3 2" xfId="32911" xr:uid="{00000000-0005-0000-0000-00005A720000}"/>
    <cellStyle name="Percent 2 3 2 4 5 3 4" xfId="23881" xr:uid="{00000000-0005-0000-0000-00005B720000}"/>
    <cellStyle name="Percent 2 3 2 4 5 4" xfId="5323" xr:uid="{00000000-0005-0000-0000-00005C720000}"/>
    <cellStyle name="Percent 2 3 2 4 5 4 2" xfId="14353" xr:uid="{00000000-0005-0000-0000-00005D720000}"/>
    <cellStyle name="Percent 2 3 2 4 5 4 2 2" xfId="34405" xr:uid="{00000000-0005-0000-0000-00005E720000}"/>
    <cellStyle name="Percent 2 3 2 4 5 4 3" xfId="25375" xr:uid="{00000000-0005-0000-0000-00005F720000}"/>
    <cellStyle name="Percent 2 3 2 4 5 5" xfId="9871" xr:uid="{00000000-0005-0000-0000-000060720000}"/>
    <cellStyle name="Percent 2 3 2 4 5 5 2" xfId="29923" xr:uid="{00000000-0005-0000-0000-000061720000}"/>
    <cellStyle name="Percent 2 3 2 4 5 6" xfId="20893" xr:uid="{00000000-0005-0000-0000-000062720000}"/>
    <cellStyle name="Percent 2 3 2 4 6" xfId="1590" xr:uid="{00000000-0005-0000-0000-000063720000}"/>
    <cellStyle name="Percent 2 3 2 4 6 2" xfId="6072" xr:uid="{00000000-0005-0000-0000-000064720000}"/>
    <cellStyle name="Percent 2 3 2 4 6 2 2" xfId="15102" xr:uid="{00000000-0005-0000-0000-000065720000}"/>
    <cellStyle name="Percent 2 3 2 4 6 2 2 2" xfId="35154" xr:uid="{00000000-0005-0000-0000-000066720000}"/>
    <cellStyle name="Percent 2 3 2 4 6 2 3" xfId="26124" xr:uid="{00000000-0005-0000-0000-000067720000}"/>
    <cellStyle name="Percent 2 3 2 4 6 3" xfId="10620" xr:uid="{00000000-0005-0000-0000-000068720000}"/>
    <cellStyle name="Percent 2 3 2 4 6 3 2" xfId="30672" xr:uid="{00000000-0005-0000-0000-000069720000}"/>
    <cellStyle name="Percent 2 3 2 4 6 4" xfId="21642" xr:uid="{00000000-0005-0000-0000-00006A720000}"/>
    <cellStyle name="Percent 2 3 2 4 7" xfId="3084" xr:uid="{00000000-0005-0000-0000-00006B720000}"/>
    <cellStyle name="Percent 2 3 2 4 7 2" xfId="7566" xr:uid="{00000000-0005-0000-0000-00006C720000}"/>
    <cellStyle name="Percent 2 3 2 4 7 2 2" xfId="16596" xr:uid="{00000000-0005-0000-0000-00006D720000}"/>
    <cellStyle name="Percent 2 3 2 4 7 2 2 2" xfId="36648" xr:uid="{00000000-0005-0000-0000-00006E720000}"/>
    <cellStyle name="Percent 2 3 2 4 7 2 3" xfId="27618" xr:uid="{00000000-0005-0000-0000-00006F720000}"/>
    <cellStyle name="Percent 2 3 2 4 7 3" xfId="12114" xr:uid="{00000000-0005-0000-0000-000070720000}"/>
    <cellStyle name="Percent 2 3 2 4 7 3 2" xfId="32166" xr:uid="{00000000-0005-0000-0000-000071720000}"/>
    <cellStyle name="Percent 2 3 2 4 7 4" xfId="23136" xr:uid="{00000000-0005-0000-0000-000072720000}"/>
    <cellStyle name="Percent 2 3 2 4 8" xfId="4578" xr:uid="{00000000-0005-0000-0000-000073720000}"/>
    <cellStyle name="Percent 2 3 2 4 8 2" xfId="13608" xr:uid="{00000000-0005-0000-0000-000074720000}"/>
    <cellStyle name="Percent 2 3 2 4 8 2 2" xfId="33660" xr:uid="{00000000-0005-0000-0000-000075720000}"/>
    <cellStyle name="Percent 2 3 2 4 8 3" xfId="24630" xr:uid="{00000000-0005-0000-0000-000076720000}"/>
    <cellStyle name="Percent 2 3 2 4 9" xfId="9126" xr:uid="{00000000-0005-0000-0000-000077720000}"/>
    <cellStyle name="Percent 2 3 2 4 9 2" xfId="29178" xr:uid="{00000000-0005-0000-0000-000078720000}"/>
    <cellStyle name="Percent 2 3 2 5" xfId="119" xr:uid="{00000000-0005-0000-0000-000079720000}"/>
    <cellStyle name="Percent 2 3 2 5 10" xfId="20171" xr:uid="{00000000-0005-0000-0000-00007A720000}"/>
    <cellStyle name="Percent 2 3 2 5 2" xfId="305" xr:uid="{00000000-0005-0000-0000-00007B720000}"/>
    <cellStyle name="Percent 2 3 2 5 2 2" xfId="1048" xr:uid="{00000000-0005-0000-0000-00007C720000}"/>
    <cellStyle name="Percent 2 3 2 5 2 2 2" xfId="2542" xr:uid="{00000000-0005-0000-0000-00007D720000}"/>
    <cellStyle name="Percent 2 3 2 5 2 2 2 2" xfId="7024" xr:uid="{00000000-0005-0000-0000-00007E720000}"/>
    <cellStyle name="Percent 2 3 2 5 2 2 2 2 2" xfId="16054" xr:uid="{00000000-0005-0000-0000-00007F720000}"/>
    <cellStyle name="Percent 2 3 2 5 2 2 2 2 2 2" xfId="36106" xr:uid="{00000000-0005-0000-0000-000080720000}"/>
    <cellStyle name="Percent 2 3 2 5 2 2 2 2 3" xfId="27076" xr:uid="{00000000-0005-0000-0000-000081720000}"/>
    <cellStyle name="Percent 2 3 2 5 2 2 2 3" xfId="11572" xr:uid="{00000000-0005-0000-0000-000082720000}"/>
    <cellStyle name="Percent 2 3 2 5 2 2 2 3 2" xfId="31624" xr:uid="{00000000-0005-0000-0000-000083720000}"/>
    <cellStyle name="Percent 2 3 2 5 2 2 2 4" xfId="22594" xr:uid="{00000000-0005-0000-0000-000084720000}"/>
    <cellStyle name="Percent 2 3 2 5 2 2 3" xfId="4036" xr:uid="{00000000-0005-0000-0000-000085720000}"/>
    <cellStyle name="Percent 2 3 2 5 2 2 3 2" xfId="8518" xr:uid="{00000000-0005-0000-0000-000086720000}"/>
    <cellStyle name="Percent 2 3 2 5 2 2 3 2 2" xfId="17548" xr:uid="{00000000-0005-0000-0000-000087720000}"/>
    <cellStyle name="Percent 2 3 2 5 2 2 3 2 2 2" xfId="37600" xr:uid="{00000000-0005-0000-0000-000088720000}"/>
    <cellStyle name="Percent 2 3 2 5 2 2 3 2 3" xfId="28570" xr:uid="{00000000-0005-0000-0000-000089720000}"/>
    <cellStyle name="Percent 2 3 2 5 2 2 3 3" xfId="13066" xr:uid="{00000000-0005-0000-0000-00008A720000}"/>
    <cellStyle name="Percent 2 3 2 5 2 2 3 3 2" xfId="33118" xr:uid="{00000000-0005-0000-0000-00008B720000}"/>
    <cellStyle name="Percent 2 3 2 5 2 2 3 4" xfId="24088" xr:uid="{00000000-0005-0000-0000-00008C720000}"/>
    <cellStyle name="Percent 2 3 2 5 2 2 4" xfId="5530" xr:uid="{00000000-0005-0000-0000-00008D720000}"/>
    <cellStyle name="Percent 2 3 2 5 2 2 4 2" xfId="14560" xr:uid="{00000000-0005-0000-0000-00008E720000}"/>
    <cellStyle name="Percent 2 3 2 5 2 2 4 2 2" xfId="34612" xr:uid="{00000000-0005-0000-0000-00008F720000}"/>
    <cellStyle name="Percent 2 3 2 5 2 2 4 3" xfId="25582" xr:uid="{00000000-0005-0000-0000-000090720000}"/>
    <cellStyle name="Percent 2 3 2 5 2 2 5" xfId="10078" xr:uid="{00000000-0005-0000-0000-000091720000}"/>
    <cellStyle name="Percent 2 3 2 5 2 2 5 2" xfId="30130" xr:uid="{00000000-0005-0000-0000-000092720000}"/>
    <cellStyle name="Percent 2 3 2 5 2 2 6" xfId="21100" xr:uid="{00000000-0005-0000-0000-000093720000}"/>
    <cellStyle name="Percent 2 3 2 5 2 3" xfId="1799" xr:uid="{00000000-0005-0000-0000-000094720000}"/>
    <cellStyle name="Percent 2 3 2 5 2 3 2" xfId="6281" xr:uid="{00000000-0005-0000-0000-000095720000}"/>
    <cellStyle name="Percent 2 3 2 5 2 3 2 2" xfId="15311" xr:uid="{00000000-0005-0000-0000-000096720000}"/>
    <cellStyle name="Percent 2 3 2 5 2 3 2 2 2" xfId="35363" xr:uid="{00000000-0005-0000-0000-000097720000}"/>
    <cellStyle name="Percent 2 3 2 5 2 3 2 3" xfId="26333" xr:uid="{00000000-0005-0000-0000-000098720000}"/>
    <cellStyle name="Percent 2 3 2 5 2 3 3" xfId="10829" xr:uid="{00000000-0005-0000-0000-000099720000}"/>
    <cellStyle name="Percent 2 3 2 5 2 3 3 2" xfId="30881" xr:uid="{00000000-0005-0000-0000-00009A720000}"/>
    <cellStyle name="Percent 2 3 2 5 2 3 4" xfId="21851" xr:uid="{00000000-0005-0000-0000-00009B720000}"/>
    <cellStyle name="Percent 2 3 2 5 2 4" xfId="3293" xr:uid="{00000000-0005-0000-0000-00009C720000}"/>
    <cellStyle name="Percent 2 3 2 5 2 4 2" xfId="7775" xr:uid="{00000000-0005-0000-0000-00009D720000}"/>
    <cellStyle name="Percent 2 3 2 5 2 4 2 2" xfId="16805" xr:uid="{00000000-0005-0000-0000-00009E720000}"/>
    <cellStyle name="Percent 2 3 2 5 2 4 2 2 2" xfId="36857" xr:uid="{00000000-0005-0000-0000-00009F720000}"/>
    <cellStyle name="Percent 2 3 2 5 2 4 2 3" xfId="27827" xr:uid="{00000000-0005-0000-0000-0000A0720000}"/>
    <cellStyle name="Percent 2 3 2 5 2 4 3" xfId="12323" xr:uid="{00000000-0005-0000-0000-0000A1720000}"/>
    <cellStyle name="Percent 2 3 2 5 2 4 3 2" xfId="32375" xr:uid="{00000000-0005-0000-0000-0000A2720000}"/>
    <cellStyle name="Percent 2 3 2 5 2 4 4" xfId="23345" xr:uid="{00000000-0005-0000-0000-0000A3720000}"/>
    <cellStyle name="Percent 2 3 2 5 2 5" xfId="4787" xr:uid="{00000000-0005-0000-0000-0000A4720000}"/>
    <cellStyle name="Percent 2 3 2 5 2 5 2" xfId="13817" xr:uid="{00000000-0005-0000-0000-0000A5720000}"/>
    <cellStyle name="Percent 2 3 2 5 2 5 2 2" xfId="33869" xr:uid="{00000000-0005-0000-0000-0000A6720000}"/>
    <cellStyle name="Percent 2 3 2 5 2 5 3" xfId="24839" xr:uid="{00000000-0005-0000-0000-0000A7720000}"/>
    <cellStyle name="Percent 2 3 2 5 2 6" xfId="9335" xr:uid="{00000000-0005-0000-0000-0000A8720000}"/>
    <cellStyle name="Percent 2 3 2 5 2 6 2" xfId="29387" xr:uid="{00000000-0005-0000-0000-0000A9720000}"/>
    <cellStyle name="Percent 2 3 2 5 2 7" xfId="20357" xr:uid="{00000000-0005-0000-0000-0000AA720000}"/>
    <cellStyle name="Percent 2 3 2 5 3" xfId="491" xr:uid="{00000000-0005-0000-0000-0000AB720000}"/>
    <cellStyle name="Percent 2 3 2 5 3 2" xfId="1238" xr:uid="{00000000-0005-0000-0000-0000AC720000}"/>
    <cellStyle name="Percent 2 3 2 5 3 2 2" xfId="2732" xr:uid="{00000000-0005-0000-0000-0000AD720000}"/>
    <cellStyle name="Percent 2 3 2 5 3 2 2 2" xfId="7214" xr:uid="{00000000-0005-0000-0000-0000AE720000}"/>
    <cellStyle name="Percent 2 3 2 5 3 2 2 2 2" xfId="16244" xr:uid="{00000000-0005-0000-0000-0000AF720000}"/>
    <cellStyle name="Percent 2 3 2 5 3 2 2 2 2 2" xfId="36296" xr:uid="{00000000-0005-0000-0000-0000B0720000}"/>
    <cellStyle name="Percent 2 3 2 5 3 2 2 2 3" xfId="27266" xr:uid="{00000000-0005-0000-0000-0000B1720000}"/>
    <cellStyle name="Percent 2 3 2 5 3 2 2 3" xfId="11762" xr:uid="{00000000-0005-0000-0000-0000B2720000}"/>
    <cellStyle name="Percent 2 3 2 5 3 2 2 3 2" xfId="31814" xr:uid="{00000000-0005-0000-0000-0000B3720000}"/>
    <cellStyle name="Percent 2 3 2 5 3 2 2 4" xfId="22784" xr:uid="{00000000-0005-0000-0000-0000B4720000}"/>
    <cellStyle name="Percent 2 3 2 5 3 2 3" xfId="4226" xr:uid="{00000000-0005-0000-0000-0000B5720000}"/>
    <cellStyle name="Percent 2 3 2 5 3 2 3 2" xfId="8708" xr:uid="{00000000-0005-0000-0000-0000B6720000}"/>
    <cellStyle name="Percent 2 3 2 5 3 2 3 2 2" xfId="17738" xr:uid="{00000000-0005-0000-0000-0000B7720000}"/>
    <cellStyle name="Percent 2 3 2 5 3 2 3 2 2 2" xfId="37790" xr:uid="{00000000-0005-0000-0000-0000B8720000}"/>
    <cellStyle name="Percent 2 3 2 5 3 2 3 2 3" xfId="28760" xr:uid="{00000000-0005-0000-0000-0000B9720000}"/>
    <cellStyle name="Percent 2 3 2 5 3 2 3 3" xfId="13256" xr:uid="{00000000-0005-0000-0000-0000BA720000}"/>
    <cellStyle name="Percent 2 3 2 5 3 2 3 3 2" xfId="33308" xr:uid="{00000000-0005-0000-0000-0000BB720000}"/>
    <cellStyle name="Percent 2 3 2 5 3 2 3 4" xfId="24278" xr:uid="{00000000-0005-0000-0000-0000BC720000}"/>
    <cellStyle name="Percent 2 3 2 5 3 2 4" xfId="5720" xr:uid="{00000000-0005-0000-0000-0000BD720000}"/>
    <cellStyle name="Percent 2 3 2 5 3 2 4 2" xfId="14750" xr:uid="{00000000-0005-0000-0000-0000BE720000}"/>
    <cellStyle name="Percent 2 3 2 5 3 2 4 2 2" xfId="34802" xr:uid="{00000000-0005-0000-0000-0000BF720000}"/>
    <cellStyle name="Percent 2 3 2 5 3 2 4 3" xfId="25772" xr:uid="{00000000-0005-0000-0000-0000C0720000}"/>
    <cellStyle name="Percent 2 3 2 5 3 2 5" xfId="10268" xr:uid="{00000000-0005-0000-0000-0000C1720000}"/>
    <cellStyle name="Percent 2 3 2 5 3 2 5 2" xfId="30320" xr:uid="{00000000-0005-0000-0000-0000C2720000}"/>
    <cellStyle name="Percent 2 3 2 5 3 2 6" xfId="21290" xr:uid="{00000000-0005-0000-0000-0000C3720000}"/>
    <cellStyle name="Percent 2 3 2 5 3 3" xfId="1985" xr:uid="{00000000-0005-0000-0000-0000C4720000}"/>
    <cellStyle name="Percent 2 3 2 5 3 3 2" xfId="6467" xr:uid="{00000000-0005-0000-0000-0000C5720000}"/>
    <cellStyle name="Percent 2 3 2 5 3 3 2 2" xfId="15497" xr:uid="{00000000-0005-0000-0000-0000C6720000}"/>
    <cellStyle name="Percent 2 3 2 5 3 3 2 2 2" xfId="35549" xr:uid="{00000000-0005-0000-0000-0000C7720000}"/>
    <cellStyle name="Percent 2 3 2 5 3 3 2 3" xfId="26519" xr:uid="{00000000-0005-0000-0000-0000C8720000}"/>
    <cellStyle name="Percent 2 3 2 5 3 3 3" xfId="11015" xr:uid="{00000000-0005-0000-0000-0000C9720000}"/>
    <cellStyle name="Percent 2 3 2 5 3 3 3 2" xfId="31067" xr:uid="{00000000-0005-0000-0000-0000CA720000}"/>
    <cellStyle name="Percent 2 3 2 5 3 3 4" xfId="22037" xr:uid="{00000000-0005-0000-0000-0000CB720000}"/>
    <cellStyle name="Percent 2 3 2 5 3 4" xfId="3479" xr:uid="{00000000-0005-0000-0000-0000CC720000}"/>
    <cellStyle name="Percent 2 3 2 5 3 4 2" xfId="7961" xr:uid="{00000000-0005-0000-0000-0000CD720000}"/>
    <cellStyle name="Percent 2 3 2 5 3 4 2 2" xfId="16991" xr:uid="{00000000-0005-0000-0000-0000CE720000}"/>
    <cellStyle name="Percent 2 3 2 5 3 4 2 2 2" xfId="37043" xr:uid="{00000000-0005-0000-0000-0000CF720000}"/>
    <cellStyle name="Percent 2 3 2 5 3 4 2 3" xfId="28013" xr:uid="{00000000-0005-0000-0000-0000D0720000}"/>
    <cellStyle name="Percent 2 3 2 5 3 4 3" xfId="12509" xr:uid="{00000000-0005-0000-0000-0000D1720000}"/>
    <cellStyle name="Percent 2 3 2 5 3 4 3 2" xfId="32561" xr:uid="{00000000-0005-0000-0000-0000D2720000}"/>
    <cellStyle name="Percent 2 3 2 5 3 4 4" xfId="23531" xr:uid="{00000000-0005-0000-0000-0000D3720000}"/>
    <cellStyle name="Percent 2 3 2 5 3 5" xfId="4973" xr:uid="{00000000-0005-0000-0000-0000D4720000}"/>
    <cellStyle name="Percent 2 3 2 5 3 5 2" xfId="14003" xr:uid="{00000000-0005-0000-0000-0000D5720000}"/>
    <cellStyle name="Percent 2 3 2 5 3 5 2 2" xfId="34055" xr:uid="{00000000-0005-0000-0000-0000D6720000}"/>
    <cellStyle name="Percent 2 3 2 5 3 5 3" xfId="25025" xr:uid="{00000000-0005-0000-0000-0000D7720000}"/>
    <cellStyle name="Percent 2 3 2 5 3 6" xfId="9521" xr:uid="{00000000-0005-0000-0000-0000D8720000}"/>
    <cellStyle name="Percent 2 3 2 5 3 6 2" xfId="29573" xr:uid="{00000000-0005-0000-0000-0000D9720000}"/>
    <cellStyle name="Percent 2 3 2 5 3 7" xfId="20543" xr:uid="{00000000-0005-0000-0000-0000DA720000}"/>
    <cellStyle name="Percent 2 3 2 5 4" xfId="677" xr:uid="{00000000-0005-0000-0000-0000DB720000}"/>
    <cellStyle name="Percent 2 3 2 5 4 2" xfId="1424" xr:uid="{00000000-0005-0000-0000-0000DC720000}"/>
    <cellStyle name="Percent 2 3 2 5 4 2 2" xfId="2918" xr:uid="{00000000-0005-0000-0000-0000DD720000}"/>
    <cellStyle name="Percent 2 3 2 5 4 2 2 2" xfId="7400" xr:uid="{00000000-0005-0000-0000-0000DE720000}"/>
    <cellStyle name="Percent 2 3 2 5 4 2 2 2 2" xfId="16430" xr:uid="{00000000-0005-0000-0000-0000DF720000}"/>
    <cellStyle name="Percent 2 3 2 5 4 2 2 2 2 2" xfId="36482" xr:uid="{00000000-0005-0000-0000-0000E0720000}"/>
    <cellStyle name="Percent 2 3 2 5 4 2 2 2 3" xfId="27452" xr:uid="{00000000-0005-0000-0000-0000E1720000}"/>
    <cellStyle name="Percent 2 3 2 5 4 2 2 3" xfId="11948" xr:uid="{00000000-0005-0000-0000-0000E2720000}"/>
    <cellStyle name="Percent 2 3 2 5 4 2 2 3 2" xfId="32000" xr:uid="{00000000-0005-0000-0000-0000E3720000}"/>
    <cellStyle name="Percent 2 3 2 5 4 2 2 4" xfId="22970" xr:uid="{00000000-0005-0000-0000-0000E4720000}"/>
    <cellStyle name="Percent 2 3 2 5 4 2 3" xfId="4412" xr:uid="{00000000-0005-0000-0000-0000E5720000}"/>
    <cellStyle name="Percent 2 3 2 5 4 2 3 2" xfId="8894" xr:uid="{00000000-0005-0000-0000-0000E6720000}"/>
    <cellStyle name="Percent 2 3 2 5 4 2 3 2 2" xfId="17924" xr:uid="{00000000-0005-0000-0000-0000E7720000}"/>
    <cellStyle name="Percent 2 3 2 5 4 2 3 2 2 2" xfId="37976" xr:uid="{00000000-0005-0000-0000-0000E8720000}"/>
    <cellStyle name="Percent 2 3 2 5 4 2 3 2 3" xfId="28946" xr:uid="{00000000-0005-0000-0000-0000E9720000}"/>
    <cellStyle name="Percent 2 3 2 5 4 2 3 3" xfId="13442" xr:uid="{00000000-0005-0000-0000-0000EA720000}"/>
    <cellStyle name="Percent 2 3 2 5 4 2 3 3 2" xfId="33494" xr:uid="{00000000-0005-0000-0000-0000EB720000}"/>
    <cellStyle name="Percent 2 3 2 5 4 2 3 4" xfId="24464" xr:uid="{00000000-0005-0000-0000-0000EC720000}"/>
    <cellStyle name="Percent 2 3 2 5 4 2 4" xfId="5906" xr:uid="{00000000-0005-0000-0000-0000ED720000}"/>
    <cellStyle name="Percent 2 3 2 5 4 2 4 2" xfId="14936" xr:uid="{00000000-0005-0000-0000-0000EE720000}"/>
    <cellStyle name="Percent 2 3 2 5 4 2 4 2 2" xfId="34988" xr:uid="{00000000-0005-0000-0000-0000EF720000}"/>
    <cellStyle name="Percent 2 3 2 5 4 2 4 3" xfId="25958" xr:uid="{00000000-0005-0000-0000-0000F0720000}"/>
    <cellStyle name="Percent 2 3 2 5 4 2 5" xfId="10454" xr:uid="{00000000-0005-0000-0000-0000F1720000}"/>
    <cellStyle name="Percent 2 3 2 5 4 2 5 2" xfId="30506" xr:uid="{00000000-0005-0000-0000-0000F2720000}"/>
    <cellStyle name="Percent 2 3 2 5 4 2 6" xfId="21476" xr:uid="{00000000-0005-0000-0000-0000F3720000}"/>
    <cellStyle name="Percent 2 3 2 5 4 3" xfId="2171" xr:uid="{00000000-0005-0000-0000-0000F4720000}"/>
    <cellStyle name="Percent 2 3 2 5 4 3 2" xfId="6653" xr:uid="{00000000-0005-0000-0000-0000F5720000}"/>
    <cellStyle name="Percent 2 3 2 5 4 3 2 2" xfId="15683" xr:uid="{00000000-0005-0000-0000-0000F6720000}"/>
    <cellStyle name="Percent 2 3 2 5 4 3 2 2 2" xfId="35735" xr:uid="{00000000-0005-0000-0000-0000F7720000}"/>
    <cellStyle name="Percent 2 3 2 5 4 3 2 3" xfId="26705" xr:uid="{00000000-0005-0000-0000-0000F8720000}"/>
    <cellStyle name="Percent 2 3 2 5 4 3 3" xfId="11201" xr:uid="{00000000-0005-0000-0000-0000F9720000}"/>
    <cellStyle name="Percent 2 3 2 5 4 3 3 2" xfId="31253" xr:uid="{00000000-0005-0000-0000-0000FA720000}"/>
    <cellStyle name="Percent 2 3 2 5 4 3 4" xfId="22223" xr:uid="{00000000-0005-0000-0000-0000FB720000}"/>
    <cellStyle name="Percent 2 3 2 5 4 4" xfId="3665" xr:uid="{00000000-0005-0000-0000-0000FC720000}"/>
    <cellStyle name="Percent 2 3 2 5 4 4 2" xfId="8147" xr:uid="{00000000-0005-0000-0000-0000FD720000}"/>
    <cellStyle name="Percent 2 3 2 5 4 4 2 2" xfId="17177" xr:uid="{00000000-0005-0000-0000-0000FE720000}"/>
    <cellStyle name="Percent 2 3 2 5 4 4 2 2 2" xfId="37229" xr:uid="{00000000-0005-0000-0000-0000FF720000}"/>
    <cellStyle name="Percent 2 3 2 5 4 4 2 3" xfId="28199" xr:uid="{00000000-0005-0000-0000-000000730000}"/>
    <cellStyle name="Percent 2 3 2 5 4 4 3" xfId="12695" xr:uid="{00000000-0005-0000-0000-000001730000}"/>
    <cellStyle name="Percent 2 3 2 5 4 4 3 2" xfId="32747" xr:uid="{00000000-0005-0000-0000-000002730000}"/>
    <cellStyle name="Percent 2 3 2 5 4 4 4" xfId="23717" xr:uid="{00000000-0005-0000-0000-000003730000}"/>
    <cellStyle name="Percent 2 3 2 5 4 5" xfId="5159" xr:uid="{00000000-0005-0000-0000-000004730000}"/>
    <cellStyle name="Percent 2 3 2 5 4 5 2" xfId="14189" xr:uid="{00000000-0005-0000-0000-000005730000}"/>
    <cellStyle name="Percent 2 3 2 5 4 5 2 2" xfId="34241" xr:uid="{00000000-0005-0000-0000-000006730000}"/>
    <cellStyle name="Percent 2 3 2 5 4 5 3" xfId="25211" xr:uid="{00000000-0005-0000-0000-000007730000}"/>
    <cellStyle name="Percent 2 3 2 5 4 6" xfId="9707" xr:uid="{00000000-0005-0000-0000-000008730000}"/>
    <cellStyle name="Percent 2 3 2 5 4 6 2" xfId="29759" xr:uid="{00000000-0005-0000-0000-000009730000}"/>
    <cellStyle name="Percent 2 3 2 5 4 7" xfId="20729" xr:uid="{00000000-0005-0000-0000-00000A730000}"/>
    <cellStyle name="Percent 2 3 2 5 5" xfId="864" xr:uid="{00000000-0005-0000-0000-00000B730000}"/>
    <cellStyle name="Percent 2 3 2 5 5 2" xfId="2358" xr:uid="{00000000-0005-0000-0000-00000C730000}"/>
    <cellStyle name="Percent 2 3 2 5 5 2 2" xfId="6840" xr:uid="{00000000-0005-0000-0000-00000D730000}"/>
    <cellStyle name="Percent 2 3 2 5 5 2 2 2" xfId="15870" xr:uid="{00000000-0005-0000-0000-00000E730000}"/>
    <cellStyle name="Percent 2 3 2 5 5 2 2 2 2" xfId="35922" xr:uid="{00000000-0005-0000-0000-00000F730000}"/>
    <cellStyle name="Percent 2 3 2 5 5 2 2 3" xfId="26892" xr:uid="{00000000-0005-0000-0000-000010730000}"/>
    <cellStyle name="Percent 2 3 2 5 5 2 3" xfId="11388" xr:uid="{00000000-0005-0000-0000-000011730000}"/>
    <cellStyle name="Percent 2 3 2 5 5 2 3 2" xfId="31440" xr:uid="{00000000-0005-0000-0000-000012730000}"/>
    <cellStyle name="Percent 2 3 2 5 5 2 4" xfId="22410" xr:uid="{00000000-0005-0000-0000-000013730000}"/>
    <cellStyle name="Percent 2 3 2 5 5 3" xfId="3852" xr:uid="{00000000-0005-0000-0000-000014730000}"/>
    <cellStyle name="Percent 2 3 2 5 5 3 2" xfId="8334" xr:uid="{00000000-0005-0000-0000-000015730000}"/>
    <cellStyle name="Percent 2 3 2 5 5 3 2 2" xfId="17364" xr:uid="{00000000-0005-0000-0000-000016730000}"/>
    <cellStyle name="Percent 2 3 2 5 5 3 2 2 2" xfId="37416" xr:uid="{00000000-0005-0000-0000-000017730000}"/>
    <cellStyle name="Percent 2 3 2 5 5 3 2 3" xfId="28386" xr:uid="{00000000-0005-0000-0000-000018730000}"/>
    <cellStyle name="Percent 2 3 2 5 5 3 3" xfId="12882" xr:uid="{00000000-0005-0000-0000-000019730000}"/>
    <cellStyle name="Percent 2 3 2 5 5 3 3 2" xfId="32934" xr:uid="{00000000-0005-0000-0000-00001A730000}"/>
    <cellStyle name="Percent 2 3 2 5 5 3 4" xfId="23904" xr:uid="{00000000-0005-0000-0000-00001B730000}"/>
    <cellStyle name="Percent 2 3 2 5 5 4" xfId="5346" xr:uid="{00000000-0005-0000-0000-00001C730000}"/>
    <cellStyle name="Percent 2 3 2 5 5 4 2" xfId="14376" xr:uid="{00000000-0005-0000-0000-00001D730000}"/>
    <cellStyle name="Percent 2 3 2 5 5 4 2 2" xfId="34428" xr:uid="{00000000-0005-0000-0000-00001E730000}"/>
    <cellStyle name="Percent 2 3 2 5 5 4 3" xfId="25398" xr:uid="{00000000-0005-0000-0000-00001F730000}"/>
    <cellStyle name="Percent 2 3 2 5 5 5" xfId="9894" xr:uid="{00000000-0005-0000-0000-000020730000}"/>
    <cellStyle name="Percent 2 3 2 5 5 5 2" xfId="29946" xr:uid="{00000000-0005-0000-0000-000021730000}"/>
    <cellStyle name="Percent 2 3 2 5 5 6" xfId="20916" xr:uid="{00000000-0005-0000-0000-000022730000}"/>
    <cellStyle name="Percent 2 3 2 5 6" xfId="1613" xr:uid="{00000000-0005-0000-0000-000023730000}"/>
    <cellStyle name="Percent 2 3 2 5 6 2" xfId="6095" xr:uid="{00000000-0005-0000-0000-000024730000}"/>
    <cellStyle name="Percent 2 3 2 5 6 2 2" xfId="15125" xr:uid="{00000000-0005-0000-0000-000025730000}"/>
    <cellStyle name="Percent 2 3 2 5 6 2 2 2" xfId="35177" xr:uid="{00000000-0005-0000-0000-000026730000}"/>
    <cellStyle name="Percent 2 3 2 5 6 2 3" xfId="26147" xr:uid="{00000000-0005-0000-0000-000027730000}"/>
    <cellStyle name="Percent 2 3 2 5 6 3" xfId="10643" xr:uid="{00000000-0005-0000-0000-000028730000}"/>
    <cellStyle name="Percent 2 3 2 5 6 3 2" xfId="30695" xr:uid="{00000000-0005-0000-0000-000029730000}"/>
    <cellStyle name="Percent 2 3 2 5 6 4" xfId="21665" xr:uid="{00000000-0005-0000-0000-00002A730000}"/>
    <cellStyle name="Percent 2 3 2 5 7" xfId="3107" xr:uid="{00000000-0005-0000-0000-00002B730000}"/>
    <cellStyle name="Percent 2 3 2 5 7 2" xfId="7589" xr:uid="{00000000-0005-0000-0000-00002C730000}"/>
    <cellStyle name="Percent 2 3 2 5 7 2 2" xfId="16619" xr:uid="{00000000-0005-0000-0000-00002D730000}"/>
    <cellStyle name="Percent 2 3 2 5 7 2 2 2" xfId="36671" xr:uid="{00000000-0005-0000-0000-00002E730000}"/>
    <cellStyle name="Percent 2 3 2 5 7 2 3" xfId="27641" xr:uid="{00000000-0005-0000-0000-00002F730000}"/>
    <cellStyle name="Percent 2 3 2 5 7 3" xfId="12137" xr:uid="{00000000-0005-0000-0000-000030730000}"/>
    <cellStyle name="Percent 2 3 2 5 7 3 2" xfId="32189" xr:uid="{00000000-0005-0000-0000-000031730000}"/>
    <cellStyle name="Percent 2 3 2 5 7 4" xfId="23159" xr:uid="{00000000-0005-0000-0000-000032730000}"/>
    <cellStyle name="Percent 2 3 2 5 8" xfId="4601" xr:uid="{00000000-0005-0000-0000-000033730000}"/>
    <cellStyle name="Percent 2 3 2 5 8 2" xfId="13631" xr:uid="{00000000-0005-0000-0000-000034730000}"/>
    <cellStyle name="Percent 2 3 2 5 8 2 2" xfId="33683" xr:uid="{00000000-0005-0000-0000-000035730000}"/>
    <cellStyle name="Percent 2 3 2 5 8 3" xfId="24653" xr:uid="{00000000-0005-0000-0000-000036730000}"/>
    <cellStyle name="Percent 2 3 2 5 9" xfId="9149" xr:uid="{00000000-0005-0000-0000-000037730000}"/>
    <cellStyle name="Percent 2 3 2 5 9 2" xfId="29201" xr:uid="{00000000-0005-0000-0000-000038730000}"/>
    <cellStyle name="Percent 2 3 2 6" xfId="143" xr:uid="{00000000-0005-0000-0000-000039730000}"/>
    <cellStyle name="Percent 2 3 2 6 10" xfId="20195" xr:uid="{00000000-0005-0000-0000-00003A730000}"/>
    <cellStyle name="Percent 2 3 2 6 2" xfId="329" xr:uid="{00000000-0005-0000-0000-00003B730000}"/>
    <cellStyle name="Percent 2 3 2 6 2 2" xfId="1072" xr:uid="{00000000-0005-0000-0000-00003C730000}"/>
    <cellStyle name="Percent 2 3 2 6 2 2 2" xfId="2566" xr:uid="{00000000-0005-0000-0000-00003D730000}"/>
    <cellStyle name="Percent 2 3 2 6 2 2 2 2" xfId="7048" xr:uid="{00000000-0005-0000-0000-00003E730000}"/>
    <cellStyle name="Percent 2 3 2 6 2 2 2 2 2" xfId="16078" xr:uid="{00000000-0005-0000-0000-00003F730000}"/>
    <cellStyle name="Percent 2 3 2 6 2 2 2 2 2 2" xfId="36130" xr:uid="{00000000-0005-0000-0000-000040730000}"/>
    <cellStyle name="Percent 2 3 2 6 2 2 2 2 3" xfId="27100" xr:uid="{00000000-0005-0000-0000-000041730000}"/>
    <cellStyle name="Percent 2 3 2 6 2 2 2 3" xfId="11596" xr:uid="{00000000-0005-0000-0000-000042730000}"/>
    <cellStyle name="Percent 2 3 2 6 2 2 2 3 2" xfId="31648" xr:uid="{00000000-0005-0000-0000-000043730000}"/>
    <cellStyle name="Percent 2 3 2 6 2 2 2 4" xfId="22618" xr:uid="{00000000-0005-0000-0000-000044730000}"/>
    <cellStyle name="Percent 2 3 2 6 2 2 3" xfId="4060" xr:uid="{00000000-0005-0000-0000-000045730000}"/>
    <cellStyle name="Percent 2 3 2 6 2 2 3 2" xfId="8542" xr:uid="{00000000-0005-0000-0000-000046730000}"/>
    <cellStyle name="Percent 2 3 2 6 2 2 3 2 2" xfId="17572" xr:uid="{00000000-0005-0000-0000-000047730000}"/>
    <cellStyle name="Percent 2 3 2 6 2 2 3 2 2 2" xfId="37624" xr:uid="{00000000-0005-0000-0000-000048730000}"/>
    <cellStyle name="Percent 2 3 2 6 2 2 3 2 3" xfId="28594" xr:uid="{00000000-0005-0000-0000-000049730000}"/>
    <cellStyle name="Percent 2 3 2 6 2 2 3 3" xfId="13090" xr:uid="{00000000-0005-0000-0000-00004A730000}"/>
    <cellStyle name="Percent 2 3 2 6 2 2 3 3 2" xfId="33142" xr:uid="{00000000-0005-0000-0000-00004B730000}"/>
    <cellStyle name="Percent 2 3 2 6 2 2 3 4" xfId="24112" xr:uid="{00000000-0005-0000-0000-00004C730000}"/>
    <cellStyle name="Percent 2 3 2 6 2 2 4" xfId="5554" xr:uid="{00000000-0005-0000-0000-00004D730000}"/>
    <cellStyle name="Percent 2 3 2 6 2 2 4 2" xfId="14584" xr:uid="{00000000-0005-0000-0000-00004E730000}"/>
    <cellStyle name="Percent 2 3 2 6 2 2 4 2 2" xfId="34636" xr:uid="{00000000-0005-0000-0000-00004F730000}"/>
    <cellStyle name="Percent 2 3 2 6 2 2 4 3" xfId="25606" xr:uid="{00000000-0005-0000-0000-000050730000}"/>
    <cellStyle name="Percent 2 3 2 6 2 2 5" xfId="10102" xr:uid="{00000000-0005-0000-0000-000051730000}"/>
    <cellStyle name="Percent 2 3 2 6 2 2 5 2" xfId="30154" xr:uid="{00000000-0005-0000-0000-000052730000}"/>
    <cellStyle name="Percent 2 3 2 6 2 2 6" xfId="21124" xr:uid="{00000000-0005-0000-0000-000053730000}"/>
    <cellStyle name="Percent 2 3 2 6 2 3" xfId="1823" xr:uid="{00000000-0005-0000-0000-000054730000}"/>
    <cellStyle name="Percent 2 3 2 6 2 3 2" xfId="6305" xr:uid="{00000000-0005-0000-0000-000055730000}"/>
    <cellStyle name="Percent 2 3 2 6 2 3 2 2" xfId="15335" xr:uid="{00000000-0005-0000-0000-000056730000}"/>
    <cellStyle name="Percent 2 3 2 6 2 3 2 2 2" xfId="35387" xr:uid="{00000000-0005-0000-0000-000057730000}"/>
    <cellStyle name="Percent 2 3 2 6 2 3 2 3" xfId="26357" xr:uid="{00000000-0005-0000-0000-000058730000}"/>
    <cellStyle name="Percent 2 3 2 6 2 3 3" xfId="10853" xr:uid="{00000000-0005-0000-0000-000059730000}"/>
    <cellStyle name="Percent 2 3 2 6 2 3 3 2" xfId="30905" xr:uid="{00000000-0005-0000-0000-00005A730000}"/>
    <cellStyle name="Percent 2 3 2 6 2 3 4" xfId="21875" xr:uid="{00000000-0005-0000-0000-00005B730000}"/>
    <cellStyle name="Percent 2 3 2 6 2 4" xfId="3317" xr:uid="{00000000-0005-0000-0000-00005C730000}"/>
    <cellStyle name="Percent 2 3 2 6 2 4 2" xfId="7799" xr:uid="{00000000-0005-0000-0000-00005D730000}"/>
    <cellStyle name="Percent 2 3 2 6 2 4 2 2" xfId="16829" xr:uid="{00000000-0005-0000-0000-00005E730000}"/>
    <cellStyle name="Percent 2 3 2 6 2 4 2 2 2" xfId="36881" xr:uid="{00000000-0005-0000-0000-00005F730000}"/>
    <cellStyle name="Percent 2 3 2 6 2 4 2 3" xfId="27851" xr:uid="{00000000-0005-0000-0000-000060730000}"/>
    <cellStyle name="Percent 2 3 2 6 2 4 3" xfId="12347" xr:uid="{00000000-0005-0000-0000-000061730000}"/>
    <cellStyle name="Percent 2 3 2 6 2 4 3 2" xfId="32399" xr:uid="{00000000-0005-0000-0000-000062730000}"/>
    <cellStyle name="Percent 2 3 2 6 2 4 4" xfId="23369" xr:uid="{00000000-0005-0000-0000-000063730000}"/>
    <cellStyle name="Percent 2 3 2 6 2 5" xfId="4811" xr:uid="{00000000-0005-0000-0000-000064730000}"/>
    <cellStyle name="Percent 2 3 2 6 2 5 2" xfId="13841" xr:uid="{00000000-0005-0000-0000-000065730000}"/>
    <cellStyle name="Percent 2 3 2 6 2 5 2 2" xfId="33893" xr:uid="{00000000-0005-0000-0000-000066730000}"/>
    <cellStyle name="Percent 2 3 2 6 2 5 3" xfId="24863" xr:uid="{00000000-0005-0000-0000-000067730000}"/>
    <cellStyle name="Percent 2 3 2 6 2 6" xfId="9359" xr:uid="{00000000-0005-0000-0000-000068730000}"/>
    <cellStyle name="Percent 2 3 2 6 2 6 2" xfId="29411" xr:uid="{00000000-0005-0000-0000-000069730000}"/>
    <cellStyle name="Percent 2 3 2 6 2 7" xfId="20381" xr:uid="{00000000-0005-0000-0000-00006A730000}"/>
    <cellStyle name="Percent 2 3 2 6 3" xfId="515" xr:uid="{00000000-0005-0000-0000-00006B730000}"/>
    <cellStyle name="Percent 2 3 2 6 3 2" xfId="1262" xr:uid="{00000000-0005-0000-0000-00006C730000}"/>
    <cellStyle name="Percent 2 3 2 6 3 2 2" xfId="2756" xr:uid="{00000000-0005-0000-0000-00006D730000}"/>
    <cellStyle name="Percent 2 3 2 6 3 2 2 2" xfId="7238" xr:uid="{00000000-0005-0000-0000-00006E730000}"/>
    <cellStyle name="Percent 2 3 2 6 3 2 2 2 2" xfId="16268" xr:uid="{00000000-0005-0000-0000-00006F730000}"/>
    <cellStyle name="Percent 2 3 2 6 3 2 2 2 2 2" xfId="36320" xr:uid="{00000000-0005-0000-0000-000070730000}"/>
    <cellStyle name="Percent 2 3 2 6 3 2 2 2 3" xfId="27290" xr:uid="{00000000-0005-0000-0000-000071730000}"/>
    <cellStyle name="Percent 2 3 2 6 3 2 2 3" xfId="11786" xr:uid="{00000000-0005-0000-0000-000072730000}"/>
    <cellStyle name="Percent 2 3 2 6 3 2 2 3 2" xfId="31838" xr:uid="{00000000-0005-0000-0000-000073730000}"/>
    <cellStyle name="Percent 2 3 2 6 3 2 2 4" xfId="22808" xr:uid="{00000000-0005-0000-0000-000074730000}"/>
    <cellStyle name="Percent 2 3 2 6 3 2 3" xfId="4250" xr:uid="{00000000-0005-0000-0000-000075730000}"/>
    <cellStyle name="Percent 2 3 2 6 3 2 3 2" xfId="8732" xr:uid="{00000000-0005-0000-0000-000076730000}"/>
    <cellStyle name="Percent 2 3 2 6 3 2 3 2 2" xfId="17762" xr:uid="{00000000-0005-0000-0000-000077730000}"/>
    <cellStyle name="Percent 2 3 2 6 3 2 3 2 2 2" xfId="37814" xr:uid="{00000000-0005-0000-0000-000078730000}"/>
    <cellStyle name="Percent 2 3 2 6 3 2 3 2 3" xfId="28784" xr:uid="{00000000-0005-0000-0000-000079730000}"/>
    <cellStyle name="Percent 2 3 2 6 3 2 3 3" xfId="13280" xr:uid="{00000000-0005-0000-0000-00007A730000}"/>
    <cellStyle name="Percent 2 3 2 6 3 2 3 3 2" xfId="33332" xr:uid="{00000000-0005-0000-0000-00007B730000}"/>
    <cellStyle name="Percent 2 3 2 6 3 2 3 4" xfId="24302" xr:uid="{00000000-0005-0000-0000-00007C730000}"/>
    <cellStyle name="Percent 2 3 2 6 3 2 4" xfId="5744" xr:uid="{00000000-0005-0000-0000-00007D730000}"/>
    <cellStyle name="Percent 2 3 2 6 3 2 4 2" xfId="14774" xr:uid="{00000000-0005-0000-0000-00007E730000}"/>
    <cellStyle name="Percent 2 3 2 6 3 2 4 2 2" xfId="34826" xr:uid="{00000000-0005-0000-0000-00007F730000}"/>
    <cellStyle name="Percent 2 3 2 6 3 2 4 3" xfId="25796" xr:uid="{00000000-0005-0000-0000-000080730000}"/>
    <cellStyle name="Percent 2 3 2 6 3 2 5" xfId="10292" xr:uid="{00000000-0005-0000-0000-000081730000}"/>
    <cellStyle name="Percent 2 3 2 6 3 2 5 2" xfId="30344" xr:uid="{00000000-0005-0000-0000-000082730000}"/>
    <cellStyle name="Percent 2 3 2 6 3 2 6" xfId="21314" xr:uid="{00000000-0005-0000-0000-000083730000}"/>
    <cellStyle name="Percent 2 3 2 6 3 3" xfId="2009" xr:uid="{00000000-0005-0000-0000-000084730000}"/>
    <cellStyle name="Percent 2 3 2 6 3 3 2" xfId="6491" xr:uid="{00000000-0005-0000-0000-000085730000}"/>
    <cellStyle name="Percent 2 3 2 6 3 3 2 2" xfId="15521" xr:uid="{00000000-0005-0000-0000-000086730000}"/>
    <cellStyle name="Percent 2 3 2 6 3 3 2 2 2" xfId="35573" xr:uid="{00000000-0005-0000-0000-000087730000}"/>
    <cellStyle name="Percent 2 3 2 6 3 3 2 3" xfId="26543" xr:uid="{00000000-0005-0000-0000-000088730000}"/>
    <cellStyle name="Percent 2 3 2 6 3 3 3" xfId="11039" xr:uid="{00000000-0005-0000-0000-000089730000}"/>
    <cellStyle name="Percent 2 3 2 6 3 3 3 2" xfId="31091" xr:uid="{00000000-0005-0000-0000-00008A730000}"/>
    <cellStyle name="Percent 2 3 2 6 3 3 4" xfId="22061" xr:uid="{00000000-0005-0000-0000-00008B730000}"/>
    <cellStyle name="Percent 2 3 2 6 3 4" xfId="3503" xr:uid="{00000000-0005-0000-0000-00008C730000}"/>
    <cellStyle name="Percent 2 3 2 6 3 4 2" xfId="7985" xr:uid="{00000000-0005-0000-0000-00008D730000}"/>
    <cellStyle name="Percent 2 3 2 6 3 4 2 2" xfId="17015" xr:uid="{00000000-0005-0000-0000-00008E730000}"/>
    <cellStyle name="Percent 2 3 2 6 3 4 2 2 2" xfId="37067" xr:uid="{00000000-0005-0000-0000-00008F730000}"/>
    <cellStyle name="Percent 2 3 2 6 3 4 2 3" xfId="28037" xr:uid="{00000000-0005-0000-0000-000090730000}"/>
    <cellStyle name="Percent 2 3 2 6 3 4 3" xfId="12533" xr:uid="{00000000-0005-0000-0000-000091730000}"/>
    <cellStyle name="Percent 2 3 2 6 3 4 3 2" xfId="32585" xr:uid="{00000000-0005-0000-0000-000092730000}"/>
    <cellStyle name="Percent 2 3 2 6 3 4 4" xfId="23555" xr:uid="{00000000-0005-0000-0000-000093730000}"/>
    <cellStyle name="Percent 2 3 2 6 3 5" xfId="4997" xr:uid="{00000000-0005-0000-0000-000094730000}"/>
    <cellStyle name="Percent 2 3 2 6 3 5 2" xfId="14027" xr:uid="{00000000-0005-0000-0000-000095730000}"/>
    <cellStyle name="Percent 2 3 2 6 3 5 2 2" xfId="34079" xr:uid="{00000000-0005-0000-0000-000096730000}"/>
    <cellStyle name="Percent 2 3 2 6 3 5 3" xfId="25049" xr:uid="{00000000-0005-0000-0000-000097730000}"/>
    <cellStyle name="Percent 2 3 2 6 3 6" xfId="9545" xr:uid="{00000000-0005-0000-0000-000098730000}"/>
    <cellStyle name="Percent 2 3 2 6 3 6 2" xfId="29597" xr:uid="{00000000-0005-0000-0000-000099730000}"/>
    <cellStyle name="Percent 2 3 2 6 3 7" xfId="20567" xr:uid="{00000000-0005-0000-0000-00009A730000}"/>
    <cellStyle name="Percent 2 3 2 6 4" xfId="701" xr:uid="{00000000-0005-0000-0000-00009B730000}"/>
    <cellStyle name="Percent 2 3 2 6 4 2" xfId="1448" xr:uid="{00000000-0005-0000-0000-00009C730000}"/>
    <cellStyle name="Percent 2 3 2 6 4 2 2" xfId="2942" xr:uid="{00000000-0005-0000-0000-00009D730000}"/>
    <cellStyle name="Percent 2 3 2 6 4 2 2 2" xfId="7424" xr:uid="{00000000-0005-0000-0000-00009E730000}"/>
    <cellStyle name="Percent 2 3 2 6 4 2 2 2 2" xfId="16454" xr:uid="{00000000-0005-0000-0000-00009F730000}"/>
    <cellStyle name="Percent 2 3 2 6 4 2 2 2 2 2" xfId="36506" xr:uid="{00000000-0005-0000-0000-0000A0730000}"/>
    <cellStyle name="Percent 2 3 2 6 4 2 2 2 3" xfId="27476" xr:uid="{00000000-0005-0000-0000-0000A1730000}"/>
    <cellStyle name="Percent 2 3 2 6 4 2 2 3" xfId="11972" xr:uid="{00000000-0005-0000-0000-0000A2730000}"/>
    <cellStyle name="Percent 2 3 2 6 4 2 2 3 2" xfId="32024" xr:uid="{00000000-0005-0000-0000-0000A3730000}"/>
    <cellStyle name="Percent 2 3 2 6 4 2 2 4" xfId="22994" xr:uid="{00000000-0005-0000-0000-0000A4730000}"/>
    <cellStyle name="Percent 2 3 2 6 4 2 3" xfId="4436" xr:uid="{00000000-0005-0000-0000-0000A5730000}"/>
    <cellStyle name="Percent 2 3 2 6 4 2 3 2" xfId="8918" xr:uid="{00000000-0005-0000-0000-0000A6730000}"/>
    <cellStyle name="Percent 2 3 2 6 4 2 3 2 2" xfId="17948" xr:uid="{00000000-0005-0000-0000-0000A7730000}"/>
    <cellStyle name="Percent 2 3 2 6 4 2 3 2 2 2" xfId="38000" xr:uid="{00000000-0005-0000-0000-0000A8730000}"/>
    <cellStyle name="Percent 2 3 2 6 4 2 3 2 3" xfId="28970" xr:uid="{00000000-0005-0000-0000-0000A9730000}"/>
    <cellStyle name="Percent 2 3 2 6 4 2 3 3" xfId="13466" xr:uid="{00000000-0005-0000-0000-0000AA730000}"/>
    <cellStyle name="Percent 2 3 2 6 4 2 3 3 2" xfId="33518" xr:uid="{00000000-0005-0000-0000-0000AB730000}"/>
    <cellStyle name="Percent 2 3 2 6 4 2 3 4" xfId="24488" xr:uid="{00000000-0005-0000-0000-0000AC730000}"/>
    <cellStyle name="Percent 2 3 2 6 4 2 4" xfId="5930" xr:uid="{00000000-0005-0000-0000-0000AD730000}"/>
    <cellStyle name="Percent 2 3 2 6 4 2 4 2" xfId="14960" xr:uid="{00000000-0005-0000-0000-0000AE730000}"/>
    <cellStyle name="Percent 2 3 2 6 4 2 4 2 2" xfId="35012" xr:uid="{00000000-0005-0000-0000-0000AF730000}"/>
    <cellStyle name="Percent 2 3 2 6 4 2 4 3" xfId="25982" xr:uid="{00000000-0005-0000-0000-0000B0730000}"/>
    <cellStyle name="Percent 2 3 2 6 4 2 5" xfId="10478" xr:uid="{00000000-0005-0000-0000-0000B1730000}"/>
    <cellStyle name="Percent 2 3 2 6 4 2 5 2" xfId="30530" xr:uid="{00000000-0005-0000-0000-0000B2730000}"/>
    <cellStyle name="Percent 2 3 2 6 4 2 6" xfId="21500" xr:uid="{00000000-0005-0000-0000-0000B3730000}"/>
    <cellStyle name="Percent 2 3 2 6 4 3" xfId="2195" xr:uid="{00000000-0005-0000-0000-0000B4730000}"/>
    <cellStyle name="Percent 2 3 2 6 4 3 2" xfId="6677" xr:uid="{00000000-0005-0000-0000-0000B5730000}"/>
    <cellStyle name="Percent 2 3 2 6 4 3 2 2" xfId="15707" xr:uid="{00000000-0005-0000-0000-0000B6730000}"/>
    <cellStyle name="Percent 2 3 2 6 4 3 2 2 2" xfId="35759" xr:uid="{00000000-0005-0000-0000-0000B7730000}"/>
    <cellStyle name="Percent 2 3 2 6 4 3 2 3" xfId="26729" xr:uid="{00000000-0005-0000-0000-0000B8730000}"/>
    <cellStyle name="Percent 2 3 2 6 4 3 3" xfId="11225" xr:uid="{00000000-0005-0000-0000-0000B9730000}"/>
    <cellStyle name="Percent 2 3 2 6 4 3 3 2" xfId="31277" xr:uid="{00000000-0005-0000-0000-0000BA730000}"/>
    <cellStyle name="Percent 2 3 2 6 4 3 4" xfId="22247" xr:uid="{00000000-0005-0000-0000-0000BB730000}"/>
    <cellStyle name="Percent 2 3 2 6 4 4" xfId="3689" xr:uid="{00000000-0005-0000-0000-0000BC730000}"/>
    <cellStyle name="Percent 2 3 2 6 4 4 2" xfId="8171" xr:uid="{00000000-0005-0000-0000-0000BD730000}"/>
    <cellStyle name="Percent 2 3 2 6 4 4 2 2" xfId="17201" xr:uid="{00000000-0005-0000-0000-0000BE730000}"/>
    <cellStyle name="Percent 2 3 2 6 4 4 2 2 2" xfId="37253" xr:uid="{00000000-0005-0000-0000-0000BF730000}"/>
    <cellStyle name="Percent 2 3 2 6 4 4 2 3" xfId="28223" xr:uid="{00000000-0005-0000-0000-0000C0730000}"/>
    <cellStyle name="Percent 2 3 2 6 4 4 3" xfId="12719" xr:uid="{00000000-0005-0000-0000-0000C1730000}"/>
    <cellStyle name="Percent 2 3 2 6 4 4 3 2" xfId="32771" xr:uid="{00000000-0005-0000-0000-0000C2730000}"/>
    <cellStyle name="Percent 2 3 2 6 4 4 4" xfId="23741" xr:uid="{00000000-0005-0000-0000-0000C3730000}"/>
    <cellStyle name="Percent 2 3 2 6 4 5" xfId="5183" xr:uid="{00000000-0005-0000-0000-0000C4730000}"/>
    <cellStyle name="Percent 2 3 2 6 4 5 2" xfId="14213" xr:uid="{00000000-0005-0000-0000-0000C5730000}"/>
    <cellStyle name="Percent 2 3 2 6 4 5 2 2" xfId="34265" xr:uid="{00000000-0005-0000-0000-0000C6730000}"/>
    <cellStyle name="Percent 2 3 2 6 4 5 3" xfId="25235" xr:uid="{00000000-0005-0000-0000-0000C7730000}"/>
    <cellStyle name="Percent 2 3 2 6 4 6" xfId="9731" xr:uid="{00000000-0005-0000-0000-0000C8730000}"/>
    <cellStyle name="Percent 2 3 2 6 4 6 2" xfId="29783" xr:uid="{00000000-0005-0000-0000-0000C9730000}"/>
    <cellStyle name="Percent 2 3 2 6 4 7" xfId="20753" xr:uid="{00000000-0005-0000-0000-0000CA730000}"/>
    <cellStyle name="Percent 2 3 2 6 5" xfId="888" xr:uid="{00000000-0005-0000-0000-0000CB730000}"/>
    <cellStyle name="Percent 2 3 2 6 5 2" xfId="2382" xr:uid="{00000000-0005-0000-0000-0000CC730000}"/>
    <cellStyle name="Percent 2 3 2 6 5 2 2" xfId="6864" xr:uid="{00000000-0005-0000-0000-0000CD730000}"/>
    <cellStyle name="Percent 2 3 2 6 5 2 2 2" xfId="15894" xr:uid="{00000000-0005-0000-0000-0000CE730000}"/>
    <cellStyle name="Percent 2 3 2 6 5 2 2 2 2" xfId="35946" xr:uid="{00000000-0005-0000-0000-0000CF730000}"/>
    <cellStyle name="Percent 2 3 2 6 5 2 2 3" xfId="26916" xr:uid="{00000000-0005-0000-0000-0000D0730000}"/>
    <cellStyle name="Percent 2 3 2 6 5 2 3" xfId="11412" xr:uid="{00000000-0005-0000-0000-0000D1730000}"/>
    <cellStyle name="Percent 2 3 2 6 5 2 3 2" xfId="31464" xr:uid="{00000000-0005-0000-0000-0000D2730000}"/>
    <cellStyle name="Percent 2 3 2 6 5 2 4" xfId="22434" xr:uid="{00000000-0005-0000-0000-0000D3730000}"/>
    <cellStyle name="Percent 2 3 2 6 5 3" xfId="3876" xr:uid="{00000000-0005-0000-0000-0000D4730000}"/>
    <cellStyle name="Percent 2 3 2 6 5 3 2" xfId="8358" xr:uid="{00000000-0005-0000-0000-0000D5730000}"/>
    <cellStyle name="Percent 2 3 2 6 5 3 2 2" xfId="17388" xr:uid="{00000000-0005-0000-0000-0000D6730000}"/>
    <cellStyle name="Percent 2 3 2 6 5 3 2 2 2" xfId="37440" xr:uid="{00000000-0005-0000-0000-0000D7730000}"/>
    <cellStyle name="Percent 2 3 2 6 5 3 2 3" xfId="28410" xr:uid="{00000000-0005-0000-0000-0000D8730000}"/>
    <cellStyle name="Percent 2 3 2 6 5 3 3" xfId="12906" xr:uid="{00000000-0005-0000-0000-0000D9730000}"/>
    <cellStyle name="Percent 2 3 2 6 5 3 3 2" xfId="32958" xr:uid="{00000000-0005-0000-0000-0000DA730000}"/>
    <cellStyle name="Percent 2 3 2 6 5 3 4" xfId="23928" xr:uid="{00000000-0005-0000-0000-0000DB730000}"/>
    <cellStyle name="Percent 2 3 2 6 5 4" xfId="5370" xr:uid="{00000000-0005-0000-0000-0000DC730000}"/>
    <cellStyle name="Percent 2 3 2 6 5 4 2" xfId="14400" xr:uid="{00000000-0005-0000-0000-0000DD730000}"/>
    <cellStyle name="Percent 2 3 2 6 5 4 2 2" xfId="34452" xr:uid="{00000000-0005-0000-0000-0000DE730000}"/>
    <cellStyle name="Percent 2 3 2 6 5 4 3" xfId="25422" xr:uid="{00000000-0005-0000-0000-0000DF730000}"/>
    <cellStyle name="Percent 2 3 2 6 5 5" xfId="9918" xr:uid="{00000000-0005-0000-0000-0000E0730000}"/>
    <cellStyle name="Percent 2 3 2 6 5 5 2" xfId="29970" xr:uid="{00000000-0005-0000-0000-0000E1730000}"/>
    <cellStyle name="Percent 2 3 2 6 5 6" xfId="20940" xr:uid="{00000000-0005-0000-0000-0000E2730000}"/>
    <cellStyle name="Percent 2 3 2 6 6" xfId="1637" xr:uid="{00000000-0005-0000-0000-0000E3730000}"/>
    <cellStyle name="Percent 2 3 2 6 6 2" xfId="6119" xr:uid="{00000000-0005-0000-0000-0000E4730000}"/>
    <cellStyle name="Percent 2 3 2 6 6 2 2" xfId="15149" xr:uid="{00000000-0005-0000-0000-0000E5730000}"/>
    <cellStyle name="Percent 2 3 2 6 6 2 2 2" xfId="35201" xr:uid="{00000000-0005-0000-0000-0000E6730000}"/>
    <cellStyle name="Percent 2 3 2 6 6 2 3" xfId="26171" xr:uid="{00000000-0005-0000-0000-0000E7730000}"/>
    <cellStyle name="Percent 2 3 2 6 6 3" xfId="10667" xr:uid="{00000000-0005-0000-0000-0000E8730000}"/>
    <cellStyle name="Percent 2 3 2 6 6 3 2" xfId="30719" xr:uid="{00000000-0005-0000-0000-0000E9730000}"/>
    <cellStyle name="Percent 2 3 2 6 6 4" xfId="21689" xr:uid="{00000000-0005-0000-0000-0000EA730000}"/>
    <cellStyle name="Percent 2 3 2 6 7" xfId="3131" xr:uid="{00000000-0005-0000-0000-0000EB730000}"/>
    <cellStyle name="Percent 2 3 2 6 7 2" xfId="7613" xr:uid="{00000000-0005-0000-0000-0000EC730000}"/>
    <cellStyle name="Percent 2 3 2 6 7 2 2" xfId="16643" xr:uid="{00000000-0005-0000-0000-0000ED730000}"/>
    <cellStyle name="Percent 2 3 2 6 7 2 2 2" xfId="36695" xr:uid="{00000000-0005-0000-0000-0000EE730000}"/>
    <cellStyle name="Percent 2 3 2 6 7 2 3" xfId="27665" xr:uid="{00000000-0005-0000-0000-0000EF730000}"/>
    <cellStyle name="Percent 2 3 2 6 7 3" xfId="12161" xr:uid="{00000000-0005-0000-0000-0000F0730000}"/>
    <cellStyle name="Percent 2 3 2 6 7 3 2" xfId="32213" xr:uid="{00000000-0005-0000-0000-0000F1730000}"/>
    <cellStyle name="Percent 2 3 2 6 7 4" xfId="23183" xr:uid="{00000000-0005-0000-0000-0000F2730000}"/>
    <cellStyle name="Percent 2 3 2 6 8" xfId="4625" xr:uid="{00000000-0005-0000-0000-0000F3730000}"/>
    <cellStyle name="Percent 2 3 2 6 8 2" xfId="13655" xr:uid="{00000000-0005-0000-0000-0000F4730000}"/>
    <cellStyle name="Percent 2 3 2 6 8 2 2" xfId="33707" xr:uid="{00000000-0005-0000-0000-0000F5730000}"/>
    <cellStyle name="Percent 2 3 2 6 8 3" xfId="24677" xr:uid="{00000000-0005-0000-0000-0000F6730000}"/>
    <cellStyle name="Percent 2 3 2 6 9" xfId="9173" xr:uid="{00000000-0005-0000-0000-0000F7730000}"/>
    <cellStyle name="Percent 2 3 2 6 9 2" xfId="29225" xr:uid="{00000000-0005-0000-0000-0000F8730000}"/>
    <cellStyle name="Percent 2 3 2 7" xfId="166" xr:uid="{00000000-0005-0000-0000-0000F9730000}"/>
    <cellStyle name="Percent 2 3 2 7 10" xfId="20218" xr:uid="{00000000-0005-0000-0000-0000FA730000}"/>
    <cellStyle name="Percent 2 3 2 7 2" xfId="352" xr:uid="{00000000-0005-0000-0000-0000FB730000}"/>
    <cellStyle name="Percent 2 3 2 7 2 2" xfId="1095" xr:uid="{00000000-0005-0000-0000-0000FC730000}"/>
    <cellStyle name="Percent 2 3 2 7 2 2 2" xfId="2589" xr:uid="{00000000-0005-0000-0000-0000FD730000}"/>
    <cellStyle name="Percent 2 3 2 7 2 2 2 2" xfId="7071" xr:uid="{00000000-0005-0000-0000-0000FE730000}"/>
    <cellStyle name="Percent 2 3 2 7 2 2 2 2 2" xfId="16101" xr:uid="{00000000-0005-0000-0000-0000FF730000}"/>
    <cellStyle name="Percent 2 3 2 7 2 2 2 2 2 2" xfId="36153" xr:uid="{00000000-0005-0000-0000-000000740000}"/>
    <cellStyle name="Percent 2 3 2 7 2 2 2 2 3" xfId="27123" xr:uid="{00000000-0005-0000-0000-000001740000}"/>
    <cellStyle name="Percent 2 3 2 7 2 2 2 3" xfId="11619" xr:uid="{00000000-0005-0000-0000-000002740000}"/>
    <cellStyle name="Percent 2 3 2 7 2 2 2 3 2" xfId="31671" xr:uid="{00000000-0005-0000-0000-000003740000}"/>
    <cellStyle name="Percent 2 3 2 7 2 2 2 4" xfId="22641" xr:uid="{00000000-0005-0000-0000-000004740000}"/>
    <cellStyle name="Percent 2 3 2 7 2 2 3" xfId="4083" xr:uid="{00000000-0005-0000-0000-000005740000}"/>
    <cellStyle name="Percent 2 3 2 7 2 2 3 2" xfId="8565" xr:uid="{00000000-0005-0000-0000-000006740000}"/>
    <cellStyle name="Percent 2 3 2 7 2 2 3 2 2" xfId="17595" xr:uid="{00000000-0005-0000-0000-000007740000}"/>
    <cellStyle name="Percent 2 3 2 7 2 2 3 2 2 2" xfId="37647" xr:uid="{00000000-0005-0000-0000-000008740000}"/>
    <cellStyle name="Percent 2 3 2 7 2 2 3 2 3" xfId="28617" xr:uid="{00000000-0005-0000-0000-000009740000}"/>
    <cellStyle name="Percent 2 3 2 7 2 2 3 3" xfId="13113" xr:uid="{00000000-0005-0000-0000-00000A740000}"/>
    <cellStyle name="Percent 2 3 2 7 2 2 3 3 2" xfId="33165" xr:uid="{00000000-0005-0000-0000-00000B740000}"/>
    <cellStyle name="Percent 2 3 2 7 2 2 3 4" xfId="24135" xr:uid="{00000000-0005-0000-0000-00000C740000}"/>
    <cellStyle name="Percent 2 3 2 7 2 2 4" xfId="5577" xr:uid="{00000000-0005-0000-0000-00000D740000}"/>
    <cellStyle name="Percent 2 3 2 7 2 2 4 2" xfId="14607" xr:uid="{00000000-0005-0000-0000-00000E740000}"/>
    <cellStyle name="Percent 2 3 2 7 2 2 4 2 2" xfId="34659" xr:uid="{00000000-0005-0000-0000-00000F740000}"/>
    <cellStyle name="Percent 2 3 2 7 2 2 4 3" xfId="25629" xr:uid="{00000000-0005-0000-0000-000010740000}"/>
    <cellStyle name="Percent 2 3 2 7 2 2 5" xfId="10125" xr:uid="{00000000-0005-0000-0000-000011740000}"/>
    <cellStyle name="Percent 2 3 2 7 2 2 5 2" xfId="30177" xr:uid="{00000000-0005-0000-0000-000012740000}"/>
    <cellStyle name="Percent 2 3 2 7 2 2 6" xfId="21147" xr:uid="{00000000-0005-0000-0000-000013740000}"/>
    <cellStyle name="Percent 2 3 2 7 2 3" xfId="1846" xr:uid="{00000000-0005-0000-0000-000014740000}"/>
    <cellStyle name="Percent 2 3 2 7 2 3 2" xfId="6328" xr:uid="{00000000-0005-0000-0000-000015740000}"/>
    <cellStyle name="Percent 2 3 2 7 2 3 2 2" xfId="15358" xr:uid="{00000000-0005-0000-0000-000016740000}"/>
    <cellStyle name="Percent 2 3 2 7 2 3 2 2 2" xfId="35410" xr:uid="{00000000-0005-0000-0000-000017740000}"/>
    <cellStyle name="Percent 2 3 2 7 2 3 2 3" xfId="26380" xr:uid="{00000000-0005-0000-0000-000018740000}"/>
    <cellStyle name="Percent 2 3 2 7 2 3 3" xfId="10876" xr:uid="{00000000-0005-0000-0000-000019740000}"/>
    <cellStyle name="Percent 2 3 2 7 2 3 3 2" xfId="30928" xr:uid="{00000000-0005-0000-0000-00001A740000}"/>
    <cellStyle name="Percent 2 3 2 7 2 3 4" xfId="21898" xr:uid="{00000000-0005-0000-0000-00001B740000}"/>
    <cellStyle name="Percent 2 3 2 7 2 4" xfId="3340" xr:uid="{00000000-0005-0000-0000-00001C740000}"/>
    <cellStyle name="Percent 2 3 2 7 2 4 2" xfId="7822" xr:uid="{00000000-0005-0000-0000-00001D740000}"/>
    <cellStyle name="Percent 2 3 2 7 2 4 2 2" xfId="16852" xr:uid="{00000000-0005-0000-0000-00001E740000}"/>
    <cellStyle name="Percent 2 3 2 7 2 4 2 2 2" xfId="36904" xr:uid="{00000000-0005-0000-0000-00001F740000}"/>
    <cellStyle name="Percent 2 3 2 7 2 4 2 3" xfId="27874" xr:uid="{00000000-0005-0000-0000-000020740000}"/>
    <cellStyle name="Percent 2 3 2 7 2 4 3" xfId="12370" xr:uid="{00000000-0005-0000-0000-000021740000}"/>
    <cellStyle name="Percent 2 3 2 7 2 4 3 2" xfId="32422" xr:uid="{00000000-0005-0000-0000-000022740000}"/>
    <cellStyle name="Percent 2 3 2 7 2 4 4" xfId="23392" xr:uid="{00000000-0005-0000-0000-000023740000}"/>
    <cellStyle name="Percent 2 3 2 7 2 5" xfId="4834" xr:uid="{00000000-0005-0000-0000-000024740000}"/>
    <cellStyle name="Percent 2 3 2 7 2 5 2" xfId="13864" xr:uid="{00000000-0005-0000-0000-000025740000}"/>
    <cellStyle name="Percent 2 3 2 7 2 5 2 2" xfId="33916" xr:uid="{00000000-0005-0000-0000-000026740000}"/>
    <cellStyle name="Percent 2 3 2 7 2 5 3" xfId="24886" xr:uid="{00000000-0005-0000-0000-000027740000}"/>
    <cellStyle name="Percent 2 3 2 7 2 6" xfId="9382" xr:uid="{00000000-0005-0000-0000-000028740000}"/>
    <cellStyle name="Percent 2 3 2 7 2 6 2" xfId="29434" xr:uid="{00000000-0005-0000-0000-000029740000}"/>
    <cellStyle name="Percent 2 3 2 7 2 7" xfId="20404" xr:uid="{00000000-0005-0000-0000-00002A740000}"/>
    <cellStyle name="Percent 2 3 2 7 3" xfId="538" xr:uid="{00000000-0005-0000-0000-00002B740000}"/>
    <cellStyle name="Percent 2 3 2 7 3 2" xfId="1285" xr:uid="{00000000-0005-0000-0000-00002C740000}"/>
    <cellStyle name="Percent 2 3 2 7 3 2 2" xfId="2779" xr:uid="{00000000-0005-0000-0000-00002D740000}"/>
    <cellStyle name="Percent 2 3 2 7 3 2 2 2" xfId="7261" xr:uid="{00000000-0005-0000-0000-00002E740000}"/>
    <cellStyle name="Percent 2 3 2 7 3 2 2 2 2" xfId="16291" xr:uid="{00000000-0005-0000-0000-00002F740000}"/>
    <cellStyle name="Percent 2 3 2 7 3 2 2 2 2 2" xfId="36343" xr:uid="{00000000-0005-0000-0000-000030740000}"/>
    <cellStyle name="Percent 2 3 2 7 3 2 2 2 3" xfId="27313" xr:uid="{00000000-0005-0000-0000-000031740000}"/>
    <cellStyle name="Percent 2 3 2 7 3 2 2 3" xfId="11809" xr:uid="{00000000-0005-0000-0000-000032740000}"/>
    <cellStyle name="Percent 2 3 2 7 3 2 2 3 2" xfId="31861" xr:uid="{00000000-0005-0000-0000-000033740000}"/>
    <cellStyle name="Percent 2 3 2 7 3 2 2 4" xfId="22831" xr:uid="{00000000-0005-0000-0000-000034740000}"/>
    <cellStyle name="Percent 2 3 2 7 3 2 3" xfId="4273" xr:uid="{00000000-0005-0000-0000-000035740000}"/>
    <cellStyle name="Percent 2 3 2 7 3 2 3 2" xfId="8755" xr:uid="{00000000-0005-0000-0000-000036740000}"/>
    <cellStyle name="Percent 2 3 2 7 3 2 3 2 2" xfId="17785" xr:uid="{00000000-0005-0000-0000-000037740000}"/>
    <cellStyle name="Percent 2 3 2 7 3 2 3 2 2 2" xfId="37837" xr:uid="{00000000-0005-0000-0000-000038740000}"/>
    <cellStyle name="Percent 2 3 2 7 3 2 3 2 3" xfId="28807" xr:uid="{00000000-0005-0000-0000-000039740000}"/>
    <cellStyle name="Percent 2 3 2 7 3 2 3 3" xfId="13303" xr:uid="{00000000-0005-0000-0000-00003A740000}"/>
    <cellStyle name="Percent 2 3 2 7 3 2 3 3 2" xfId="33355" xr:uid="{00000000-0005-0000-0000-00003B740000}"/>
    <cellStyle name="Percent 2 3 2 7 3 2 3 4" xfId="24325" xr:uid="{00000000-0005-0000-0000-00003C740000}"/>
    <cellStyle name="Percent 2 3 2 7 3 2 4" xfId="5767" xr:uid="{00000000-0005-0000-0000-00003D740000}"/>
    <cellStyle name="Percent 2 3 2 7 3 2 4 2" xfId="14797" xr:uid="{00000000-0005-0000-0000-00003E740000}"/>
    <cellStyle name="Percent 2 3 2 7 3 2 4 2 2" xfId="34849" xr:uid="{00000000-0005-0000-0000-00003F740000}"/>
    <cellStyle name="Percent 2 3 2 7 3 2 4 3" xfId="25819" xr:uid="{00000000-0005-0000-0000-000040740000}"/>
    <cellStyle name="Percent 2 3 2 7 3 2 5" xfId="10315" xr:uid="{00000000-0005-0000-0000-000041740000}"/>
    <cellStyle name="Percent 2 3 2 7 3 2 5 2" xfId="30367" xr:uid="{00000000-0005-0000-0000-000042740000}"/>
    <cellStyle name="Percent 2 3 2 7 3 2 6" xfId="21337" xr:uid="{00000000-0005-0000-0000-000043740000}"/>
    <cellStyle name="Percent 2 3 2 7 3 3" xfId="2032" xr:uid="{00000000-0005-0000-0000-000044740000}"/>
    <cellStyle name="Percent 2 3 2 7 3 3 2" xfId="6514" xr:uid="{00000000-0005-0000-0000-000045740000}"/>
    <cellStyle name="Percent 2 3 2 7 3 3 2 2" xfId="15544" xr:uid="{00000000-0005-0000-0000-000046740000}"/>
    <cellStyle name="Percent 2 3 2 7 3 3 2 2 2" xfId="35596" xr:uid="{00000000-0005-0000-0000-000047740000}"/>
    <cellStyle name="Percent 2 3 2 7 3 3 2 3" xfId="26566" xr:uid="{00000000-0005-0000-0000-000048740000}"/>
    <cellStyle name="Percent 2 3 2 7 3 3 3" xfId="11062" xr:uid="{00000000-0005-0000-0000-000049740000}"/>
    <cellStyle name="Percent 2 3 2 7 3 3 3 2" xfId="31114" xr:uid="{00000000-0005-0000-0000-00004A740000}"/>
    <cellStyle name="Percent 2 3 2 7 3 3 4" xfId="22084" xr:uid="{00000000-0005-0000-0000-00004B740000}"/>
    <cellStyle name="Percent 2 3 2 7 3 4" xfId="3526" xr:uid="{00000000-0005-0000-0000-00004C740000}"/>
    <cellStyle name="Percent 2 3 2 7 3 4 2" xfId="8008" xr:uid="{00000000-0005-0000-0000-00004D740000}"/>
    <cellStyle name="Percent 2 3 2 7 3 4 2 2" xfId="17038" xr:uid="{00000000-0005-0000-0000-00004E740000}"/>
    <cellStyle name="Percent 2 3 2 7 3 4 2 2 2" xfId="37090" xr:uid="{00000000-0005-0000-0000-00004F740000}"/>
    <cellStyle name="Percent 2 3 2 7 3 4 2 3" xfId="28060" xr:uid="{00000000-0005-0000-0000-000050740000}"/>
    <cellStyle name="Percent 2 3 2 7 3 4 3" xfId="12556" xr:uid="{00000000-0005-0000-0000-000051740000}"/>
    <cellStyle name="Percent 2 3 2 7 3 4 3 2" xfId="32608" xr:uid="{00000000-0005-0000-0000-000052740000}"/>
    <cellStyle name="Percent 2 3 2 7 3 4 4" xfId="23578" xr:uid="{00000000-0005-0000-0000-000053740000}"/>
    <cellStyle name="Percent 2 3 2 7 3 5" xfId="5020" xr:uid="{00000000-0005-0000-0000-000054740000}"/>
    <cellStyle name="Percent 2 3 2 7 3 5 2" xfId="14050" xr:uid="{00000000-0005-0000-0000-000055740000}"/>
    <cellStyle name="Percent 2 3 2 7 3 5 2 2" xfId="34102" xr:uid="{00000000-0005-0000-0000-000056740000}"/>
    <cellStyle name="Percent 2 3 2 7 3 5 3" xfId="25072" xr:uid="{00000000-0005-0000-0000-000057740000}"/>
    <cellStyle name="Percent 2 3 2 7 3 6" xfId="9568" xr:uid="{00000000-0005-0000-0000-000058740000}"/>
    <cellStyle name="Percent 2 3 2 7 3 6 2" xfId="29620" xr:uid="{00000000-0005-0000-0000-000059740000}"/>
    <cellStyle name="Percent 2 3 2 7 3 7" xfId="20590" xr:uid="{00000000-0005-0000-0000-00005A740000}"/>
    <cellStyle name="Percent 2 3 2 7 4" xfId="724" xr:uid="{00000000-0005-0000-0000-00005B740000}"/>
    <cellStyle name="Percent 2 3 2 7 4 2" xfId="1471" xr:uid="{00000000-0005-0000-0000-00005C740000}"/>
    <cellStyle name="Percent 2 3 2 7 4 2 2" xfId="2965" xr:uid="{00000000-0005-0000-0000-00005D740000}"/>
    <cellStyle name="Percent 2 3 2 7 4 2 2 2" xfId="7447" xr:uid="{00000000-0005-0000-0000-00005E740000}"/>
    <cellStyle name="Percent 2 3 2 7 4 2 2 2 2" xfId="16477" xr:uid="{00000000-0005-0000-0000-00005F740000}"/>
    <cellStyle name="Percent 2 3 2 7 4 2 2 2 2 2" xfId="36529" xr:uid="{00000000-0005-0000-0000-000060740000}"/>
    <cellStyle name="Percent 2 3 2 7 4 2 2 2 3" xfId="27499" xr:uid="{00000000-0005-0000-0000-000061740000}"/>
    <cellStyle name="Percent 2 3 2 7 4 2 2 3" xfId="11995" xr:uid="{00000000-0005-0000-0000-000062740000}"/>
    <cellStyle name="Percent 2 3 2 7 4 2 2 3 2" xfId="32047" xr:uid="{00000000-0005-0000-0000-000063740000}"/>
    <cellStyle name="Percent 2 3 2 7 4 2 2 4" xfId="23017" xr:uid="{00000000-0005-0000-0000-000064740000}"/>
    <cellStyle name="Percent 2 3 2 7 4 2 3" xfId="4459" xr:uid="{00000000-0005-0000-0000-000065740000}"/>
    <cellStyle name="Percent 2 3 2 7 4 2 3 2" xfId="8941" xr:uid="{00000000-0005-0000-0000-000066740000}"/>
    <cellStyle name="Percent 2 3 2 7 4 2 3 2 2" xfId="17971" xr:uid="{00000000-0005-0000-0000-000067740000}"/>
    <cellStyle name="Percent 2 3 2 7 4 2 3 2 2 2" xfId="38023" xr:uid="{00000000-0005-0000-0000-000068740000}"/>
    <cellStyle name="Percent 2 3 2 7 4 2 3 2 3" xfId="28993" xr:uid="{00000000-0005-0000-0000-000069740000}"/>
    <cellStyle name="Percent 2 3 2 7 4 2 3 3" xfId="13489" xr:uid="{00000000-0005-0000-0000-00006A740000}"/>
    <cellStyle name="Percent 2 3 2 7 4 2 3 3 2" xfId="33541" xr:uid="{00000000-0005-0000-0000-00006B740000}"/>
    <cellStyle name="Percent 2 3 2 7 4 2 3 4" xfId="24511" xr:uid="{00000000-0005-0000-0000-00006C740000}"/>
    <cellStyle name="Percent 2 3 2 7 4 2 4" xfId="5953" xr:uid="{00000000-0005-0000-0000-00006D740000}"/>
    <cellStyle name="Percent 2 3 2 7 4 2 4 2" xfId="14983" xr:uid="{00000000-0005-0000-0000-00006E740000}"/>
    <cellStyle name="Percent 2 3 2 7 4 2 4 2 2" xfId="35035" xr:uid="{00000000-0005-0000-0000-00006F740000}"/>
    <cellStyle name="Percent 2 3 2 7 4 2 4 3" xfId="26005" xr:uid="{00000000-0005-0000-0000-000070740000}"/>
    <cellStyle name="Percent 2 3 2 7 4 2 5" xfId="10501" xr:uid="{00000000-0005-0000-0000-000071740000}"/>
    <cellStyle name="Percent 2 3 2 7 4 2 5 2" xfId="30553" xr:uid="{00000000-0005-0000-0000-000072740000}"/>
    <cellStyle name="Percent 2 3 2 7 4 2 6" xfId="21523" xr:uid="{00000000-0005-0000-0000-000073740000}"/>
    <cellStyle name="Percent 2 3 2 7 4 3" xfId="2218" xr:uid="{00000000-0005-0000-0000-000074740000}"/>
    <cellStyle name="Percent 2 3 2 7 4 3 2" xfId="6700" xr:uid="{00000000-0005-0000-0000-000075740000}"/>
    <cellStyle name="Percent 2 3 2 7 4 3 2 2" xfId="15730" xr:uid="{00000000-0005-0000-0000-000076740000}"/>
    <cellStyle name="Percent 2 3 2 7 4 3 2 2 2" xfId="35782" xr:uid="{00000000-0005-0000-0000-000077740000}"/>
    <cellStyle name="Percent 2 3 2 7 4 3 2 3" xfId="26752" xr:uid="{00000000-0005-0000-0000-000078740000}"/>
    <cellStyle name="Percent 2 3 2 7 4 3 3" xfId="11248" xr:uid="{00000000-0005-0000-0000-000079740000}"/>
    <cellStyle name="Percent 2 3 2 7 4 3 3 2" xfId="31300" xr:uid="{00000000-0005-0000-0000-00007A740000}"/>
    <cellStyle name="Percent 2 3 2 7 4 3 4" xfId="22270" xr:uid="{00000000-0005-0000-0000-00007B740000}"/>
    <cellStyle name="Percent 2 3 2 7 4 4" xfId="3712" xr:uid="{00000000-0005-0000-0000-00007C740000}"/>
    <cellStyle name="Percent 2 3 2 7 4 4 2" xfId="8194" xr:uid="{00000000-0005-0000-0000-00007D740000}"/>
    <cellStyle name="Percent 2 3 2 7 4 4 2 2" xfId="17224" xr:uid="{00000000-0005-0000-0000-00007E740000}"/>
    <cellStyle name="Percent 2 3 2 7 4 4 2 2 2" xfId="37276" xr:uid="{00000000-0005-0000-0000-00007F740000}"/>
    <cellStyle name="Percent 2 3 2 7 4 4 2 3" xfId="28246" xr:uid="{00000000-0005-0000-0000-000080740000}"/>
    <cellStyle name="Percent 2 3 2 7 4 4 3" xfId="12742" xr:uid="{00000000-0005-0000-0000-000081740000}"/>
    <cellStyle name="Percent 2 3 2 7 4 4 3 2" xfId="32794" xr:uid="{00000000-0005-0000-0000-000082740000}"/>
    <cellStyle name="Percent 2 3 2 7 4 4 4" xfId="23764" xr:uid="{00000000-0005-0000-0000-000083740000}"/>
    <cellStyle name="Percent 2 3 2 7 4 5" xfId="5206" xr:uid="{00000000-0005-0000-0000-000084740000}"/>
    <cellStyle name="Percent 2 3 2 7 4 5 2" xfId="14236" xr:uid="{00000000-0005-0000-0000-000085740000}"/>
    <cellStyle name="Percent 2 3 2 7 4 5 2 2" xfId="34288" xr:uid="{00000000-0005-0000-0000-000086740000}"/>
    <cellStyle name="Percent 2 3 2 7 4 5 3" xfId="25258" xr:uid="{00000000-0005-0000-0000-000087740000}"/>
    <cellStyle name="Percent 2 3 2 7 4 6" xfId="9754" xr:uid="{00000000-0005-0000-0000-000088740000}"/>
    <cellStyle name="Percent 2 3 2 7 4 6 2" xfId="29806" xr:uid="{00000000-0005-0000-0000-000089740000}"/>
    <cellStyle name="Percent 2 3 2 7 4 7" xfId="20776" xr:uid="{00000000-0005-0000-0000-00008A740000}"/>
    <cellStyle name="Percent 2 3 2 7 5" xfId="911" xr:uid="{00000000-0005-0000-0000-00008B740000}"/>
    <cellStyle name="Percent 2 3 2 7 5 2" xfId="2405" xr:uid="{00000000-0005-0000-0000-00008C740000}"/>
    <cellStyle name="Percent 2 3 2 7 5 2 2" xfId="6887" xr:uid="{00000000-0005-0000-0000-00008D740000}"/>
    <cellStyle name="Percent 2 3 2 7 5 2 2 2" xfId="15917" xr:uid="{00000000-0005-0000-0000-00008E740000}"/>
    <cellStyle name="Percent 2 3 2 7 5 2 2 2 2" xfId="35969" xr:uid="{00000000-0005-0000-0000-00008F740000}"/>
    <cellStyle name="Percent 2 3 2 7 5 2 2 3" xfId="26939" xr:uid="{00000000-0005-0000-0000-000090740000}"/>
    <cellStyle name="Percent 2 3 2 7 5 2 3" xfId="11435" xr:uid="{00000000-0005-0000-0000-000091740000}"/>
    <cellStyle name="Percent 2 3 2 7 5 2 3 2" xfId="31487" xr:uid="{00000000-0005-0000-0000-000092740000}"/>
    <cellStyle name="Percent 2 3 2 7 5 2 4" xfId="22457" xr:uid="{00000000-0005-0000-0000-000093740000}"/>
    <cellStyle name="Percent 2 3 2 7 5 3" xfId="3899" xr:uid="{00000000-0005-0000-0000-000094740000}"/>
    <cellStyle name="Percent 2 3 2 7 5 3 2" xfId="8381" xr:uid="{00000000-0005-0000-0000-000095740000}"/>
    <cellStyle name="Percent 2 3 2 7 5 3 2 2" xfId="17411" xr:uid="{00000000-0005-0000-0000-000096740000}"/>
    <cellStyle name="Percent 2 3 2 7 5 3 2 2 2" xfId="37463" xr:uid="{00000000-0005-0000-0000-000097740000}"/>
    <cellStyle name="Percent 2 3 2 7 5 3 2 3" xfId="28433" xr:uid="{00000000-0005-0000-0000-000098740000}"/>
    <cellStyle name="Percent 2 3 2 7 5 3 3" xfId="12929" xr:uid="{00000000-0005-0000-0000-000099740000}"/>
    <cellStyle name="Percent 2 3 2 7 5 3 3 2" xfId="32981" xr:uid="{00000000-0005-0000-0000-00009A740000}"/>
    <cellStyle name="Percent 2 3 2 7 5 3 4" xfId="23951" xr:uid="{00000000-0005-0000-0000-00009B740000}"/>
    <cellStyle name="Percent 2 3 2 7 5 4" xfId="5393" xr:uid="{00000000-0005-0000-0000-00009C740000}"/>
    <cellStyle name="Percent 2 3 2 7 5 4 2" xfId="14423" xr:uid="{00000000-0005-0000-0000-00009D740000}"/>
    <cellStyle name="Percent 2 3 2 7 5 4 2 2" xfId="34475" xr:uid="{00000000-0005-0000-0000-00009E740000}"/>
    <cellStyle name="Percent 2 3 2 7 5 4 3" xfId="25445" xr:uid="{00000000-0005-0000-0000-00009F740000}"/>
    <cellStyle name="Percent 2 3 2 7 5 5" xfId="9941" xr:uid="{00000000-0005-0000-0000-0000A0740000}"/>
    <cellStyle name="Percent 2 3 2 7 5 5 2" xfId="29993" xr:uid="{00000000-0005-0000-0000-0000A1740000}"/>
    <cellStyle name="Percent 2 3 2 7 5 6" xfId="20963" xr:uid="{00000000-0005-0000-0000-0000A2740000}"/>
    <cellStyle name="Percent 2 3 2 7 6" xfId="1660" xr:uid="{00000000-0005-0000-0000-0000A3740000}"/>
    <cellStyle name="Percent 2 3 2 7 6 2" xfId="6142" xr:uid="{00000000-0005-0000-0000-0000A4740000}"/>
    <cellStyle name="Percent 2 3 2 7 6 2 2" xfId="15172" xr:uid="{00000000-0005-0000-0000-0000A5740000}"/>
    <cellStyle name="Percent 2 3 2 7 6 2 2 2" xfId="35224" xr:uid="{00000000-0005-0000-0000-0000A6740000}"/>
    <cellStyle name="Percent 2 3 2 7 6 2 3" xfId="26194" xr:uid="{00000000-0005-0000-0000-0000A7740000}"/>
    <cellStyle name="Percent 2 3 2 7 6 3" xfId="10690" xr:uid="{00000000-0005-0000-0000-0000A8740000}"/>
    <cellStyle name="Percent 2 3 2 7 6 3 2" xfId="30742" xr:uid="{00000000-0005-0000-0000-0000A9740000}"/>
    <cellStyle name="Percent 2 3 2 7 6 4" xfId="21712" xr:uid="{00000000-0005-0000-0000-0000AA740000}"/>
    <cellStyle name="Percent 2 3 2 7 7" xfId="3154" xr:uid="{00000000-0005-0000-0000-0000AB740000}"/>
    <cellStyle name="Percent 2 3 2 7 7 2" xfId="7636" xr:uid="{00000000-0005-0000-0000-0000AC740000}"/>
    <cellStyle name="Percent 2 3 2 7 7 2 2" xfId="16666" xr:uid="{00000000-0005-0000-0000-0000AD740000}"/>
    <cellStyle name="Percent 2 3 2 7 7 2 2 2" xfId="36718" xr:uid="{00000000-0005-0000-0000-0000AE740000}"/>
    <cellStyle name="Percent 2 3 2 7 7 2 3" xfId="27688" xr:uid="{00000000-0005-0000-0000-0000AF740000}"/>
    <cellStyle name="Percent 2 3 2 7 7 3" xfId="12184" xr:uid="{00000000-0005-0000-0000-0000B0740000}"/>
    <cellStyle name="Percent 2 3 2 7 7 3 2" xfId="32236" xr:uid="{00000000-0005-0000-0000-0000B1740000}"/>
    <cellStyle name="Percent 2 3 2 7 7 4" xfId="23206" xr:uid="{00000000-0005-0000-0000-0000B2740000}"/>
    <cellStyle name="Percent 2 3 2 7 8" xfId="4648" xr:uid="{00000000-0005-0000-0000-0000B3740000}"/>
    <cellStyle name="Percent 2 3 2 7 8 2" xfId="13678" xr:uid="{00000000-0005-0000-0000-0000B4740000}"/>
    <cellStyle name="Percent 2 3 2 7 8 2 2" xfId="33730" xr:uid="{00000000-0005-0000-0000-0000B5740000}"/>
    <cellStyle name="Percent 2 3 2 7 8 3" xfId="24700" xr:uid="{00000000-0005-0000-0000-0000B6740000}"/>
    <cellStyle name="Percent 2 3 2 7 9" xfId="9196" xr:uid="{00000000-0005-0000-0000-0000B7740000}"/>
    <cellStyle name="Percent 2 3 2 7 9 2" xfId="29248" xr:uid="{00000000-0005-0000-0000-0000B8740000}"/>
    <cellStyle name="Percent 2 3 2 8" xfId="189" xr:uid="{00000000-0005-0000-0000-0000B9740000}"/>
    <cellStyle name="Percent 2 3 2 8 10" xfId="20241" xr:uid="{00000000-0005-0000-0000-0000BA740000}"/>
    <cellStyle name="Percent 2 3 2 8 2" xfId="375" xr:uid="{00000000-0005-0000-0000-0000BB740000}"/>
    <cellStyle name="Percent 2 3 2 8 2 2" xfId="1118" xr:uid="{00000000-0005-0000-0000-0000BC740000}"/>
    <cellStyle name="Percent 2 3 2 8 2 2 2" xfId="2612" xr:uid="{00000000-0005-0000-0000-0000BD740000}"/>
    <cellStyle name="Percent 2 3 2 8 2 2 2 2" xfId="7094" xr:uid="{00000000-0005-0000-0000-0000BE740000}"/>
    <cellStyle name="Percent 2 3 2 8 2 2 2 2 2" xfId="16124" xr:uid="{00000000-0005-0000-0000-0000BF740000}"/>
    <cellStyle name="Percent 2 3 2 8 2 2 2 2 2 2" xfId="36176" xr:uid="{00000000-0005-0000-0000-0000C0740000}"/>
    <cellStyle name="Percent 2 3 2 8 2 2 2 2 3" xfId="27146" xr:uid="{00000000-0005-0000-0000-0000C1740000}"/>
    <cellStyle name="Percent 2 3 2 8 2 2 2 3" xfId="11642" xr:uid="{00000000-0005-0000-0000-0000C2740000}"/>
    <cellStyle name="Percent 2 3 2 8 2 2 2 3 2" xfId="31694" xr:uid="{00000000-0005-0000-0000-0000C3740000}"/>
    <cellStyle name="Percent 2 3 2 8 2 2 2 4" xfId="22664" xr:uid="{00000000-0005-0000-0000-0000C4740000}"/>
    <cellStyle name="Percent 2 3 2 8 2 2 3" xfId="4106" xr:uid="{00000000-0005-0000-0000-0000C5740000}"/>
    <cellStyle name="Percent 2 3 2 8 2 2 3 2" xfId="8588" xr:uid="{00000000-0005-0000-0000-0000C6740000}"/>
    <cellStyle name="Percent 2 3 2 8 2 2 3 2 2" xfId="17618" xr:uid="{00000000-0005-0000-0000-0000C7740000}"/>
    <cellStyle name="Percent 2 3 2 8 2 2 3 2 2 2" xfId="37670" xr:uid="{00000000-0005-0000-0000-0000C8740000}"/>
    <cellStyle name="Percent 2 3 2 8 2 2 3 2 3" xfId="28640" xr:uid="{00000000-0005-0000-0000-0000C9740000}"/>
    <cellStyle name="Percent 2 3 2 8 2 2 3 3" xfId="13136" xr:uid="{00000000-0005-0000-0000-0000CA740000}"/>
    <cellStyle name="Percent 2 3 2 8 2 2 3 3 2" xfId="33188" xr:uid="{00000000-0005-0000-0000-0000CB740000}"/>
    <cellStyle name="Percent 2 3 2 8 2 2 3 4" xfId="24158" xr:uid="{00000000-0005-0000-0000-0000CC740000}"/>
    <cellStyle name="Percent 2 3 2 8 2 2 4" xfId="5600" xr:uid="{00000000-0005-0000-0000-0000CD740000}"/>
    <cellStyle name="Percent 2 3 2 8 2 2 4 2" xfId="14630" xr:uid="{00000000-0005-0000-0000-0000CE740000}"/>
    <cellStyle name="Percent 2 3 2 8 2 2 4 2 2" xfId="34682" xr:uid="{00000000-0005-0000-0000-0000CF740000}"/>
    <cellStyle name="Percent 2 3 2 8 2 2 4 3" xfId="25652" xr:uid="{00000000-0005-0000-0000-0000D0740000}"/>
    <cellStyle name="Percent 2 3 2 8 2 2 5" xfId="10148" xr:uid="{00000000-0005-0000-0000-0000D1740000}"/>
    <cellStyle name="Percent 2 3 2 8 2 2 5 2" xfId="30200" xr:uid="{00000000-0005-0000-0000-0000D2740000}"/>
    <cellStyle name="Percent 2 3 2 8 2 2 6" xfId="21170" xr:uid="{00000000-0005-0000-0000-0000D3740000}"/>
    <cellStyle name="Percent 2 3 2 8 2 3" xfId="1869" xr:uid="{00000000-0005-0000-0000-0000D4740000}"/>
    <cellStyle name="Percent 2 3 2 8 2 3 2" xfId="6351" xr:uid="{00000000-0005-0000-0000-0000D5740000}"/>
    <cellStyle name="Percent 2 3 2 8 2 3 2 2" xfId="15381" xr:uid="{00000000-0005-0000-0000-0000D6740000}"/>
    <cellStyle name="Percent 2 3 2 8 2 3 2 2 2" xfId="35433" xr:uid="{00000000-0005-0000-0000-0000D7740000}"/>
    <cellStyle name="Percent 2 3 2 8 2 3 2 3" xfId="26403" xr:uid="{00000000-0005-0000-0000-0000D8740000}"/>
    <cellStyle name="Percent 2 3 2 8 2 3 3" xfId="10899" xr:uid="{00000000-0005-0000-0000-0000D9740000}"/>
    <cellStyle name="Percent 2 3 2 8 2 3 3 2" xfId="30951" xr:uid="{00000000-0005-0000-0000-0000DA740000}"/>
    <cellStyle name="Percent 2 3 2 8 2 3 4" xfId="21921" xr:uid="{00000000-0005-0000-0000-0000DB740000}"/>
    <cellStyle name="Percent 2 3 2 8 2 4" xfId="3363" xr:uid="{00000000-0005-0000-0000-0000DC740000}"/>
    <cellStyle name="Percent 2 3 2 8 2 4 2" xfId="7845" xr:uid="{00000000-0005-0000-0000-0000DD740000}"/>
    <cellStyle name="Percent 2 3 2 8 2 4 2 2" xfId="16875" xr:uid="{00000000-0005-0000-0000-0000DE740000}"/>
    <cellStyle name="Percent 2 3 2 8 2 4 2 2 2" xfId="36927" xr:uid="{00000000-0005-0000-0000-0000DF740000}"/>
    <cellStyle name="Percent 2 3 2 8 2 4 2 3" xfId="27897" xr:uid="{00000000-0005-0000-0000-0000E0740000}"/>
    <cellStyle name="Percent 2 3 2 8 2 4 3" xfId="12393" xr:uid="{00000000-0005-0000-0000-0000E1740000}"/>
    <cellStyle name="Percent 2 3 2 8 2 4 3 2" xfId="32445" xr:uid="{00000000-0005-0000-0000-0000E2740000}"/>
    <cellStyle name="Percent 2 3 2 8 2 4 4" xfId="23415" xr:uid="{00000000-0005-0000-0000-0000E3740000}"/>
    <cellStyle name="Percent 2 3 2 8 2 5" xfId="4857" xr:uid="{00000000-0005-0000-0000-0000E4740000}"/>
    <cellStyle name="Percent 2 3 2 8 2 5 2" xfId="13887" xr:uid="{00000000-0005-0000-0000-0000E5740000}"/>
    <cellStyle name="Percent 2 3 2 8 2 5 2 2" xfId="33939" xr:uid="{00000000-0005-0000-0000-0000E6740000}"/>
    <cellStyle name="Percent 2 3 2 8 2 5 3" xfId="24909" xr:uid="{00000000-0005-0000-0000-0000E7740000}"/>
    <cellStyle name="Percent 2 3 2 8 2 6" xfId="9405" xr:uid="{00000000-0005-0000-0000-0000E8740000}"/>
    <cellStyle name="Percent 2 3 2 8 2 6 2" xfId="29457" xr:uid="{00000000-0005-0000-0000-0000E9740000}"/>
    <cellStyle name="Percent 2 3 2 8 2 7" xfId="20427" xr:uid="{00000000-0005-0000-0000-0000EA740000}"/>
    <cellStyle name="Percent 2 3 2 8 3" xfId="561" xr:uid="{00000000-0005-0000-0000-0000EB740000}"/>
    <cellStyle name="Percent 2 3 2 8 3 2" xfId="1308" xr:uid="{00000000-0005-0000-0000-0000EC740000}"/>
    <cellStyle name="Percent 2 3 2 8 3 2 2" xfId="2802" xr:uid="{00000000-0005-0000-0000-0000ED740000}"/>
    <cellStyle name="Percent 2 3 2 8 3 2 2 2" xfId="7284" xr:uid="{00000000-0005-0000-0000-0000EE740000}"/>
    <cellStyle name="Percent 2 3 2 8 3 2 2 2 2" xfId="16314" xr:uid="{00000000-0005-0000-0000-0000EF740000}"/>
    <cellStyle name="Percent 2 3 2 8 3 2 2 2 2 2" xfId="36366" xr:uid="{00000000-0005-0000-0000-0000F0740000}"/>
    <cellStyle name="Percent 2 3 2 8 3 2 2 2 3" xfId="27336" xr:uid="{00000000-0005-0000-0000-0000F1740000}"/>
    <cellStyle name="Percent 2 3 2 8 3 2 2 3" xfId="11832" xr:uid="{00000000-0005-0000-0000-0000F2740000}"/>
    <cellStyle name="Percent 2 3 2 8 3 2 2 3 2" xfId="31884" xr:uid="{00000000-0005-0000-0000-0000F3740000}"/>
    <cellStyle name="Percent 2 3 2 8 3 2 2 4" xfId="22854" xr:uid="{00000000-0005-0000-0000-0000F4740000}"/>
    <cellStyle name="Percent 2 3 2 8 3 2 3" xfId="4296" xr:uid="{00000000-0005-0000-0000-0000F5740000}"/>
    <cellStyle name="Percent 2 3 2 8 3 2 3 2" xfId="8778" xr:uid="{00000000-0005-0000-0000-0000F6740000}"/>
    <cellStyle name="Percent 2 3 2 8 3 2 3 2 2" xfId="17808" xr:uid="{00000000-0005-0000-0000-0000F7740000}"/>
    <cellStyle name="Percent 2 3 2 8 3 2 3 2 2 2" xfId="37860" xr:uid="{00000000-0005-0000-0000-0000F8740000}"/>
    <cellStyle name="Percent 2 3 2 8 3 2 3 2 3" xfId="28830" xr:uid="{00000000-0005-0000-0000-0000F9740000}"/>
    <cellStyle name="Percent 2 3 2 8 3 2 3 3" xfId="13326" xr:uid="{00000000-0005-0000-0000-0000FA740000}"/>
    <cellStyle name="Percent 2 3 2 8 3 2 3 3 2" xfId="33378" xr:uid="{00000000-0005-0000-0000-0000FB740000}"/>
    <cellStyle name="Percent 2 3 2 8 3 2 3 4" xfId="24348" xr:uid="{00000000-0005-0000-0000-0000FC740000}"/>
    <cellStyle name="Percent 2 3 2 8 3 2 4" xfId="5790" xr:uid="{00000000-0005-0000-0000-0000FD740000}"/>
    <cellStyle name="Percent 2 3 2 8 3 2 4 2" xfId="14820" xr:uid="{00000000-0005-0000-0000-0000FE740000}"/>
    <cellStyle name="Percent 2 3 2 8 3 2 4 2 2" xfId="34872" xr:uid="{00000000-0005-0000-0000-0000FF740000}"/>
    <cellStyle name="Percent 2 3 2 8 3 2 4 3" xfId="25842" xr:uid="{00000000-0005-0000-0000-000000750000}"/>
    <cellStyle name="Percent 2 3 2 8 3 2 5" xfId="10338" xr:uid="{00000000-0005-0000-0000-000001750000}"/>
    <cellStyle name="Percent 2 3 2 8 3 2 5 2" xfId="30390" xr:uid="{00000000-0005-0000-0000-000002750000}"/>
    <cellStyle name="Percent 2 3 2 8 3 2 6" xfId="21360" xr:uid="{00000000-0005-0000-0000-000003750000}"/>
    <cellStyle name="Percent 2 3 2 8 3 3" xfId="2055" xr:uid="{00000000-0005-0000-0000-000004750000}"/>
    <cellStyle name="Percent 2 3 2 8 3 3 2" xfId="6537" xr:uid="{00000000-0005-0000-0000-000005750000}"/>
    <cellStyle name="Percent 2 3 2 8 3 3 2 2" xfId="15567" xr:uid="{00000000-0005-0000-0000-000006750000}"/>
    <cellStyle name="Percent 2 3 2 8 3 3 2 2 2" xfId="35619" xr:uid="{00000000-0005-0000-0000-000007750000}"/>
    <cellStyle name="Percent 2 3 2 8 3 3 2 3" xfId="26589" xr:uid="{00000000-0005-0000-0000-000008750000}"/>
    <cellStyle name="Percent 2 3 2 8 3 3 3" xfId="11085" xr:uid="{00000000-0005-0000-0000-000009750000}"/>
    <cellStyle name="Percent 2 3 2 8 3 3 3 2" xfId="31137" xr:uid="{00000000-0005-0000-0000-00000A750000}"/>
    <cellStyle name="Percent 2 3 2 8 3 3 4" xfId="22107" xr:uid="{00000000-0005-0000-0000-00000B750000}"/>
    <cellStyle name="Percent 2 3 2 8 3 4" xfId="3549" xr:uid="{00000000-0005-0000-0000-00000C750000}"/>
    <cellStyle name="Percent 2 3 2 8 3 4 2" xfId="8031" xr:uid="{00000000-0005-0000-0000-00000D750000}"/>
    <cellStyle name="Percent 2 3 2 8 3 4 2 2" xfId="17061" xr:uid="{00000000-0005-0000-0000-00000E750000}"/>
    <cellStyle name="Percent 2 3 2 8 3 4 2 2 2" xfId="37113" xr:uid="{00000000-0005-0000-0000-00000F750000}"/>
    <cellStyle name="Percent 2 3 2 8 3 4 2 3" xfId="28083" xr:uid="{00000000-0005-0000-0000-000010750000}"/>
    <cellStyle name="Percent 2 3 2 8 3 4 3" xfId="12579" xr:uid="{00000000-0005-0000-0000-000011750000}"/>
    <cellStyle name="Percent 2 3 2 8 3 4 3 2" xfId="32631" xr:uid="{00000000-0005-0000-0000-000012750000}"/>
    <cellStyle name="Percent 2 3 2 8 3 4 4" xfId="23601" xr:uid="{00000000-0005-0000-0000-000013750000}"/>
    <cellStyle name="Percent 2 3 2 8 3 5" xfId="5043" xr:uid="{00000000-0005-0000-0000-000014750000}"/>
    <cellStyle name="Percent 2 3 2 8 3 5 2" xfId="14073" xr:uid="{00000000-0005-0000-0000-000015750000}"/>
    <cellStyle name="Percent 2 3 2 8 3 5 2 2" xfId="34125" xr:uid="{00000000-0005-0000-0000-000016750000}"/>
    <cellStyle name="Percent 2 3 2 8 3 5 3" xfId="25095" xr:uid="{00000000-0005-0000-0000-000017750000}"/>
    <cellStyle name="Percent 2 3 2 8 3 6" xfId="9591" xr:uid="{00000000-0005-0000-0000-000018750000}"/>
    <cellStyle name="Percent 2 3 2 8 3 6 2" xfId="29643" xr:uid="{00000000-0005-0000-0000-000019750000}"/>
    <cellStyle name="Percent 2 3 2 8 3 7" xfId="20613" xr:uid="{00000000-0005-0000-0000-00001A750000}"/>
    <cellStyle name="Percent 2 3 2 8 4" xfId="747" xr:uid="{00000000-0005-0000-0000-00001B750000}"/>
    <cellStyle name="Percent 2 3 2 8 4 2" xfId="1494" xr:uid="{00000000-0005-0000-0000-00001C750000}"/>
    <cellStyle name="Percent 2 3 2 8 4 2 2" xfId="2988" xr:uid="{00000000-0005-0000-0000-00001D750000}"/>
    <cellStyle name="Percent 2 3 2 8 4 2 2 2" xfId="7470" xr:uid="{00000000-0005-0000-0000-00001E750000}"/>
    <cellStyle name="Percent 2 3 2 8 4 2 2 2 2" xfId="16500" xr:uid="{00000000-0005-0000-0000-00001F750000}"/>
    <cellStyle name="Percent 2 3 2 8 4 2 2 2 2 2" xfId="36552" xr:uid="{00000000-0005-0000-0000-000020750000}"/>
    <cellStyle name="Percent 2 3 2 8 4 2 2 2 3" xfId="27522" xr:uid="{00000000-0005-0000-0000-000021750000}"/>
    <cellStyle name="Percent 2 3 2 8 4 2 2 3" xfId="12018" xr:uid="{00000000-0005-0000-0000-000022750000}"/>
    <cellStyle name="Percent 2 3 2 8 4 2 2 3 2" xfId="32070" xr:uid="{00000000-0005-0000-0000-000023750000}"/>
    <cellStyle name="Percent 2 3 2 8 4 2 2 4" xfId="23040" xr:uid="{00000000-0005-0000-0000-000024750000}"/>
    <cellStyle name="Percent 2 3 2 8 4 2 3" xfId="4482" xr:uid="{00000000-0005-0000-0000-000025750000}"/>
    <cellStyle name="Percent 2 3 2 8 4 2 3 2" xfId="8964" xr:uid="{00000000-0005-0000-0000-000026750000}"/>
    <cellStyle name="Percent 2 3 2 8 4 2 3 2 2" xfId="17994" xr:uid="{00000000-0005-0000-0000-000027750000}"/>
    <cellStyle name="Percent 2 3 2 8 4 2 3 2 2 2" xfId="38046" xr:uid="{00000000-0005-0000-0000-000028750000}"/>
    <cellStyle name="Percent 2 3 2 8 4 2 3 2 3" xfId="29016" xr:uid="{00000000-0005-0000-0000-000029750000}"/>
    <cellStyle name="Percent 2 3 2 8 4 2 3 3" xfId="13512" xr:uid="{00000000-0005-0000-0000-00002A750000}"/>
    <cellStyle name="Percent 2 3 2 8 4 2 3 3 2" xfId="33564" xr:uid="{00000000-0005-0000-0000-00002B750000}"/>
    <cellStyle name="Percent 2 3 2 8 4 2 3 4" xfId="24534" xr:uid="{00000000-0005-0000-0000-00002C750000}"/>
    <cellStyle name="Percent 2 3 2 8 4 2 4" xfId="5976" xr:uid="{00000000-0005-0000-0000-00002D750000}"/>
    <cellStyle name="Percent 2 3 2 8 4 2 4 2" xfId="15006" xr:uid="{00000000-0005-0000-0000-00002E750000}"/>
    <cellStyle name="Percent 2 3 2 8 4 2 4 2 2" xfId="35058" xr:uid="{00000000-0005-0000-0000-00002F750000}"/>
    <cellStyle name="Percent 2 3 2 8 4 2 4 3" xfId="26028" xr:uid="{00000000-0005-0000-0000-000030750000}"/>
    <cellStyle name="Percent 2 3 2 8 4 2 5" xfId="10524" xr:uid="{00000000-0005-0000-0000-000031750000}"/>
    <cellStyle name="Percent 2 3 2 8 4 2 5 2" xfId="30576" xr:uid="{00000000-0005-0000-0000-000032750000}"/>
    <cellStyle name="Percent 2 3 2 8 4 2 6" xfId="21546" xr:uid="{00000000-0005-0000-0000-000033750000}"/>
    <cellStyle name="Percent 2 3 2 8 4 3" xfId="2241" xr:uid="{00000000-0005-0000-0000-000034750000}"/>
    <cellStyle name="Percent 2 3 2 8 4 3 2" xfId="6723" xr:uid="{00000000-0005-0000-0000-000035750000}"/>
    <cellStyle name="Percent 2 3 2 8 4 3 2 2" xfId="15753" xr:uid="{00000000-0005-0000-0000-000036750000}"/>
    <cellStyle name="Percent 2 3 2 8 4 3 2 2 2" xfId="35805" xr:uid="{00000000-0005-0000-0000-000037750000}"/>
    <cellStyle name="Percent 2 3 2 8 4 3 2 3" xfId="26775" xr:uid="{00000000-0005-0000-0000-000038750000}"/>
    <cellStyle name="Percent 2 3 2 8 4 3 3" xfId="11271" xr:uid="{00000000-0005-0000-0000-000039750000}"/>
    <cellStyle name="Percent 2 3 2 8 4 3 3 2" xfId="31323" xr:uid="{00000000-0005-0000-0000-00003A750000}"/>
    <cellStyle name="Percent 2 3 2 8 4 3 4" xfId="22293" xr:uid="{00000000-0005-0000-0000-00003B750000}"/>
    <cellStyle name="Percent 2 3 2 8 4 4" xfId="3735" xr:uid="{00000000-0005-0000-0000-00003C750000}"/>
    <cellStyle name="Percent 2 3 2 8 4 4 2" xfId="8217" xr:uid="{00000000-0005-0000-0000-00003D750000}"/>
    <cellStyle name="Percent 2 3 2 8 4 4 2 2" xfId="17247" xr:uid="{00000000-0005-0000-0000-00003E750000}"/>
    <cellStyle name="Percent 2 3 2 8 4 4 2 2 2" xfId="37299" xr:uid="{00000000-0005-0000-0000-00003F750000}"/>
    <cellStyle name="Percent 2 3 2 8 4 4 2 3" xfId="28269" xr:uid="{00000000-0005-0000-0000-000040750000}"/>
    <cellStyle name="Percent 2 3 2 8 4 4 3" xfId="12765" xr:uid="{00000000-0005-0000-0000-000041750000}"/>
    <cellStyle name="Percent 2 3 2 8 4 4 3 2" xfId="32817" xr:uid="{00000000-0005-0000-0000-000042750000}"/>
    <cellStyle name="Percent 2 3 2 8 4 4 4" xfId="23787" xr:uid="{00000000-0005-0000-0000-000043750000}"/>
    <cellStyle name="Percent 2 3 2 8 4 5" xfId="5229" xr:uid="{00000000-0005-0000-0000-000044750000}"/>
    <cellStyle name="Percent 2 3 2 8 4 5 2" xfId="14259" xr:uid="{00000000-0005-0000-0000-000045750000}"/>
    <cellStyle name="Percent 2 3 2 8 4 5 2 2" xfId="34311" xr:uid="{00000000-0005-0000-0000-000046750000}"/>
    <cellStyle name="Percent 2 3 2 8 4 5 3" xfId="25281" xr:uid="{00000000-0005-0000-0000-000047750000}"/>
    <cellStyle name="Percent 2 3 2 8 4 6" xfId="9777" xr:uid="{00000000-0005-0000-0000-000048750000}"/>
    <cellStyle name="Percent 2 3 2 8 4 6 2" xfId="29829" xr:uid="{00000000-0005-0000-0000-000049750000}"/>
    <cellStyle name="Percent 2 3 2 8 4 7" xfId="20799" xr:uid="{00000000-0005-0000-0000-00004A750000}"/>
    <cellStyle name="Percent 2 3 2 8 5" xfId="934" xr:uid="{00000000-0005-0000-0000-00004B750000}"/>
    <cellStyle name="Percent 2 3 2 8 5 2" xfId="2428" xr:uid="{00000000-0005-0000-0000-00004C750000}"/>
    <cellStyle name="Percent 2 3 2 8 5 2 2" xfId="6910" xr:uid="{00000000-0005-0000-0000-00004D750000}"/>
    <cellStyle name="Percent 2 3 2 8 5 2 2 2" xfId="15940" xr:uid="{00000000-0005-0000-0000-00004E750000}"/>
    <cellStyle name="Percent 2 3 2 8 5 2 2 2 2" xfId="35992" xr:uid="{00000000-0005-0000-0000-00004F750000}"/>
    <cellStyle name="Percent 2 3 2 8 5 2 2 3" xfId="26962" xr:uid="{00000000-0005-0000-0000-000050750000}"/>
    <cellStyle name="Percent 2 3 2 8 5 2 3" xfId="11458" xr:uid="{00000000-0005-0000-0000-000051750000}"/>
    <cellStyle name="Percent 2 3 2 8 5 2 3 2" xfId="31510" xr:uid="{00000000-0005-0000-0000-000052750000}"/>
    <cellStyle name="Percent 2 3 2 8 5 2 4" xfId="22480" xr:uid="{00000000-0005-0000-0000-000053750000}"/>
    <cellStyle name="Percent 2 3 2 8 5 3" xfId="3922" xr:uid="{00000000-0005-0000-0000-000054750000}"/>
    <cellStyle name="Percent 2 3 2 8 5 3 2" xfId="8404" xr:uid="{00000000-0005-0000-0000-000055750000}"/>
    <cellStyle name="Percent 2 3 2 8 5 3 2 2" xfId="17434" xr:uid="{00000000-0005-0000-0000-000056750000}"/>
    <cellStyle name="Percent 2 3 2 8 5 3 2 2 2" xfId="37486" xr:uid="{00000000-0005-0000-0000-000057750000}"/>
    <cellStyle name="Percent 2 3 2 8 5 3 2 3" xfId="28456" xr:uid="{00000000-0005-0000-0000-000058750000}"/>
    <cellStyle name="Percent 2 3 2 8 5 3 3" xfId="12952" xr:uid="{00000000-0005-0000-0000-000059750000}"/>
    <cellStyle name="Percent 2 3 2 8 5 3 3 2" xfId="33004" xr:uid="{00000000-0005-0000-0000-00005A750000}"/>
    <cellStyle name="Percent 2 3 2 8 5 3 4" xfId="23974" xr:uid="{00000000-0005-0000-0000-00005B750000}"/>
    <cellStyle name="Percent 2 3 2 8 5 4" xfId="5416" xr:uid="{00000000-0005-0000-0000-00005C750000}"/>
    <cellStyle name="Percent 2 3 2 8 5 4 2" xfId="14446" xr:uid="{00000000-0005-0000-0000-00005D750000}"/>
    <cellStyle name="Percent 2 3 2 8 5 4 2 2" xfId="34498" xr:uid="{00000000-0005-0000-0000-00005E750000}"/>
    <cellStyle name="Percent 2 3 2 8 5 4 3" xfId="25468" xr:uid="{00000000-0005-0000-0000-00005F750000}"/>
    <cellStyle name="Percent 2 3 2 8 5 5" xfId="9964" xr:uid="{00000000-0005-0000-0000-000060750000}"/>
    <cellStyle name="Percent 2 3 2 8 5 5 2" xfId="30016" xr:uid="{00000000-0005-0000-0000-000061750000}"/>
    <cellStyle name="Percent 2 3 2 8 5 6" xfId="20986" xr:uid="{00000000-0005-0000-0000-000062750000}"/>
    <cellStyle name="Percent 2 3 2 8 6" xfId="1683" xr:uid="{00000000-0005-0000-0000-000063750000}"/>
    <cellStyle name="Percent 2 3 2 8 6 2" xfId="6165" xr:uid="{00000000-0005-0000-0000-000064750000}"/>
    <cellStyle name="Percent 2 3 2 8 6 2 2" xfId="15195" xr:uid="{00000000-0005-0000-0000-000065750000}"/>
    <cellStyle name="Percent 2 3 2 8 6 2 2 2" xfId="35247" xr:uid="{00000000-0005-0000-0000-000066750000}"/>
    <cellStyle name="Percent 2 3 2 8 6 2 3" xfId="26217" xr:uid="{00000000-0005-0000-0000-000067750000}"/>
    <cellStyle name="Percent 2 3 2 8 6 3" xfId="10713" xr:uid="{00000000-0005-0000-0000-000068750000}"/>
    <cellStyle name="Percent 2 3 2 8 6 3 2" xfId="30765" xr:uid="{00000000-0005-0000-0000-000069750000}"/>
    <cellStyle name="Percent 2 3 2 8 6 4" xfId="21735" xr:uid="{00000000-0005-0000-0000-00006A750000}"/>
    <cellStyle name="Percent 2 3 2 8 7" xfId="3177" xr:uid="{00000000-0005-0000-0000-00006B750000}"/>
    <cellStyle name="Percent 2 3 2 8 7 2" xfId="7659" xr:uid="{00000000-0005-0000-0000-00006C750000}"/>
    <cellStyle name="Percent 2 3 2 8 7 2 2" xfId="16689" xr:uid="{00000000-0005-0000-0000-00006D750000}"/>
    <cellStyle name="Percent 2 3 2 8 7 2 2 2" xfId="36741" xr:uid="{00000000-0005-0000-0000-00006E750000}"/>
    <cellStyle name="Percent 2 3 2 8 7 2 3" xfId="27711" xr:uid="{00000000-0005-0000-0000-00006F750000}"/>
    <cellStyle name="Percent 2 3 2 8 7 3" xfId="12207" xr:uid="{00000000-0005-0000-0000-000070750000}"/>
    <cellStyle name="Percent 2 3 2 8 7 3 2" xfId="32259" xr:uid="{00000000-0005-0000-0000-000071750000}"/>
    <cellStyle name="Percent 2 3 2 8 7 4" xfId="23229" xr:uid="{00000000-0005-0000-0000-000072750000}"/>
    <cellStyle name="Percent 2 3 2 8 8" xfId="4671" xr:uid="{00000000-0005-0000-0000-000073750000}"/>
    <cellStyle name="Percent 2 3 2 8 8 2" xfId="13701" xr:uid="{00000000-0005-0000-0000-000074750000}"/>
    <cellStyle name="Percent 2 3 2 8 8 2 2" xfId="33753" xr:uid="{00000000-0005-0000-0000-000075750000}"/>
    <cellStyle name="Percent 2 3 2 8 8 3" xfId="24723" xr:uid="{00000000-0005-0000-0000-000076750000}"/>
    <cellStyle name="Percent 2 3 2 8 9" xfId="9219" xr:uid="{00000000-0005-0000-0000-000077750000}"/>
    <cellStyle name="Percent 2 3 2 8 9 2" xfId="29271" xr:uid="{00000000-0005-0000-0000-000078750000}"/>
    <cellStyle name="Percent 2 3 2 9" xfId="212" xr:uid="{00000000-0005-0000-0000-000079750000}"/>
    <cellStyle name="Percent 2 3 2 9 2" xfId="957" xr:uid="{00000000-0005-0000-0000-00007A750000}"/>
    <cellStyle name="Percent 2 3 2 9 2 2" xfId="2451" xr:uid="{00000000-0005-0000-0000-00007B750000}"/>
    <cellStyle name="Percent 2 3 2 9 2 2 2" xfId="6933" xr:uid="{00000000-0005-0000-0000-00007C750000}"/>
    <cellStyle name="Percent 2 3 2 9 2 2 2 2" xfId="15963" xr:uid="{00000000-0005-0000-0000-00007D750000}"/>
    <cellStyle name="Percent 2 3 2 9 2 2 2 2 2" xfId="36015" xr:uid="{00000000-0005-0000-0000-00007E750000}"/>
    <cellStyle name="Percent 2 3 2 9 2 2 2 3" xfId="26985" xr:uid="{00000000-0005-0000-0000-00007F750000}"/>
    <cellStyle name="Percent 2 3 2 9 2 2 3" xfId="11481" xr:uid="{00000000-0005-0000-0000-000080750000}"/>
    <cellStyle name="Percent 2 3 2 9 2 2 3 2" xfId="31533" xr:uid="{00000000-0005-0000-0000-000081750000}"/>
    <cellStyle name="Percent 2 3 2 9 2 2 4" xfId="22503" xr:uid="{00000000-0005-0000-0000-000082750000}"/>
    <cellStyle name="Percent 2 3 2 9 2 3" xfId="3945" xr:uid="{00000000-0005-0000-0000-000083750000}"/>
    <cellStyle name="Percent 2 3 2 9 2 3 2" xfId="8427" xr:uid="{00000000-0005-0000-0000-000084750000}"/>
    <cellStyle name="Percent 2 3 2 9 2 3 2 2" xfId="17457" xr:uid="{00000000-0005-0000-0000-000085750000}"/>
    <cellStyle name="Percent 2 3 2 9 2 3 2 2 2" xfId="37509" xr:uid="{00000000-0005-0000-0000-000086750000}"/>
    <cellStyle name="Percent 2 3 2 9 2 3 2 3" xfId="28479" xr:uid="{00000000-0005-0000-0000-000087750000}"/>
    <cellStyle name="Percent 2 3 2 9 2 3 3" xfId="12975" xr:uid="{00000000-0005-0000-0000-000088750000}"/>
    <cellStyle name="Percent 2 3 2 9 2 3 3 2" xfId="33027" xr:uid="{00000000-0005-0000-0000-000089750000}"/>
    <cellStyle name="Percent 2 3 2 9 2 3 4" xfId="23997" xr:uid="{00000000-0005-0000-0000-00008A750000}"/>
    <cellStyle name="Percent 2 3 2 9 2 4" xfId="5439" xr:uid="{00000000-0005-0000-0000-00008B750000}"/>
    <cellStyle name="Percent 2 3 2 9 2 4 2" xfId="14469" xr:uid="{00000000-0005-0000-0000-00008C750000}"/>
    <cellStyle name="Percent 2 3 2 9 2 4 2 2" xfId="34521" xr:uid="{00000000-0005-0000-0000-00008D750000}"/>
    <cellStyle name="Percent 2 3 2 9 2 4 3" xfId="25491" xr:uid="{00000000-0005-0000-0000-00008E750000}"/>
    <cellStyle name="Percent 2 3 2 9 2 5" xfId="9987" xr:uid="{00000000-0005-0000-0000-00008F750000}"/>
    <cellStyle name="Percent 2 3 2 9 2 5 2" xfId="30039" xr:uid="{00000000-0005-0000-0000-000090750000}"/>
    <cellStyle name="Percent 2 3 2 9 2 6" xfId="21009" xr:uid="{00000000-0005-0000-0000-000091750000}"/>
    <cellStyle name="Percent 2 3 2 9 3" xfId="1706" xr:uid="{00000000-0005-0000-0000-000092750000}"/>
    <cellStyle name="Percent 2 3 2 9 3 2" xfId="6188" xr:uid="{00000000-0005-0000-0000-000093750000}"/>
    <cellStyle name="Percent 2 3 2 9 3 2 2" xfId="15218" xr:uid="{00000000-0005-0000-0000-000094750000}"/>
    <cellStyle name="Percent 2 3 2 9 3 2 2 2" xfId="35270" xr:uid="{00000000-0005-0000-0000-000095750000}"/>
    <cellStyle name="Percent 2 3 2 9 3 2 3" xfId="26240" xr:uid="{00000000-0005-0000-0000-000096750000}"/>
    <cellStyle name="Percent 2 3 2 9 3 3" xfId="10736" xr:uid="{00000000-0005-0000-0000-000097750000}"/>
    <cellStyle name="Percent 2 3 2 9 3 3 2" xfId="30788" xr:uid="{00000000-0005-0000-0000-000098750000}"/>
    <cellStyle name="Percent 2 3 2 9 3 4" xfId="21758" xr:uid="{00000000-0005-0000-0000-000099750000}"/>
    <cellStyle name="Percent 2 3 2 9 4" xfId="3200" xr:uid="{00000000-0005-0000-0000-00009A750000}"/>
    <cellStyle name="Percent 2 3 2 9 4 2" xfId="7682" xr:uid="{00000000-0005-0000-0000-00009B750000}"/>
    <cellStyle name="Percent 2 3 2 9 4 2 2" xfId="16712" xr:uid="{00000000-0005-0000-0000-00009C750000}"/>
    <cellStyle name="Percent 2 3 2 9 4 2 2 2" xfId="36764" xr:uid="{00000000-0005-0000-0000-00009D750000}"/>
    <cellStyle name="Percent 2 3 2 9 4 2 3" xfId="27734" xr:uid="{00000000-0005-0000-0000-00009E750000}"/>
    <cellStyle name="Percent 2 3 2 9 4 3" xfId="12230" xr:uid="{00000000-0005-0000-0000-00009F750000}"/>
    <cellStyle name="Percent 2 3 2 9 4 3 2" xfId="32282" xr:uid="{00000000-0005-0000-0000-0000A0750000}"/>
    <cellStyle name="Percent 2 3 2 9 4 4" xfId="23252" xr:uid="{00000000-0005-0000-0000-0000A1750000}"/>
    <cellStyle name="Percent 2 3 2 9 5" xfId="4694" xr:uid="{00000000-0005-0000-0000-0000A2750000}"/>
    <cellStyle name="Percent 2 3 2 9 5 2" xfId="13724" xr:uid="{00000000-0005-0000-0000-0000A3750000}"/>
    <cellStyle name="Percent 2 3 2 9 5 2 2" xfId="33776" xr:uid="{00000000-0005-0000-0000-0000A4750000}"/>
    <cellStyle name="Percent 2 3 2 9 5 3" xfId="24746" xr:uid="{00000000-0005-0000-0000-0000A5750000}"/>
    <cellStyle name="Percent 2 3 2 9 6" xfId="9242" xr:uid="{00000000-0005-0000-0000-0000A6750000}"/>
    <cellStyle name="Percent 2 3 2 9 6 2" xfId="29294" xr:uid="{00000000-0005-0000-0000-0000A7750000}"/>
    <cellStyle name="Percent 2 3 2 9 7" xfId="20264" xr:uid="{00000000-0005-0000-0000-0000A8750000}"/>
    <cellStyle name="Percent 2 3 3" xfId="39" xr:uid="{00000000-0005-0000-0000-0000A9750000}"/>
    <cellStyle name="Percent 2 3 3 10" xfId="20091" xr:uid="{00000000-0005-0000-0000-0000AA750000}"/>
    <cellStyle name="Percent 2 3 3 2" xfId="225" xr:uid="{00000000-0005-0000-0000-0000AB750000}"/>
    <cellStyle name="Percent 2 3 3 2 2" xfId="970" xr:uid="{00000000-0005-0000-0000-0000AC750000}"/>
    <cellStyle name="Percent 2 3 3 2 2 2" xfId="2464" xr:uid="{00000000-0005-0000-0000-0000AD750000}"/>
    <cellStyle name="Percent 2 3 3 2 2 2 2" xfId="6946" xr:uid="{00000000-0005-0000-0000-0000AE750000}"/>
    <cellStyle name="Percent 2 3 3 2 2 2 2 2" xfId="15976" xr:uid="{00000000-0005-0000-0000-0000AF750000}"/>
    <cellStyle name="Percent 2 3 3 2 2 2 2 2 2" xfId="36028" xr:uid="{00000000-0005-0000-0000-0000B0750000}"/>
    <cellStyle name="Percent 2 3 3 2 2 2 2 3" xfId="26998" xr:uid="{00000000-0005-0000-0000-0000B1750000}"/>
    <cellStyle name="Percent 2 3 3 2 2 2 3" xfId="11494" xr:uid="{00000000-0005-0000-0000-0000B2750000}"/>
    <cellStyle name="Percent 2 3 3 2 2 2 3 2" xfId="31546" xr:uid="{00000000-0005-0000-0000-0000B3750000}"/>
    <cellStyle name="Percent 2 3 3 2 2 2 4" xfId="22516" xr:uid="{00000000-0005-0000-0000-0000B4750000}"/>
    <cellStyle name="Percent 2 3 3 2 2 3" xfId="3958" xr:uid="{00000000-0005-0000-0000-0000B5750000}"/>
    <cellStyle name="Percent 2 3 3 2 2 3 2" xfId="8440" xr:uid="{00000000-0005-0000-0000-0000B6750000}"/>
    <cellStyle name="Percent 2 3 3 2 2 3 2 2" xfId="17470" xr:uid="{00000000-0005-0000-0000-0000B7750000}"/>
    <cellStyle name="Percent 2 3 3 2 2 3 2 2 2" xfId="37522" xr:uid="{00000000-0005-0000-0000-0000B8750000}"/>
    <cellStyle name="Percent 2 3 3 2 2 3 2 3" xfId="28492" xr:uid="{00000000-0005-0000-0000-0000B9750000}"/>
    <cellStyle name="Percent 2 3 3 2 2 3 3" xfId="12988" xr:uid="{00000000-0005-0000-0000-0000BA750000}"/>
    <cellStyle name="Percent 2 3 3 2 2 3 3 2" xfId="33040" xr:uid="{00000000-0005-0000-0000-0000BB750000}"/>
    <cellStyle name="Percent 2 3 3 2 2 3 4" xfId="24010" xr:uid="{00000000-0005-0000-0000-0000BC750000}"/>
    <cellStyle name="Percent 2 3 3 2 2 4" xfId="5452" xr:uid="{00000000-0005-0000-0000-0000BD750000}"/>
    <cellStyle name="Percent 2 3 3 2 2 4 2" xfId="14482" xr:uid="{00000000-0005-0000-0000-0000BE750000}"/>
    <cellStyle name="Percent 2 3 3 2 2 4 2 2" xfId="34534" xr:uid="{00000000-0005-0000-0000-0000BF750000}"/>
    <cellStyle name="Percent 2 3 3 2 2 4 3" xfId="25504" xr:uid="{00000000-0005-0000-0000-0000C0750000}"/>
    <cellStyle name="Percent 2 3 3 2 2 5" xfId="10000" xr:uid="{00000000-0005-0000-0000-0000C1750000}"/>
    <cellStyle name="Percent 2 3 3 2 2 5 2" xfId="30052" xr:uid="{00000000-0005-0000-0000-0000C2750000}"/>
    <cellStyle name="Percent 2 3 3 2 2 6" xfId="21022" xr:uid="{00000000-0005-0000-0000-0000C3750000}"/>
    <cellStyle name="Percent 2 3 3 2 3" xfId="1719" xr:uid="{00000000-0005-0000-0000-0000C4750000}"/>
    <cellStyle name="Percent 2 3 3 2 3 2" xfId="6201" xr:uid="{00000000-0005-0000-0000-0000C5750000}"/>
    <cellStyle name="Percent 2 3 3 2 3 2 2" xfId="15231" xr:uid="{00000000-0005-0000-0000-0000C6750000}"/>
    <cellStyle name="Percent 2 3 3 2 3 2 2 2" xfId="35283" xr:uid="{00000000-0005-0000-0000-0000C7750000}"/>
    <cellStyle name="Percent 2 3 3 2 3 2 3" xfId="26253" xr:uid="{00000000-0005-0000-0000-0000C8750000}"/>
    <cellStyle name="Percent 2 3 3 2 3 3" xfId="10749" xr:uid="{00000000-0005-0000-0000-0000C9750000}"/>
    <cellStyle name="Percent 2 3 3 2 3 3 2" xfId="30801" xr:uid="{00000000-0005-0000-0000-0000CA750000}"/>
    <cellStyle name="Percent 2 3 3 2 3 4" xfId="21771" xr:uid="{00000000-0005-0000-0000-0000CB750000}"/>
    <cellStyle name="Percent 2 3 3 2 4" xfId="3213" xr:uid="{00000000-0005-0000-0000-0000CC750000}"/>
    <cellStyle name="Percent 2 3 3 2 4 2" xfId="7695" xr:uid="{00000000-0005-0000-0000-0000CD750000}"/>
    <cellStyle name="Percent 2 3 3 2 4 2 2" xfId="16725" xr:uid="{00000000-0005-0000-0000-0000CE750000}"/>
    <cellStyle name="Percent 2 3 3 2 4 2 2 2" xfId="36777" xr:uid="{00000000-0005-0000-0000-0000CF750000}"/>
    <cellStyle name="Percent 2 3 3 2 4 2 3" xfId="27747" xr:uid="{00000000-0005-0000-0000-0000D0750000}"/>
    <cellStyle name="Percent 2 3 3 2 4 3" xfId="12243" xr:uid="{00000000-0005-0000-0000-0000D1750000}"/>
    <cellStyle name="Percent 2 3 3 2 4 3 2" xfId="32295" xr:uid="{00000000-0005-0000-0000-0000D2750000}"/>
    <cellStyle name="Percent 2 3 3 2 4 4" xfId="23265" xr:uid="{00000000-0005-0000-0000-0000D3750000}"/>
    <cellStyle name="Percent 2 3 3 2 5" xfId="4707" xr:uid="{00000000-0005-0000-0000-0000D4750000}"/>
    <cellStyle name="Percent 2 3 3 2 5 2" xfId="13737" xr:uid="{00000000-0005-0000-0000-0000D5750000}"/>
    <cellStyle name="Percent 2 3 3 2 5 2 2" xfId="33789" xr:uid="{00000000-0005-0000-0000-0000D6750000}"/>
    <cellStyle name="Percent 2 3 3 2 5 3" xfId="24759" xr:uid="{00000000-0005-0000-0000-0000D7750000}"/>
    <cellStyle name="Percent 2 3 3 2 6" xfId="9255" xr:uid="{00000000-0005-0000-0000-0000D8750000}"/>
    <cellStyle name="Percent 2 3 3 2 6 2" xfId="29307" xr:uid="{00000000-0005-0000-0000-0000D9750000}"/>
    <cellStyle name="Percent 2 3 3 2 7" xfId="20277" xr:uid="{00000000-0005-0000-0000-0000DA750000}"/>
    <cellStyle name="Percent 2 3 3 3" xfId="411" xr:uid="{00000000-0005-0000-0000-0000DB750000}"/>
    <cellStyle name="Percent 2 3 3 3 2" xfId="1158" xr:uid="{00000000-0005-0000-0000-0000DC750000}"/>
    <cellStyle name="Percent 2 3 3 3 2 2" xfId="2652" xr:uid="{00000000-0005-0000-0000-0000DD750000}"/>
    <cellStyle name="Percent 2 3 3 3 2 2 2" xfId="7134" xr:uid="{00000000-0005-0000-0000-0000DE750000}"/>
    <cellStyle name="Percent 2 3 3 3 2 2 2 2" xfId="16164" xr:uid="{00000000-0005-0000-0000-0000DF750000}"/>
    <cellStyle name="Percent 2 3 3 3 2 2 2 2 2" xfId="36216" xr:uid="{00000000-0005-0000-0000-0000E0750000}"/>
    <cellStyle name="Percent 2 3 3 3 2 2 2 3" xfId="27186" xr:uid="{00000000-0005-0000-0000-0000E1750000}"/>
    <cellStyle name="Percent 2 3 3 3 2 2 3" xfId="11682" xr:uid="{00000000-0005-0000-0000-0000E2750000}"/>
    <cellStyle name="Percent 2 3 3 3 2 2 3 2" xfId="31734" xr:uid="{00000000-0005-0000-0000-0000E3750000}"/>
    <cellStyle name="Percent 2 3 3 3 2 2 4" xfId="22704" xr:uid="{00000000-0005-0000-0000-0000E4750000}"/>
    <cellStyle name="Percent 2 3 3 3 2 3" xfId="4146" xr:uid="{00000000-0005-0000-0000-0000E5750000}"/>
    <cellStyle name="Percent 2 3 3 3 2 3 2" xfId="8628" xr:uid="{00000000-0005-0000-0000-0000E6750000}"/>
    <cellStyle name="Percent 2 3 3 3 2 3 2 2" xfId="17658" xr:uid="{00000000-0005-0000-0000-0000E7750000}"/>
    <cellStyle name="Percent 2 3 3 3 2 3 2 2 2" xfId="37710" xr:uid="{00000000-0005-0000-0000-0000E8750000}"/>
    <cellStyle name="Percent 2 3 3 3 2 3 2 3" xfId="28680" xr:uid="{00000000-0005-0000-0000-0000E9750000}"/>
    <cellStyle name="Percent 2 3 3 3 2 3 3" xfId="13176" xr:uid="{00000000-0005-0000-0000-0000EA750000}"/>
    <cellStyle name="Percent 2 3 3 3 2 3 3 2" xfId="33228" xr:uid="{00000000-0005-0000-0000-0000EB750000}"/>
    <cellStyle name="Percent 2 3 3 3 2 3 4" xfId="24198" xr:uid="{00000000-0005-0000-0000-0000EC750000}"/>
    <cellStyle name="Percent 2 3 3 3 2 4" xfId="5640" xr:uid="{00000000-0005-0000-0000-0000ED750000}"/>
    <cellStyle name="Percent 2 3 3 3 2 4 2" xfId="14670" xr:uid="{00000000-0005-0000-0000-0000EE750000}"/>
    <cellStyle name="Percent 2 3 3 3 2 4 2 2" xfId="34722" xr:uid="{00000000-0005-0000-0000-0000EF750000}"/>
    <cellStyle name="Percent 2 3 3 3 2 4 3" xfId="25692" xr:uid="{00000000-0005-0000-0000-0000F0750000}"/>
    <cellStyle name="Percent 2 3 3 3 2 5" xfId="10188" xr:uid="{00000000-0005-0000-0000-0000F1750000}"/>
    <cellStyle name="Percent 2 3 3 3 2 5 2" xfId="30240" xr:uid="{00000000-0005-0000-0000-0000F2750000}"/>
    <cellStyle name="Percent 2 3 3 3 2 6" xfId="21210" xr:uid="{00000000-0005-0000-0000-0000F3750000}"/>
    <cellStyle name="Percent 2 3 3 3 3" xfId="1905" xr:uid="{00000000-0005-0000-0000-0000F4750000}"/>
    <cellStyle name="Percent 2 3 3 3 3 2" xfId="6387" xr:uid="{00000000-0005-0000-0000-0000F5750000}"/>
    <cellStyle name="Percent 2 3 3 3 3 2 2" xfId="15417" xr:uid="{00000000-0005-0000-0000-0000F6750000}"/>
    <cellStyle name="Percent 2 3 3 3 3 2 2 2" xfId="35469" xr:uid="{00000000-0005-0000-0000-0000F7750000}"/>
    <cellStyle name="Percent 2 3 3 3 3 2 3" xfId="26439" xr:uid="{00000000-0005-0000-0000-0000F8750000}"/>
    <cellStyle name="Percent 2 3 3 3 3 3" xfId="10935" xr:uid="{00000000-0005-0000-0000-0000F9750000}"/>
    <cellStyle name="Percent 2 3 3 3 3 3 2" xfId="30987" xr:uid="{00000000-0005-0000-0000-0000FA750000}"/>
    <cellStyle name="Percent 2 3 3 3 3 4" xfId="21957" xr:uid="{00000000-0005-0000-0000-0000FB750000}"/>
    <cellStyle name="Percent 2 3 3 3 4" xfId="3399" xr:uid="{00000000-0005-0000-0000-0000FC750000}"/>
    <cellStyle name="Percent 2 3 3 3 4 2" xfId="7881" xr:uid="{00000000-0005-0000-0000-0000FD750000}"/>
    <cellStyle name="Percent 2 3 3 3 4 2 2" xfId="16911" xr:uid="{00000000-0005-0000-0000-0000FE750000}"/>
    <cellStyle name="Percent 2 3 3 3 4 2 2 2" xfId="36963" xr:uid="{00000000-0005-0000-0000-0000FF750000}"/>
    <cellStyle name="Percent 2 3 3 3 4 2 3" xfId="27933" xr:uid="{00000000-0005-0000-0000-000000760000}"/>
    <cellStyle name="Percent 2 3 3 3 4 3" xfId="12429" xr:uid="{00000000-0005-0000-0000-000001760000}"/>
    <cellStyle name="Percent 2 3 3 3 4 3 2" xfId="32481" xr:uid="{00000000-0005-0000-0000-000002760000}"/>
    <cellStyle name="Percent 2 3 3 3 4 4" xfId="23451" xr:uid="{00000000-0005-0000-0000-000003760000}"/>
    <cellStyle name="Percent 2 3 3 3 5" xfId="4893" xr:uid="{00000000-0005-0000-0000-000004760000}"/>
    <cellStyle name="Percent 2 3 3 3 5 2" xfId="13923" xr:uid="{00000000-0005-0000-0000-000005760000}"/>
    <cellStyle name="Percent 2 3 3 3 5 2 2" xfId="33975" xr:uid="{00000000-0005-0000-0000-000006760000}"/>
    <cellStyle name="Percent 2 3 3 3 5 3" xfId="24945" xr:uid="{00000000-0005-0000-0000-000007760000}"/>
    <cellStyle name="Percent 2 3 3 3 6" xfId="9441" xr:uid="{00000000-0005-0000-0000-000008760000}"/>
    <cellStyle name="Percent 2 3 3 3 6 2" xfId="29493" xr:uid="{00000000-0005-0000-0000-000009760000}"/>
    <cellStyle name="Percent 2 3 3 3 7" xfId="20463" xr:uid="{00000000-0005-0000-0000-00000A760000}"/>
    <cellStyle name="Percent 2 3 3 4" xfId="597" xr:uid="{00000000-0005-0000-0000-00000B760000}"/>
    <cellStyle name="Percent 2 3 3 4 2" xfId="1344" xr:uid="{00000000-0005-0000-0000-00000C760000}"/>
    <cellStyle name="Percent 2 3 3 4 2 2" xfId="2838" xr:uid="{00000000-0005-0000-0000-00000D760000}"/>
    <cellStyle name="Percent 2 3 3 4 2 2 2" xfId="7320" xr:uid="{00000000-0005-0000-0000-00000E760000}"/>
    <cellStyle name="Percent 2 3 3 4 2 2 2 2" xfId="16350" xr:uid="{00000000-0005-0000-0000-00000F760000}"/>
    <cellStyle name="Percent 2 3 3 4 2 2 2 2 2" xfId="36402" xr:uid="{00000000-0005-0000-0000-000010760000}"/>
    <cellStyle name="Percent 2 3 3 4 2 2 2 3" xfId="27372" xr:uid="{00000000-0005-0000-0000-000011760000}"/>
    <cellStyle name="Percent 2 3 3 4 2 2 3" xfId="11868" xr:uid="{00000000-0005-0000-0000-000012760000}"/>
    <cellStyle name="Percent 2 3 3 4 2 2 3 2" xfId="31920" xr:uid="{00000000-0005-0000-0000-000013760000}"/>
    <cellStyle name="Percent 2 3 3 4 2 2 4" xfId="22890" xr:uid="{00000000-0005-0000-0000-000014760000}"/>
    <cellStyle name="Percent 2 3 3 4 2 3" xfId="4332" xr:uid="{00000000-0005-0000-0000-000015760000}"/>
    <cellStyle name="Percent 2 3 3 4 2 3 2" xfId="8814" xr:uid="{00000000-0005-0000-0000-000016760000}"/>
    <cellStyle name="Percent 2 3 3 4 2 3 2 2" xfId="17844" xr:uid="{00000000-0005-0000-0000-000017760000}"/>
    <cellStyle name="Percent 2 3 3 4 2 3 2 2 2" xfId="37896" xr:uid="{00000000-0005-0000-0000-000018760000}"/>
    <cellStyle name="Percent 2 3 3 4 2 3 2 3" xfId="28866" xr:uid="{00000000-0005-0000-0000-000019760000}"/>
    <cellStyle name="Percent 2 3 3 4 2 3 3" xfId="13362" xr:uid="{00000000-0005-0000-0000-00001A760000}"/>
    <cellStyle name="Percent 2 3 3 4 2 3 3 2" xfId="33414" xr:uid="{00000000-0005-0000-0000-00001B760000}"/>
    <cellStyle name="Percent 2 3 3 4 2 3 4" xfId="24384" xr:uid="{00000000-0005-0000-0000-00001C760000}"/>
    <cellStyle name="Percent 2 3 3 4 2 4" xfId="5826" xr:uid="{00000000-0005-0000-0000-00001D760000}"/>
    <cellStyle name="Percent 2 3 3 4 2 4 2" xfId="14856" xr:uid="{00000000-0005-0000-0000-00001E760000}"/>
    <cellStyle name="Percent 2 3 3 4 2 4 2 2" xfId="34908" xr:uid="{00000000-0005-0000-0000-00001F760000}"/>
    <cellStyle name="Percent 2 3 3 4 2 4 3" xfId="25878" xr:uid="{00000000-0005-0000-0000-000020760000}"/>
    <cellStyle name="Percent 2 3 3 4 2 5" xfId="10374" xr:uid="{00000000-0005-0000-0000-000021760000}"/>
    <cellStyle name="Percent 2 3 3 4 2 5 2" xfId="30426" xr:uid="{00000000-0005-0000-0000-000022760000}"/>
    <cellStyle name="Percent 2 3 3 4 2 6" xfId="21396" xr:uid="{00000000-0005-0000-0000-000023760000}"/>
    <cellStyle name="Percent 2 3 3 4 3" xfId="2091" xr:uid="{00000000-0005-0000-0000-000024760000}"/>
    <cellStyle name="Percent 2 3 3 4 3 2" xfId="6573" xr:uid="{00000000-0005-0000-0000-000025760000}"/>
    <cellStyle name="Percent 2 3 3 4 3 2 2" xfId="15603" xr:uid="{00000000-0005-0000-0000-000026760000}"/>
    <cellStyle name="Percent 2 3 3 4 3 2 2 2" xfId="35655" xr:uid="{00000000-0005-0000-0000-000027760000}"/>
    <cellStyle name="Percent 2 3 3 4 3 2 3" xfId="26625" xr:uid="{00000000-0005-0000-0000-000028760000}"/>
    <cellStyle name="Percent 2 3 3 4 3 3" xfId="11121" xr:uid="{00000000-0005-0000-0000-000029760000}"/>
    <cellStyle name="Percent 2 3 3 4 3 3 2" xfId="31173" xr:uid="{00000000-0005-0000-0000-00002A760000}"/>
    <cellStyle name="Percent 2 3 3 4 3 4" xfId="22143" xr:uid="{00000000-0005-0000-0000-00002B760000}"/>
    <cellStyle name="Percent 2 3 3 4 4" xfId="3585" xr:uid="{00000000-0005-0000-0000-00002C760000}"/>
    <cellStyle name="Percent 2 3 3 4 4 2" xfId="8067" xr:uid="{00000000-0005-0000-0000-00002D760000}"/>
    <cellStyle name="Percent 2 3 3 4 4 2 2" xfId="17097" xr:uid="{00000000-0005-0000-0000-00002E760000}"/>
    <cellStyle name="Percent 2 3 3 4 4 2 2 2" xfId="37149" xr:uid="{00000000-0005-0000-0000-00002F760000}"/>
    <cellStyle name="Percent 2 3 3 4 4 2 3" xfId="28119" xr:uid="{00000000-0005-0000-0000-000030760000}"/>
    <cellStyle name="Percent 2 3 3 4 4 3" xfId="12615" xr:uid="{00000000-0005-0000-0000-000031760000}"/>
    <cellStyle name="Percent 2 3 3 4 4 3 2" xfId="32667" xr:uid="{00000000-0005-0000-0000-000032760000}"/>
    <cellStyle name="Percent 2 3 3 4 4 4" xfId="23637" xr:uid="{00000000-0005-0000-0000-000033760000}"/>
    <cellStyle name="Percent 2 3 3 4 5" xfId="5079" xr:uid="{00000000-0005-0000-0000-000034760000}"/>
    <cellStyle name="Percent 2 3 3 4 5 2" xfId="14109" xr:uid="{00000000-0005-0000-0000-000035760000}"/>
    <cellStyle name="Percent 2 3 3 4 5 2 2" xfId="34161" xr:uid="{00000000-0005-0000-0000-000036760000}"/>
    <cellStyle name="Percent 2 3 3 4 5 3" xfId="25131" xr:uid="{00000000-0005-0000-0000-000037760000}"/>
    <cellStyle name="Percent 2 3 3 4 6" xfId="9627" xr:uid="{00000000-0005-0000-0000-000038760000}"/>
    <cellStyle name="Percent 2 3 3 4 6 2" xfId="29679" xr:uid="{00000000-0005-0000-0000-000039760000}"/>
    <cellStyle name="Percent 2 3 3 4 7" xfId="20649" xr:uid="{00000000-0005-0000-0000-00003A760000}"/>
    <cellStyle name="Percent 2 3 3 5" xfId="784" xr:uid="{00000000-0005-0000-0000-00003B760000}"/>
    <cellStyle name="Percent 2 3 3 5 2" xfId="2278" xr:uid="{00000000-0005-0000-0000-00003C760000}"/>
    <cellStyle name="Percent 2 3 3 5 2 2" xfId="6760" xr:uid="{00000000-0005-0000-0000-00003D760000}"/>
    <cellStyle name="Percent 2 3 3 5 2 2 2" xfId="15790" xr:uid="{00000000-0005-0000-0000-00003E760000}"/>
    <cellStyle name="Percent 2 3 3 5 2 2 2 2" xfId="35842" xr:uid="{00000000-0005-0000-0000-00003F760000}"/>
    <cellStyle name="Percent 2 3 3 5 2 2 3" xfId="26812" xr:uid="{00000000-0005-0000-0000-000040760000}"/>
    <cellStyle name="Percent 2 3 3 5 2 3" xfId="11308" xr:uid="{00000000-0005-0000-0000-000041760000}"/>
    <cellStyle name="Percent 2 3 3 5 2 3 2" xfId="31360" xr:uid="{00000000-0005-0000-0000-000042760000}"/>
    <cellStyle name="Percent 2 3 3 5 2 4" xfId="22330" xr:uid="{00000000-0005-0000-0000-000043760000}"/>
    <cellStyle name="Percent 2 3 3 5 3" xfId="3772" xr:uid="{00000000-0005-0000-0000-000044760000}"/>
    <cellStyle name="Percent 2 3 3 5 3 2" xfId="8254" xr:uid="{00000000-0005-0000-0000-000045760000}"/>
    <cellStyle name="Percent 2 3 3 5 3 2 2" xfId="17284" xr:uid="{00000000-0005-0000-0000-000046760000}"/>
    <cellStyle name="Percent 2 3 3 5 3 2 2 2" xfId="37336" xr:uid="{00000000-0005-0000-0000-000047760000}"/>
    <cellStyle name="Percent 2 3 3 5 3 2 3" xfId="28306" xr:uid="{00000000-0005-0000-0000-000048760000}"/>
    <cellStyle name="Percent 2 3 3 5 3 3" xfId="12802" xr:uid="{00000000-0005-0000-0000-000049760000}"/>
    <cellStyle name="Percent 2 3 3 5 3 3 2" xfId="32854" xr:uid="{00000000-0005-0000-0000-00004A760000}"/>
    <cellStyle name="Percent 2 3 3 5 3 4" xfId="23824" xr:uid="{00000000-0005-0000-0000-00004B760000}"/>
    <cellStyle name="Percent 2 3 3 5 4" xfId="5266" xr:uid="{00000000-0005-0000-0000-00004C760000}"/>
    <cellStyle name="Percent 2 3 3 5 4 2" xfId="14296" xr:uid="{00000000-0005-0000-0000-00004D760000}"/>
    <cellStyle name="Percent 2 3 3 5 4 2 2" xfId="34348" xr:uid="{00000000-0005-0000-0000-00004E760000}"/>
    <cellStyle name="Percent 2 3 3 5 4 3" xfId="25318" xr:uid="{00000000-0005-0000-0000-00004F760000}"/>
    <cellStyle name="Percent 2 3 3 5 5" xfId="9814" xr:uid="{00000000-0005-0000-0000-000050760000}"/>
    <cellStyle name="Percent 2 3 3 5 5 2" xfId="29866" xr:uid="{00000000-0005-0000-0000-000051760000}"/>
    <cellStyle name="Percent 2 3 3 5 6" xfId="20836" xr:uid="{00000000-0005-0000-0000-000052760000}"/>
    <cellStyle name="Percent 2 3 3 6" xfId="1533" xr:uid="{00000000-0005-0000-0000-000053760000}"/>
    <cellStyle name="Percent 2 3 3 6 2" xfId="6015" xr:uid="{00000000-0005-0000-0000-000054760000}"/>
    <cellStyle name="Percent 2 3 3 6 2 2" xfId="15045" xr:uid="{00000000-0005-0000-0000-000055760000}"/>
    <cellStyle name="Percent 2 3 3 6 2 2 2" xfId="35097" xr:uid="{00000000-0005-0000-0000-000056760000}"/>
    <cellStyle name="Percent 2 3 3 6 2 3" xfId="26067" xr:uid="{00000000-0005-0000-0000-000057760000}"/>
    <cellStyle name="Percent 2 3 3 6 3" xfId="10563" xr:uid="{00000000-0005-0000-0000-000058760000}"/>
    <cellStyle name="Percent 2 3 3 6 3 2" xfId="30615" xr:uid="{00000000-0005-0000-0000-000059760000}"/>
    <cellStyle name="Percent 2 3 3 6 4" xfId="21585" xr:uid="{00000000-0005-0000-0000-00005A760000}"/>
    <cellStyle name="Percent 2 3 3 7" xfId="3027" xr:uid="{00000000-0005-0000-0000-00005B760000}"/>
    <cellStyle name="Percent 2 3 3 7 2" xfId="7509" xr:uid="{00000000-0005-0000-0000-00005C760000}"/>
    <cellStyle name="Percent 2 3 3 7 2 2" xfId="16539" xr:uid="{00000000-0005-0000-0000-00005D760000}"/>
    <cellStyle name="Percent 2 3 3 7 2 2 2" xfId="36591" xr:uid="{00000000-0005-0000-0000-00005E760000}"/>
    <cellStyle name="Percent 2 3 3 7 2 3" xfId="27561" xr:uid="{00000000-0005-0000-0000-00005F760000}"/>
    <cellStyle name="Percent 2 3 3 7 3" xfId="12057" xr:uid="{00000000-0005-0000-0000-000060760000}"/>
    <cellStyle name="Percent 2 3 3 7 3 2" xfId="32109" xr:uid="{00000000-0005-0000-0000-000061760000}"/>
    <cellStyle name="Percent 2 3 3 7 4" xfId="23079" xr:uid="{00000000-0005-0000-0000-000062760000}"/>
    <cellStyle name="Percent 2 3 3 8" xfId="4521" xr:uid="{00000000-0005-0000-0000-000063760000}"/>
    <cellStyle name="Percent 2 3 3 8 2" xfId="13551" xr:uid="{00000000-0005-0000-0000-000064760000}"/>
    <cellStyle name="Percent 2 3 3 8 2 2" xfId="33603" xr:uid="{00000000-0005-0000-0000-000065760000}"/>
    <cellStyle name="Percent 2 3 3 8 3" xfId="24573" xr:uid="{00000000-0005-0000-0000-000066760000}"/>
    <cellStyle name="Percent 2 3 3 9" xfId="9069" xr:uid="{00000000-0005-0000-0000-000067760000}"/>
    <cellStyle name="Percent 2 3 3 9 2" xfId="29121" xr:uid="{00000000-0005-0000-0000-000068760000}"/>
    <cellStyle name="Percent 2 3 4" xfId="62" xr:uid="{00000000-0005-0000-0000-000069760000}"/>
    <cellStyle name="Percent 2 3 4 10" xfId="20114" xr:uid="{00000000-0005-0000-0000-00006A760000}"/>
    <cellStyle name="Percent 2 3 4 2" xfId="248" xr:uid="{00000000-0005-0000-0000-00006B760000}"/>
    <cellStyle name="Percent 2 3 4 2 2" xfId="993" xr:uid="{00000000-0005-0000-0000-00006C760000}"/>
    <cellStyle name="Percent 2 3 4 2 2 2" xfId="2487" xr:uid="{00000000-0005-0000-0000-00006D760000}"/>
    <cellStyle name="Percent 2 3 4 2 2 2 2" xfId="6969" xr:uid="{00000000-0005-0000-0000-00006E760000}"/>
    <cellStyle name="Percent 2 3 4 2 2 2 2 2" xfId="15999" xr:uid="{00000000-0005-0000-0000-00006F760000}"/>
    <cellStyle name="Percent 2 3 4 2 2 2 2 2 2" xfId="36051" xr:uid="{00000000-0005-0000-0000-000070760000}"/>
    <cellStyle name="Percent 2 3 4 2 2 2 2 3" xfId="27021" xr:uid="{00000000-0005-0000-0000-000071760000}"/>
    <cellStyle name="Percent 2 3 4 2 2 2 3" xfId="11517" xr:uid="{00000000-0005-0000-0000-000072760000}"/>
    <cellStyle name="Percent 2 3 4 2 2 2 3 2" xfId="31569" xr:uid="{00000000-0005-0000-0000-000073760000}"/>
    <cellStyle name="Percent 2 3 4 2 2 2 4" xfId="22539" xr:uid="{00000000-0005-0000-0000-000074760000}"/>
    <cellStyle name="Percent 2 3 4 2 2 3" xfId="3981" xr:uid="{00000000-0005-0000-0000-000075760000}"/>
    <cellStyle name="Percent 2 3 4 2 2 3 2" xfId="8463" xr:uid="{00000000-0005-0000-0000-000076760000}"/>
    <cellStyle name="Percent 2 3 4 2 2 3 2 2" xfId="17493" xr:uid="{00000000-0005-0000-0000-000077760000}"/>
    <cellStyle name="Percent 2 3 4 2 2 3 2 2 2" xfId="37545" xr:uid="{00000000-0005-0000-0000-000078760000}"/>
    <cellStyle name="Percent 2 3 4 2 2 3 2 3" xfId="28515" xr:uid="{00000000-0005-0000-0000-000079760000}"/>
    <cellStyle name="Percent 2 3 4 2 2 3 3" xfId="13011" xr:uid="{00000000-0005-0000-0000-00007A760000}"/>
    <cellStyle name="Percent 2 3 4 2 2 3 3 2" xfId="33063" xr:uid="{00000000-0005-0000-0000-00007B760000}"/>
    <cellStyle name="Percent 2 3 4 2 2 3 4" xfId="24033" xr:uid="{00000000-0005-0000-0000-00007C760000}"/>
    <cellStyle name="Percent 2 3 4 2 2 4" xfId="5475" xr:uid="{00000000-0005-0000-0000-00007D760000}"/>
    <cellStyle name="Percent 2 3 4 2 2 4 2" xfId="14505" xr:uid="{00000000-0005-0000-0000-00007E760000}"/>
    <cellStyle name="Percent 2 3 4 2 2 4 2 2" xfId="34557" xr:uid="{00000000-0005-0000-0000-00007F760000}"/>
    <cellStyle name="Percent 2 3 4 2 2 4 3" xfId="25527" xr:uid="{00000000-0005-0000-0000-000080760000}"/>
    <cellStyle name="Percent 2 3 4 2 2 5" xfId="10023" xr:uid="{00000000-0005-0000-0000-000081760000}"/>
    <cellStyle name="Percent 2 3 4 2 2 5 2" xfId="30075" xr:uid="{00000000-0005-0000-0000-000082760000}"/>
    <cellStyle name="Percent 2 3 4 2 2 6" xfId="21045" xr:uid="{00000000-0005-0000-0000-000083760000}"/>
    <cellStyle name="Percent 2 3 4 2 3" xfId="1742" xr:uid="{00000000-0005-0000-0000-000084760000}"/>
    <cellStyle name="Percent 2 3 4 2 3 2" xfId="6224" xr:uid="{00000000-0005-0000-0000-000085760000}"/>
    <cellStyle name="Percent 2 3 4 2 3 2 2" xfId="15254" xr:uid="{00000000-0005-0000-0000-000086760000}"/>
    <cellStyle name="Percent 2 3 4 2 3 2 2 2" xfId="35306" xr:uid="{00000000-0005-0000-0000-000087760000}"/>
    <cellStyle name="Percent 2 3 4 2 3 2 3" xfId="26276" xr:uid="{00000000-0005-0000-0000-000088760000}"/>
    <cellStyle name="Percent 2 3 4 2 3 3" xfId="10772" xr:uid="{00000000-0005-0000-0000-000089760000}"/>
    <cellStyle name="Percent 2 3 4 2 3 3 2" xfId="30824" xr:uid="{00000000-0005-0000-0000-00008A760000}"/>
    <cellStyle name="Percent 2 3 4 2 3 4" xfId="21794" xr:uid="{00000000-0005-0000-0000-00008B760000}"/>
    <cellStyle name="Percent 2 3 4 2 4" xfId="3236" xr:uid="{00000000-0005-0000-0000-00008C760000}"/>
    <cellStyle name="Percent 2 3 4 2 4 2" xfId="7718" xr:uid="{00000000-0005-0000-0000-00008D760000}"/>
    <cellStyle name="Percent 2 3 4 2 4 2 2" xfId="16748" xr:uid="{00000000-0005-0000-0000-00008E760000}"/>
    <cellStyle name="Percent 2 3 4 2 4 2 2 2" xfId="36800" xr:uid="{00000000-0005-0000-0000-00008F760000}"/>
    <cellStyle name="Percent 2 3 4 2 4 2 3" xfId="27770" xr:uid="{00000000-0005-0000-0000-000090760000}"/>
    <cellStyle name="Percent 2 3 4 2 4 3" xfId="12266" xr:uid="{00000000-0005-0000-0000-000091760000}"/>
    <cellStyle name="Percent 2 3 4 2 4 3 2" xfId="32318" xr:uid="{00000000-0005-0000-0000-000092760000}"/>
    <cellStyle name="Percent 2 3 4 2 4 4" xfId="23288" xr:uid="{00000000-0005-0000-0000-000093760000}"/>
    <cellStyle name="Percent 2 3 4 2 5" xfId="4730" xr:uid="{00000000-0005-0000-0000-000094760000}"/>
    <cellStyle name="Percent 2 3 4 2 5 2" xfId="13760" xr:uid="{00000000-0005-0000-0000-000095760000}"/>
    <cellStyle name="Percent 2 3 4 2 5 2 2" xfId="33812" xr:uid="{00000000-0005-0000-0000-000096760000}"/>
    <cellStyle name="Percent 2 3 4 2 5 3" xfId="24782" xr:uid="{00000000-0005-0000-0000-000097760000}"/>
    <cellStyle name="Percent 2 3 4 2 6" xfId="9278" xr:uid="{00000000-0005-0000-0000-000098760000}"/>
    <cellStyle name="Percent 2 3 4 2 6 2" xfId="29330" xr:uid="{00000000-0005-0000-0000-000099760000}"/>
    <cellStyle name="Percent 2 3 4 2 7" xfId="20300" xr:uid="{00000000-0005-0000-0000-00009A760000}"/>
    <cellStyle name="Percent 2 3 4 3" xfId="434" xr:uid="{00000000-0005-0000-0000-00009B760000}"/>
    <cellStyle name="Percent 2 3 4 3 2" xfId="1181" xr:uid="{00000000-0005-0000-0000-00009C760000}"/>
    <cellStyle name="Percent 2 3 4 3 2 2" xfId="2675" xr:uid="{00000000-0005-0000-0000-00009D760000}"/>
    <cellStyle name="Percent 2 3 4 3 2 2 2" xfId="7157" xr:uid="{00000000-0005-0000-0000-00009E760000}"/>
    <cellStyle name="Percent 2 3 4 3 2 2 2 2" xfId="16187" xr:uid="{00000000-0005-0000-0000-00009F760000}"/>
    <cellStyle name="Percent 2 3 4 3 2 2 2 2 2" xfId="36239" xr:uid="{00000000-0005-0000-0000-0000A0760000}"/>
    <cellStyle name="Percent 2 3 4 3 2 2 2 3" xfId="27209" xr:uid="{00000000-0005-0000-0000-0000A1760000}"/>
    <cellStyle name="Percent 2 3 4 3 2 2 3" xfId="11705" xr:uid="{00000000-0005-0000-0000-0000A2760000}"/>
    <cellStyle name="Percent 2 3 4 3 2 2 3 2" xfId="31757" xr:uid="{00000000-0005-0000-0000-0000A3760000}"/>
    <cellStyle name="Percent 2 3 4 3 2 2 4" xfId="22727" xr:uid="{00000000-0005-0000-0000-0000A4760000}"/>
    <cellStyle name="Percent 2 3 4 3 2 3" xfId="4169" xr:uid="{00000000-0005-0000-0000-0000A5760000}"/>
    <cellStyle name="Percent 2 3 4 3 2 3 2" xfId="8651" xr:uid="{00000000-0005-0000-0000-0000A6760000}"/>
    <cellStyle name="Percent 2 3 4 3 2 3 2 2" xfId="17681" xr:uid="{00000000-0005-0000-0000-0000A7760000}"/>
    <cellStyle name="Percent 2 3 4 3 2 3 2 2 2" xfId="37733" xr:uid="{00000000-0005-0000-0000-0000A8760000}"/>
    <cellStyle name="Percent 2 3 4 3 2 3 2 3" xfId="28703" xr:uid="{00000000-0005-0000-0000-0000A9760000}"/>
    <cellStyle name="Percent 2 3 4 3 2 3 3" xfId="13199" xr:uid="{00000000-0005-0000-0000-0000AA760000}"/>
    <cellStyle name="Percent 2 3 4 3 2 3 3 2" xfId="33251" xr:uid="{00000000-0005-0000-0000-0000AB760000}"/>
    <cellStyle name="Percent 2 3 4 3 2 3 4" xfId="24221" xr:uid="{00000000-0005-0000-0000-0000AC760000}"/>
    <cellStyle name="Percent 2 3 4 3 2 4" xfId="5663" xr:uid="{00000000-0005-0000-0000-0000AD760000}"/>
    <cellStyle name="Percent 2 3 4 3 2 4 2" xfId="14693" xr:uid="{00000000-0005-0000-0000-0000AE760000}"/>
    <cellStyle name="Percent 2 3 4 3 2 4 2 2" xfId="34745" xr:uid="{00000000-0005-0000-0000-0000AF760000}"/>
    <cellStyle name="Percent 2 3 4 3 2 4 3" xfId="25715" xr:uid="{00000000-0005-0000-0000-0000B0760000}"/>
    <cellStyle name="Percent 2 3 4 3 2 5" xfId="10211" xr:uid="{00000000-0005-0000-0000-0000B1760000}"/>
    <cellStyle name="Percent 2 3 4 3 2 5 2" xfId="30263" xr:uid="{00000000-0005-0000-0000-0000B2760000}"/>
    <cellStyle name="Percent 2 3 4 3 2 6" xfId="21233" xr:uid="{00000000-0005-0000-0000-0000B3760000}"/>
    <cellStyle name="Percent 2 3 4 3 3" xfId="1928" xr:uid="{00000000-0005-0000-0000-0000B4760000}"/>
    <cellStyle name="Percent 2 3 4 3 3 2" xfId="6410" xr:uid="{00000000-0005-0000-0000-0000B5760000}"/>
    <cellStyle name="Percent 2 3 4 3 3 2 2" xfId="15440" xr:uid="{00000000-0005-0000-0000-0000B6760000}"/>
    <cellStyle name="Percent 2 3 4 3 3 2 2 2" xfId="35492" xr:uid="{00000000-0005-0000-0000-0000B7760000}"/>
    <cellStyle name="Percent 2 3 4 3 3 2 3" xfId="26462" xr:uid="{00000000-0005-0000-0000-0000B8760000}"/>
    <cellStyle name="Percent 2 3 4 3 3 3" xfId="10958" xr:uid="{00000000-0005-0000-0000-0000B9760000}"/>
    <cellStyle name="Percent 2 3 4 3 3 3 2" xfId="31010" xr:uid="{00000000-0005-0000-0000-0000BA760000}"/>
    <cellStyle name="Percent 2 3 4 3 3 4" xfId="21980" xr:uid="{00000000-0005-0000-0000-0000BB760000}"/>
    <cellStyle name="Percent 2 3 4 3 4" xfId="3422" xr:uid="{00000000-0005-0000-0000-0000BC760000}"/>
    <cellStyle name="Percent 2 3 4 3 4 2" xfId="7904" xr:uid="{00000000-0005-0000-0000-0000BD760000}"/>
    <cellStyle name="Percent 2 3 4 3 4 2 2" xfId="16934" xr:uid="{00000000-0005-0000-0000-0000BE760000}"/>
    <cellStyle name="Percent 2 3 4 3 4 2 2 2" xfId="36986" xr:uid="{00000000-0005-0000-0000-0000BF760000}"/>
    <cellStyle name="Percent 2 3 4 3 4 2 3" xfId="27956" xr:uid="{00000000-0005-0000-0000-0000C0760000}"/>
    <cellStyle name="Percent 2 3 4 3 4 3" xfId="12452" xr:uid="{00000000-0005-0000-0000-0000C1760000}"/>
    <cellStyle name="Percent 2 3 4 3 4 3 2" xfId="32504" xr:uid="{00000000-0005-0000-0000-0000C2760000}"/>
    <cellStyle name="Percent 2 3 4 3 4 4" xfId="23474" xr:uid="{00000000-0005-0000-0000-0000C3760000}"/>
    <cellStyle name="Percent 2 3 4 3 5" xfId="4916" xr:uid="{00000000-0005-0000-0000-0000C4760000}"/>
    <cellStyle name="Percent 2 3 4 3 5 2" xfId="13946" xr:uid="{00000000-0005-0000-0000-0000C5760000}"/>
    <cellStyle name="Percent 2 3 4 3 5 2 2" xfId="33998" xr:uid="{00000000-0005-0000-0000-0000C6760000}"/>
    <cellStyle name="Percent 2 3 4 3 5 3" xfId="24968" xr:uid="{00000000-0005-0000-0000-0000C7760000}"/>
    <cellStyle name="Percent 2 3 4 3 6" xfId="9464" xr:uid="{00000000-0005-0000-0000-0000C8760000}"/>
    <cellStyle name="Percent 2 3 4 3 6 2" xfId="29516" xr:uid="{00000000-0005-0000-0000-0000C9760000}"/>
    <cellStyle name="Percent 2 3 4 3 7" xfId="20486" xr:uid="{00000000-0005-0000-0000-0000CA760000}"/>
    <cellStyle name="Percent 2 3 4 4" xfId="620" xr:uid="{00000000-0005-0000-0000-0000CB760000}"/>
    <cellStyle name="Percent 2 3 4 4 2" xfId="1367" xr:uid="{00000000-0005-0000-0000-0000CC760000}"/>
    <cellStyle name="Percent 2 3 4 4 2 2" xfId="2861" xr:uid="{00000000-0005-0000-0000-0000CD760000}"/>
    <cellStyle name="Percent 2 3 4 4 2 2 2" xfId="7343" xr:uid="{00000000-0005-0000-0000-0000CE760000}"/>
    <cellStyle name="Percent 2 3 4 4 2 2 2 2" xfId="16373" xr:uid="{00000000-0005-0000-0000-0000CF760000}"/>
    <cellStyle name="Percent 2 3 4 4 2 2 2 2 2" xfId="36425" xr:uid="{00000000-0005-0000-0000-0000D0760000}"/>
    <cellStyle name="Percent 2 3 4 4 2 2 2 3" xfId="27395" xr:uid="{00000000-0005-0000-0000-0000D1760000}"/>
    <cellStyle name="Percent 2 3 4 4 2 2 3" xfId="11891" xr:uid="{00000000-0005-0000-0000-0000D2760000}"/>
    <cellStyle name="Percent 2 3 4 4 2 2 3 2" xfId="31943" xr:uid="{00000000-0005-0000-0000-0000D3760000}"/>
    <cellStyle name="Percent 2 3 4 4 2 2 4" xfId="22913" xr:uid="{00000000-0005-0000-0000-0000D4760000}"/>
    <cellStyle name="Percent 2 3 4 4 2 3" xfId="4355" xr:uid="{00000000-0005-0000-0000-0000D5760000}"/>
    <cellStyle name="Percent 2 3 4 4 2 3 2" xfId="8837" xr:uid="{00000000-0005-0000-0000-0000D6760000}"/>
    <cellStyle name="Percent 2 3 4 4 2 3 2 2" xfId="17867" xr:uid="{00000000-0005-0000-0000-0000D7760000}"/>
    <cellStyle name="Percent 2 3 4 4 2 3 2 2 2" xfId="37919" xr:uid="{00000000-0005-0000-0000-0000D8760000}"/>
    <cellStyle name="Percent 2 3 4 4 2 3 2 3" xfId="28889" xr:uid="{00000000-0005-0000-0000-0000D9760000}"/>
    <cellStyle name="Percent 2 3 4 4 2 3 3" xfId="13385" xr:uid="{00000000-0005-0000-0000-0000DA760000}"/>
    <cellStyle name="Percent 2 3 4 4 2 3 3 2" xfId="33437" xr:uid="{00000000-0005-0000-0000-0000DB760000}"/>
    <cellStyle name="Percent 2 3 4 4 2 3 4" xfId="24407" xr:uid="{00000000-0005-0000-0000-0000DC760000}"/>
    <cellStyle name="Percent 2 3 4 4 2 4" xfId="5849" xr:uid="{00000000-0005-0000-0000-0000DD760000}"/>
    <cellStyle name="Percent 2 3 4 4 2 4 2" xfId="14879" xr:uid="{00000000-0005-0000-0000-0000DE760000}"/>
    <cellStyle name="Percent 2 3 4 4 2 4 2 2" xfId="34931" xr:uid="{00000000-0005-0000-0000-0000DF760000}"/>
    <cellStyle name="Percent 2 3 4 4 2 4 3" xfId="25901" xr:uid="{00000000-0005-0000-0000-0000E0760000}"/>
    <cellStyle name="Percent 2 3 4 4 2 5" xfId="10397" xr:uid="{00000000-0005-0000-0000-0000E1760000}"/>
    <cellStyle name="Percent 2 3 4 4 2 5 2" xfId="30449" xr:uid="{00000000-0005-0000-0000-0000E2760000}"/>
    <cellStyle name="Percent 2 3 4 4 2 6" xfId="21419" xr:uid="{00000000-0005-0000-0000-0000E3760000}"/>
    <cellStyle name="Percent 2 3 4 4 3" xfId="2114" xr:uid="{00000000-0005-0000-0000-0000E4760000}"/>
    <cellStyle name="Percent 2 3 4 4 3 2" xfId="6596" xr:uid="{00000000-0005-0000-0000-0000E5760000}"/>
    <cellStyle name="Percent 2 3 4 4 3 2 2" xfId="15626" xr:uid="{00000000-0005-0000-0000-0000E6760000}"/>
    <cellStyle name="Percent 2 3 4 4 3 2 2 2" xfId="35678" xr:uid="{00000000-0005-0000-0000-0000E7760000}"/>
    <cellStyle name="Percent 2 3 4 4 3 2 3" xfId="26648" xr:uid="{00000000-0005-0000-0000-0000E8760000}"/>
    <cellStyle name="Percent 2 3 4 4 3 3" xfId="11144" xr:uid="{00000000-0005-0000-0000-0000E9760000}"/>
    <cellStyle name="Percent 2 3 4 4 3 3 2" xfId="31196" xr:uid="{00000000-0005-0000-0000-0000EA760000}"/>
    <cellStyle name="Percent 2 3 4 4 3 4" xfId="22166" xr:uid="{00000000-0005-0000-0000-0000EB760000}"/>
    <cellStyle name="Percent 2 3 4 4 4" xfId="3608" xr:uid="{00000000-0005-0000-0000-0000EC760000}"/>
    <cellStyle name="Percent 2 3 4 4 4 2" xfId="8090" xr:uid="{00000000-0005-0000-0000-0000ED760000}"/>
    <cellStyle name="Percent 2 3 4 4 4 2 2" xfId="17120" xr:uid="{00000000-0005-0000-0000-0000EE760000}"/>
    <cellStyle name="Percent 2 3 4 4 4 2 2 2" xfId="37172" xr:uid="{00000000-0005-0000-0000-0000EF760000}"/>
    <cellStyle name="Percent 2 3 4 4 4 2 3" xfId="28142" xr:uid="{00000000-0005-0000-0000-0000F0760000}"/>
    <cellStyle name="Percent 2 3 4 4 4 3" xfId="12638" xr:uid="{00000000-0005-0000-0000-0000F1760000}"/>
    <cellStyle name="Percent 2 3 4 4 4 3 2" xfId="32690" xr:uid="{00000000-0005-0000-0000-0000F2760000}"/>
    <cellStyle name="Percent 2 3 4 4 4 4" xfId="23660" xr:uid="{00000000-0005-0000-0000-0000F3760000}"/>
    <cellStyle name="Percent 2 3 4 4 5" xfId="5102" xr:uid="{00000000-0005-0000-0000-0000F4760000}"/>
    <cellStyle name="Percent 2 3 4 4 5 2" xfId="14132" xr:uid="{00000000-0005-0000-0000-0000F5760000}"/>
    <cellStyle name="Percent 2 3 4 4 5 2 2" xfId="34184" xr:uid="{00000000-0005-0000-0000-0000F6760000}"/>
    <cellStyle name="Percent 2 3 4 4 5 3" xfId="25154" xr:uid="{00000000-0005-0000-0000-0000F7760000}"/>
    <cellStyle name="Percent 2 3 4 4 6" xfId="9650" xr:uid="{00000000-0005-0000-0000-0000F8760000}"/>
    <cellStyle name="Percent 2 3 4 4 6 2" xfId="29702" xr:uid="{00000000-0005-0000-0000-0000F9760000}"/>
    <cellStyle name="Percent 2 3 4 4 7" xfId="20672" xr:uid="{00000000-0005-0000-0000-0000FA760000}"/>
    <cellStyle name="Percent 2 3 4 5" xfId="807" xr:uid="{00000000-0005-0000-0000-0000FB760000}"/>
    <cellStyle name="Percent 2 3 4 5 2" xfId="2301" xr:uid="{00000000-0005-0000-0000-0000FC760000}"/>
    <cellStyle name="Percent 2 3 4 5 2 2" xfId="6783" xr:uid="{00000000-0005-0000-0000-0000FD760000}"/>
    <cellStyle name="Percent 2 3 4 5 2 2 2" xfId="15813" xr:uid="{00000000-0005-0000-0000-0000FE760000}"/>
    <cellStyle name="Percent 2 3 4 5 2 2 2 2" xfId="35865" xr:uid="{00000000-0005-0000-0000-0000FF760000}"/>
    <cellStyle name="Percent 2 3 4 5 2 2 3" xfId="26835" xr:uid="{00000000-0005-0000-0000-000000770000}"/>
    <cellStyle name="Percent 2 3 4 5 2 3" xfId="11331" xr:uid="{00000000-0005-0000-0000-000001770000}"/>
    <cellStyle name="Percent 2 3 4 5 2 3 2" xfId="31383" xr:uid="{00000000-0005-0000-0000-000002770000}"/>
    <cellStyle name="Percent 2 3 4 5 2 4" xfId="22353" xr:uid="{00000000-0005-0000-0000-000003770000}"/>
    <cellStyle name="Percent 2 3 4 5 3" xfId="3795" xr:uid="{00000000-0005-0000-0000-000004770000}"/>
    <cellStyle name="Percent 2 3 4 5 3 2" xfId="8277" xr:uid="{00000000-0005-0000-0000-000005770000}"/>
    <cellStyle name="Percent 2 3 4 5 3 2 2" xfId="17307" xr:uid="{00000000-0005-0000-0000-000006770000}"/>
    <cellStyle name="Percent 2 3 4 5 3 2 2 2" xfId="37359" xr:uid="{00000000-0005-0000-0000-000007770000}"/>
    <cellStyle name="Percent 2 3 4 5 3 2 3" xfId="28329" xr:uid="{00000000-0005-0000-0000-000008770000}"/>
    <cellStyle name="Percent 2 3 4 5 3 3" xfId="12825" xr:uid="{00000000-0005-0000-0000-000009770000}"/>
    <cellStyle name="Percent 2 3 4 5 3 3 2" xfId="32877" xr:uid="{00000000-0005-0000-0000-00000A770000}"/>
    <cellStyle name="Percent 2 3 4 5 3 4" xfId="23847" xr:uid="{00000000-0005-0000-0000-00000B770000}"/>
    <cellStyle name="Percent 2 3 4 5 4" xfId="5289" xr:uid="{00000000-0005-0000-0000-00000C770000}"/>
    <cellStyle name="Percent 2 3 4 5 4 2" xfId="14319" xr:uid="{00000000-0005-0000-0000-00000D770000}"/>
    <cellStyle name="Percent 2 3 4 5 4 2 2" xfId="34371" xr:uid="{00000000-0005-0000-0000-00000E770000}"/>
    <cellStyle name="Percent 2 3 4 5 4 3" xfId="25341" xr:uid="{00000000-0005-0000-0000-00000F770000}"/>
    <cellStyle name="Percent 2 3 4 5 5" xfId="9837" xr:uid="{00000000-0005-0000-0000-000010770000}"/>
    <cellStyle name="Percent 2 3 4 5 5 2" xfId="29889" xr:uid="{00000000-0005-0000-0000-000011770000}"/>
    <cellStyle name="Percent 2 3 4 5 6" xfId="20859" xr:uid="{00000000-0005-0000-0000-000012770000}"/>
    <cellStyle name="Percent 2 3 4 6" xfId="1556" xr:uid="{00000000-0005-0000-0000-000013770000}"/>
    <cellStyle name="Percent 2 3 4 6 2" xfId="6038" xr:uid="{00000000-0005-0000-0000-000014770000}"/>
    <cellStyle name="Percent 2 3 4 6 2 2" xfId="15068" xr:uid="{00000000-0005-0000-0000-000015770000}"/>
    <cellStyle name="Percent 2 3 4 6 2 2 2" xfId="35120" xr:uid="{00000000-0005-0000-0000-000016770000}"/>
    <cellStyle name="Percent 2 3 4 6 2 3" xfId="26090" xr:uid="{00000000-0005-0000-0000-000017770000}"/>
    <cellStyle name="Percent 2 3 4 6 3" xfId="10586" xr:uid="{00000000-0005-0000-0000-000018770000}"/>
    <cellStyle name="Percent 2 3 4 6 3 2" xfId="30638" xr:uid="{00000000-0005-0000-0000-000019770000}"/>
    <cellStyle name="Percent 2 3 4 6 4" xfId="21608" xr:uid="{00000000-0005-0000-0000-00001A770000}"/>
    <cellStyle name="Percent 2 3 4 7" xfId="3050" xr:uid="{00000000-0005-0000-0000-00001B770000}"/>
    <cellStyle name="Percent 2 3 4 7 2" xfId="7532" xr:uid="{00000000-0005-0000-0000-00001C770000}"/>
    <cellStyle name="Percent 2 3 4 7 2 2" xfId="16562" xr:uid="{00000000-0005-0000-0000-00001D770000}"/>
    <cellStyle name="Percent 2 3 4 7 2 2 2" xfId="36614" xr:uid="{00000000-0005-0000-0000-00001E770000}"/>
    <cellStyle name="Percent 2 3 4 7 2 3" xfId="27584" xr:uid="{00000000-0005-0000-0000-00001F770000}"/>
    <cellStyle name="Percent 2 3 4 7 3" xfId="12080" xr:uid="{00000000-0005-0000-0000-000020770000}"/>
    <cellStyle name="Percent 2 3 4 7 3 2" xfId="32132" xr:uid="{00000000-0005-0000-0000-000021770000}"/>
    <cellStyle name="Percent 2 3 4 7 4" xfId="23102" xr:uid="{00000000-0005-0000-0000-000022770000}"/>
    <cellStyle name="Percent 2 3 4 8" xfId="4544" xr:uid="{00000000-0005-0000-0000-000023770000}"/>
    <cellStyle name="Percent 2 3 4 8 2" xfId="13574" xr:uid="{00000000-0005-0000-0000-000024770000}"/>
    <cellStyle name="Percent 2 3 4 8 2 2" xfId="33626" xr:uid="{00000000-0005-0000-0000-000025770000}"/>
    <cellStyle name="Percent 2 3 4 8 3" xfId="24596" xr:uid="{00000000-0005-0000-0000-000026770000}"/>
    <cellStyle name="Percent 2 3 4 9" xfId="9092" xr:uid="{00000000-0005-0000-0000-000027770000}"/>
    <cellStyle name="Percent 2 3 4 9 2" xfId="29144" xr:uid="{00000000-0005-0000-0000-000028770000}"/>
    <cellStyle name="Percent 2 3 5" xfId="86" xr:uid="{00000000-0005-0000-0000-000029770000}"/>
    <cellStyle name="Percent 2 3 5 10" xfId="20138" xr:uid="{00000000-0005-0000-0000-00002A770000}"/>
    <cellStyle name="Percent 2 3 5 2" xfId="272" xr:uid="{00000000-0005-0000-0000-00002B770000}"/>
    <cellStyle name="Percent 2 3 5 2 2" xfId="1016" xr:uid="{00000000-0005-0000-0000-00002C770000}"/>
    <cellStyle name="Percent 2 3 5 2 2 2" xfId="2510" xr:uid="{00000000-0005-0000-0000-00002D770000}"/>
    <cellStyle name="Percent 2 3 5 2 2 2 2" xfId="6992" xr:uid="{00000000-0005-0000-0000-00002E770000}"/>
    <cellStyle name="Percent 2 3 5 2 2 2 2 2" xfId="16022" xr:uid="{00000000-0005-0000-0000-00002F770000}"/>
    <cellStyle name="Percent 2 3 5 2 2 2 2 2 2" xfId="36074" xr:uid="{00000000-0005-0000-0000-000030770000}"/>
    <cellStyle name="Percent 2 3 5 2 2 2 2 3" xfId="27044" xr:uid="{00000000-0005-0000-0000-000031770000}"/>
    <cellStyle name="Percent 2 3 5 2 2 2 3" xfId="11540" xr:uid="{00000000-0005-0000-0000-000032770000}"/>
    <cellStyle name="Percent 2 3 5 2 2 2 3 2" xfId="31592" xr:uid="{00000000-0005-0000-0000-000033770000}"/>
    <cellStyle name="Percent 2 3 5 2 2 2 4" xfId="22562" xr:uid="{00000000-0005-0000-0000-000034770000}"/>
    <cellStyle name="Percent 2 3 5 2 2 3" xfId="4004" xr:uid="{00000000-0005-0000-0000-000035770000}"/>
    <cellStyle name="Percent 2 3 5 2 2 3 2" xfId="8486" xr:uid="{00000000-0005-0000-0000-000036770000}"/>
    <cellStyle name="Percent 2 3 5 2 2 3 2 2" xfId="17516" xr:uid="{00000000-0005-0000-0000-000037770000}"/>
    <cellStyle name="Percent 2 3 5 2 2 3 2 2 2" xfId="37568" xr:uid="{00000000-0005-0000-0000-000038770000}"/>
    <cellStyle name="Percent 2 3 5 2 2 3 2 3" xfId="28538" xr:uid="{00000000-0005-0000-0000-000039770000}"/>
    <cellStyle name="Percent 2 3 5 2 2 3 3" xfId="13034" xr:uid="{00000000-0005-0000-0000-00003A770000}"/>
    <cellStyle name="Percent 2 3 5 2 2 3 3 2" xfId="33086" xr:uid="{00000000-0005-0000-0000-00003B770000}"/>
    <cellStyle name="Percent 2 3 5 2 2 3 4" xfId="24056" xr:uid="{00000000-0005-0000-0000-00003C770000}"/>
    <cellStyle name="Percent 2 3 5 2 2 4" xfId="5498" xr:uid="{00000000-0005-0000-0000-00003D770000}"/>
    <cellStyle name="Percent 2 3 5 2 2 4 2" xfId="14528" xr:uid="{00000000-0005-0000-0000-00003E770000}"/>
    <cellStyle name="Percent 2 3 5 2 2 4 2 2" xfId="34580" xr:uid="{00000000-0005-0000-0000-00003F770000}"/>
    <cellStyle name="Percent 2 3 5 2 2 4 3" xfId="25550" xr:uid="{00000000-0005-0000-0000-000040770000}"/>
    <cellStyle name="Percent 2 3 5 2 2 5" xfId="10046" xr:uid="{00000000-0005-0000-0000-000041770000}"/>
    <cellStyle name="Percent 2 3 5 2 2 5 2" xfId="30098" xr:uid="{00000000-0005-0000-0000-000042770000}"/>
    <cellStyle name="Percent 2 3 5 2 2 6" xfId="21068" xr:uid="{00000000-0005-0000-0000-000043770000}"/>
    <cellStyle name="Percent 2 3 5 2 3" xfId="1766" xr:uid="{00000000-0005-0000-0000-000044770000}"/>
    <cellStyle name="Percent 2 3 5 2 3 2" xfId="6248" xr:uid="{00000000-0005-0000-0000-000045770000}"/>
    <cellStyle name="Percent 2 3 5 2 3 2 2" xfId="15278" xr:uid="{00000000-0005-0000-0000-000046770000}"/>
    <cellStyle name="Percent 2 3 5 2 3 2 2 2" xfId="35330" xr:uid="{00000000-0005-0000-0000-000047770000}"/>
    <cellStyle name="Percent 2 3 5 2 3 2 3" xfId="26300" xr:uid="{00000000-0005-0000-0000-000048770000}"/>
    <cellStyle name="Percent 2 3 5 2 3 3" xfId="10796" xr:uid="{00000000-0005-0000-0000-000049770000}"/>
    <cellStyle name="Percent 2 3 5 2 3 3 2" xfId="30848" xr:uid="{00000000-0005-0000-0000-00004A770000}"/>
    <cellStyle name="Percent 2 3 5 2 3 4" xfId="21818" xr:uid="{00000000-0005-0000-0000-00004B770000}"/>
    <cellStyle name="Percent 2 3 5 2 4" xfId="3260" xr:uid="{00000000-0005-0000-0000-00004C770000}"/>
    <cellStyle name="Percent 2 3 5 2 4 2" xfId="7742" xr:uid="{00000000-0005-0000-0000-00004D770000}"/>
    <cellStyle name="Percent 2 3 5 2 4 2 2" xfId="16772" xr:uid="{00000000-0005-0000-0000-00004E770000}"/>
    <cellStyle name="Percent 2 3 5 2 4 2 2 2" xfId="36824" xr:uid="{00000000-0005-0000-0000-00004F770000}"/>
    <cellStyle name="Percent 2 3 5 2 4 2 3" xfId="27794" xr:uid="{00000000-0005-0000-0000-000050770000}"/>
    <cellStyle name="Percent 2 3 5 2 4 3" xfId="12290" xr:uid="{00000000-0005-0000-0000-000051770000}"/>
    <cellStyle name="Percent 2 3 5 2 4 3 2" xfId="32342" xr:uid="{00000000-0005-0000-0000-000052770000}"/>
    <cellStyle name="Percent 2 3 5 2 4 4" xfId="23312" xr:uid="{00000000-0005-0000-0000-000053770000}"/>
    <cellStyle name="Percent 2 3 5 2 5" xfId="4754" xr:uid="{00000000-0005-0000-0000-000054770000}"/>
    <cellStyle name="Percent 2 3 5 2 5 2" xfId="13784" xr:uid="{00000000-0005-0000-0000-000055770000}"/>
    <cellStyle name="Percent 2 3 5 2 5 2 2" xfId="33836" xr:uid="{00000000-0005-0000-0000-000056770000}"/>
    <cellStyle name="Percent 2 3 5 2 5 3" xfId="24806" xr:uid="{00000000-0005-0000-0000-000057770000}"/>
    <cellStyle name="Percent 2 3 5 2 6" xfId="9302" xr:uid="{00000000-0005-0000-0000-000058770000}"/>
    <cellStyle name="Percent 2 3 5 2 6 2" xfId="29354" xr:uid="{00000000-0005-0000-0000-000059770000}"/>
    <cellStyle name="Percent 2 3 5 2 7" xfId="20324" xr:uid="{00000000-0005-0000-0000-00005A770000}"/>
    <cellStyle name="Percent 2 3 5 3" xfId="458" xr:uid="{00000000-0005-0000-0000-00005B770000}"/>
    <cellStyle name="Percent 2 3 5 3 2" xfId="1205" xr:uid="{00000000-0005-0000-0000-00005C770000}"/>
    <cellStyle name="Percent 2 3 5 3 2 2" xfId="2699" xr:uid="{00000000-0005-0000-0000-00005D770000}"/>
    <cellStyle name="Percent 2 3 5 3 2 2 2" xfId="7181" xr:uid="{00000000-0005-0000-0000-00005E770000}"/>
    <cellStyle name="Percent 2 3 5 3 2 2 2 2" xfId="16211" xr:uid="{00000000-0005-0000-0000-00005F770000}"/>
    <cellStyle name="Percent 2 3 5 3 2 2 2 2 2" xfId="36263" xr:uid="{00000000-0005-0000-0000-000060770000}"/>
    <cellStyle name="Percent 2 3 5 3 2 2 2 3" xfId="27233" xr:uid="{00000000-0005-0000-0000-000061770000}"/>
    <cellStyle name="Percent 2 3 5 3 2 2 3" xfId="11729" xr:uid="{00000000-0005-0000-0000-000062770000}"/>
    <cellStyle name="Percent 2 3 5 3 2 2 3 2" xfId="31781" xr:uid="{00000000-0005-0000-0000-000063770000}"/>
    <cellStyle name="Percent 2 3 5 3 2 2 4" xfId="22751" xr:uid="{00000000-0005-0000-0000-000064770000}"/>
    <cellStyle name="Percent 2 3 5 3 2 3" xfId="4193" xr:uid="{00000000-0005-0000-0000-000065770000}"/>
    <cellStyle name="Percent 2 3 5 3 2 3 2" xfId="8675" xr:uid="{00000000-0005-0000-0000-000066770000}"/>
    <cellStyle name="Percent 2 3 5 3 2 3 2 2" xfId="17705" xr:uid="{00000000-0005-0000-0000-000067770000}"/>
    <cellStyle name="Percent 2 3 5 3 2 3 2 2 2" xfId="37757" xr:uid="{00000000-0005-0000-0000-000068770000}"/>
    <cellStyle name="Percent 2 3 5 3 2 3 2 3" xfId="28727" xr:uid="{00000000-0005-0000-0000-000069770000}"/>
    <cellStyle name="Percent 2 3 5 3 2 3 3" xfId="13223" xr:uid="{00000000-0005-0000-0000-00006A770000}"/>
    <cellStyle name="Percent 2 3 5 3 2 3 3 2" xfId="33275" xr:uid="{00000000-0005-0000-0000-00006B770000}"/>
    <cellStyle name="Percent 2 3 5 3 2 3 4" xfId="24245" xr:uid="{00000000-0005-0000-0000-00006C770000}"/>
    <cellStyle name="Percent 2 3 5 3 2 4" xfId="5687" xr:uid="{00000000-0005-0000-0000-00006D770000}"/>
    <cellStyle name="Percent 2 3 5 3 2 4 2" xfId="14717" xr:uid="{00000000-0005-0000-0000-00006E770000}"/>
    <cellStyle name="Percent 2 3 5 3 2 4 2 2" xfId="34769" xr:uid="{00000000-0005-0000-0000-00006F770000}"/>
    <cellStyle name="Percent 2 3 5 3 2 4 3" xfId="25739" xr:uid="{00000000-0005-0000-0000-000070770000}"/>
    <cellStyle name="Percent 2 3 5 3 2 5" xfId="10235" xr:uid="{00000000-0005-0000-0000-000071770000}"/>
    <cellStyle name="Percent 2 3 5 3 2 5 2" xfId="30287" xr:uid="{00000000-0005-0000-0000-000072770000}"/>
    <cellStyle name="Percent 2 3 5 3 2 6" xfId="21257" xr:uid="{00000000-0005-0000-0000-000073770000}"/>
    <cellStyle name="Percent 2 3 5 3 3" xfId="1952" xr:uid="{00000000-0005-0000-0000-000074770000}"/>
    <cellStyle name="Percent 2 3 5 3 3 2" xfId="6434" xr:uid="{00000000-0005-0000-0000-000075770000}"/>
    <cellStyle name="Percent 2 3 5 3 3 2 2" xfId="15464" xr:uid="{00000000-0005-0000-0000-000076770000}"/>
    <cellStyle name="Percent 2 3 5 3 3 2 2 2" xfId="35516" xr:uid="{00000000-0005-0000-0000-000077770000}"/>
    <cellStyle name="Percent 2 3 5 3 3 2 3" xfId="26486" xr:uid="{00000000-0005-0000-0000-000078770000}"/>
    <cellStyle name="Percent 2 3 5 3 3 3" xfId="10982" xr:uid="{00000000-0005-0000-0000-000079770000}"/>
    <cellStyle name="Percent 2 3 5 3 3 3 2" xfId="31034" xr:uid="{00000000-0005-0000-0000-00007A770000}"/>
    <cellStyle name="Percent 2 3 5 3 3 4" xfId="22004" xr:uid="{00000000-0005-0000-0000-00007B770000}"/>
    <cellStyle name="Percent 2 3 5 3 4" xfId="3446" xr:uid="{00000000-0005-0000-0000-00007C770000}"/>
    <cellStyle name="Percent 2 3 5 3 4 2" xfId="7928" xr:uid="{00000000-0005-0000-0000-00007D770000}"/>
    <cellStyle name="Percent 2 3 5 3 4 2 2" xfId="16958" xr:uid="{00000000-0005-0000-0000-00007E770000}"/>
    <cellStyle name="Percent 2 3 5 3 4 2 2 2" xfId="37010" xr:uid="{00000000-0005-0000-0000-00007F770000}"/>
    <cellStyle name="Percent 2 3 5 3 4 2 3" xfId="27980" xr:uid="{00000000-0005-0000-0000-000080770000}"/>
    <cellStyle name="Percent 2 3 5 3 4 3" xfId="12476" xr:uid="{00000000-0005-0000-0000-000081770000}"/>
    <cellStyle name="Percent 2 3 5 3 4 3 2" xfId="32528" xr:uid="{00000000-0005-0000-0000-000082770000}"/>
    <cellStyle name="Percent 2 3 5 3 4 4" xfId="23498" xr:uid="{00000000-0005-0000-0000-000083770000}"/>
    <cellStyle name="Percent 2 3 5 3 5" xfId="4940" xr:uid="{00000000-0005-0000-0000-000084770000}"/>
    <cellStyle name="Percent 2 3 5 3 5 2" xfId="13970" xr:uid="{00000000-0005-0000-0000-000085770000}"/>
    <cellStyle name="Percent 2 3 5 3 5 2 2" xfId="34022" xr:uid="{00000000-0005-0000-0000-000086770000}"/>
    <cellStyle name="Percent 2 3 5 3 5 3" xfId="24992" xr:uid="{00000000-0005-0000-0000-000087770000}"/>
    <cellStyle name="Percent 2 3 5 3 6" xfId="9488" xr:uid="{00000000-0005-0000-0000-000088770000}"/>
    <cellStyle name="Percent 2 3 5 3 6 2" xfId="29540" xr:uid="{00000000-0005-0000-0000-000089770000}"/>
    <cellStyle name="Percent 2 3 5 3 7" xfId="20510" xr:uid="{00000000-0005-0000-0000-00008A770000}"/>
    <cellStyle name="Percent 2 3 5 4" xfId="644" xr:uid="{00000000-0005-0000-0000-00008B770000}"/>
    <cellStyle name="Percent 2 3 5 4 2" xfId="1391" xr:uid="{00000000-0005-0000-0000-00008C770000}"/>
    <cellStyle name="Percent 2 3 5 4 2 2" xfId="2885" xr:uid="{00000000-0005-0000-0000-00008D770000}"/>
    <cellStyle name="Percent 2 3 5 4 2 2 2" xfId="7367" xr:uid="{00000000-0005-0000-0000-00008E770000}"/>
    <cellStyle name="Percent 2 3 5 4 2 2 2 2" xfId="16397" xr:uid="{00000000-0005-0000-0000-00008F770000}"/>
    <cellStyle name="Percent 2 3 5 4 2 2 2 2 2" xfId="36449" xr:uid="{00000000-0005-0000-0000-000090770000}"/>
    <cellStyle name="Percent 2 3 5 4 2 2 2 3" xfId="27419" xr:uid="{00000000-0005-0000-0000-000091770000}"/>
    <cellStyle name="Percent 2 3 5 4 2 2 3" xfId="11915" xr:uid="{00000000-0005-0000-0000-000092770000}"/>
    <cellStyle name="Percent 2 3 5 4 2 2 3 2" xfId="31967" xr:uid="{00000000-0005-0000-0000-000093770000}"/>
    <cellStyle name="Percent 2 3 5 4 2 2 4" xfId="22937" xr:uid="{00000000-0005-0000-0000-000094770000}"/>
    <cellStyle name="Percent 2 3 5 4 2 3" xfId="4379" xr:uid="{00000000-0005-0000-0000-000095770000}"/>
    <cellStyle name="Percent 2 3 5 4 2 3 2" xfId="8861" xr:uid="{00000000-0005-0000-0000-000096770000}"/>
    <cellStyle name="Percent 2 3 5 4 2 3 2 2" xfId="17891" xr:uid="{00000000-0005-0000-0000-000097770000}"/>
    <cellStyle name="Percent 2 3 5 4 2 3 2 2 2" xfId="37943" xr:uid="{00000000-0005-0000-0000-000098770000}"/>
    <cellStyle name="Percent 2 3 5 4 2 3 2 3" xfId="28913" xr:uid="{00000000-0005-0000-0000-000099770000}"/>
    <cellStyle name="Percent 2 3 5 4 2 3 3" xfId="13409" xr:uid="{00000000-0005-0000-0000-00009A770000}"/>
    <cellStyle name="Percent 2 3 5 4 2 3 3 2" xfId="33461" xr:uid="{00000000-0005-0000-0000-00009B770000}"/>
    <cellStyle name="Percent 2 3 5 4 2 3 4" xfId="24431" xr:uid="{00000000-0005-0000-0000-00009C770000}"/>
    <cellStyle name="Percent 2 3 5 4 2 4" xfId="5873" xr:uid="{00000000-0005-0000-0000-00009D770000}"/>
    <cellStyle name="Percent 2 3 5 4 2 4 2" xfId="14903" xr:uid="{00000000-0005-0000-0000-00009E770000}"/>
    <cellStyle name="Percent 2 3 5 4 2 4 2 2" xfId="34955" xr:uid="{00000000-0005-0000-0000-00009F770000}"/>
    <cellStyle name="Percent 2 3 5 4 2 4 3" xfId="25925" xr:uid="{00000000-0005-0000-0000-0000A0770000}"/>
    <cellStyle name="Percent 2 3 5 4 2 5" xfId="10421" xr:uid="{00000000-0005-0000-0000-0000A1770000}"/>
    <cellStyle name="Percent 2 3 5 4 2 5 2" xfId="30473" xr:uid="{00000000-0005-0000-0000-0000A2770000}"/>
    <cellStyle name="Percent 2 3 5 4 2 6" xfId="21443" xr:uid="{00000000-0005-0000-0000-0000A3770000}"/>
    <cellStyle name="Percent 2 3 5 4 3" xfId="2138" xr:uid="{00000000-0005-0000-0000-0000A4770000}"/>
    <cellStyle name="Percent 2 3 5 4 3 2" xfId="6620" xr:uid="{00000000-0005-0000-0000-0000A5770000}"/>
    <cellStyle name="Percent 2 3 5 4 3 2 2" xfId="15650" xr:uid="{00000000-0005-0000-0000-0000A6770000}"/>
    <cellStyle name="Percent 2 3 5 4 3 2 2 2" xfId="35702" xr:uid="{00000000-0005-0000-0000-0000A7770000}"/>
    <cellStyle name="Percent 2 3 5 4 3 2 3" xfId="26672" xr:uid="{00000000-0005-0000-0000-0000A8770000}"/>
    <cellStyle name="Percent 2 3 5 4 3 3" xfId="11168" xr:uid="{00000000-0005-0000-0000-0000A9770000}"/>
    <cellStyle name="Percent 2 3 5 4 3 3 2" xfId="31220" xr:uid="{00000000-0005-0000-0000-0000AA770000}"/>
    <cellStyle name="Percent 2 3 5 4 3 4" xfId="22190" xr:uid="{00000000-0005-0000-0000-0000AB770000}"/>
    <cellStyle name="Percent 2 3 5 4 4" xfId="3632" xr:uid="{00000000-0005-0000-0000-0000AC770000}"/>
    <cellStyle name="Percent 2 3 5 4 4 2" xfId="8114" xr:uid="{00000000-0005-0000-0000-0000AD770000}"/>
    <cellStyle name="Percent 2 3 5 4 4 2 2" xfId="17144" xr:uid="{00000000-0005-0000-0000-0000AE770000}"/>
    <cellStyle name="Percent 2 3 5 4 4 2 2 2" xfId="37196" xr:uid="{00000000-0005-0000-0000-0000AF770000}"/>
    <cellStyle name="Percent 2 3 5 4 4 2 3" xfId="28166" xr:uid="{00000000-0005-0000-0000-0000B0770000}"/>
    <cellStyle name="Percent 2 3 5 4 4 3" xfId="12662" xr:uid="{00000000-0005-0000-0000-0000B1770000}"/>
    <cellStyle name="Percent 2 3 5 4 4 3 2" xfId="32714" xr:uid="{00000000-0005-0000-0000-0000B2770000}"/>
    <cellStyle name="Percent 2 3 5 4 4 4" xfId="23684" xr:uid="{00000000-0005-0000-0000-0000B3770000}"/>
    <cellStyle name="Percent 2 3 5 4 5" xfId="5126" xr:uid="{00000000-0005-0000-0000-0000B4770000}"/>
    <cellStyle name="Percent 2 3 5 4 5 2" xfId="14156" xr:uid="{00000000-0005-0000-0000-0000B5770000}"/>
    <cellStyle name="Percent 2 3 5 4 5 2 2" xfId="34208" xr:uid="{00000000-0005-0000-0000-0000B6770000}"/>
    <cellStyle name="Percent 2 3 5 4 5 3" xfId="25178" xr:uid="{00000000-0005-0000-0000-0000B7770000}"/>
    <cellStyle name="Percent 2 3 5 4 6" xfId="9674" xr:uid="{00000000-0005-0000-0000-0000B8770000}"/>
    <cellStyle name="Percent 2 3 5 4 6 2" xfId="29726" xr:uid="{00000000-0005-0000-0000-0000B9770000}"/>
    <cellStyle name="Percent 2 3 5 4 7" xfId="20696" xr:uid="{00000000-0005-0000-0000-0000BA770000}"/>
    <cellStyle name="Percent 2 3 5 5" xfId="831" xr:uid="{00000000-0005-0000-0000-0000BB770000}"/>
    <cellStyle name="Percent 2 3 5 5 2" xfId="2325" xr:uid="{00000000-0005-0000-0000-0000BC770000}"/>
    <cellStyle name="Percent 2 3 5 5 2 2" xfId="6807" xr:uid="{00000000-0005-0000-0000-0000BD770000}"/>
    <cellStyle name="Percent 2 3 5 5 2 2 2" xfId="15837" xr:uid="{00000000-0005-0000-0000-0000BE770000}"/>
    <cellStyle name="Percent 2 3 5 5 2 2 2 2" xfId="35889" xr:uid="{00000000-0005-0000-0000-0000BF770000}"/>
    <cellStyle name="Percent 2 3 5 5 2 2 3" xfId="26859" xr:uid="{00000000-0005-0000-0000-0000C0770000}"/>
    <cellStyle name="Percent 2 3 5 5 2 3" xfId="11355" xr:uid="{00000000-0005-0000-0000-0000C1770000}"/>
    <cellStyle name="Percent 2 3 5 5 2 3 2" xfId="31407" xr:uid="{00000000-0005-0000-0000-0000C2770000}"/>
    <cellStyle name="Percent 2 3 5 5 2 4" xfId="22377" xr:uid="{00000000-0005-0000-0000-0000C3770000}"/>
    <cellStyle name="Percent 2 3 5 5 3" xfId="3819" xr:uid="{00000000-0005-0000-0000-0000C4770000}"/>
    <cellStyle name="Percent 2 3 5 5 3 2" xfId="8301" xr:uid="{00000000-0005-0000-0000-0000C5770000}"/>
    <cellStyle name="Percent 2 3 5 5 3 2 2" xfId="17331" xr:uid="{00000000-0005-0000-0000-0000C6770000}"/>
    <cellStyle name="Percent 2 3 5 5 3 2 2 2" xfId="37383" xr:uid="{00000000-0005-0000-0000-0000C7770000}"/>
    <cellStyle name="Percent 2 3 5 5 3 2 3" xfId="28353" xr:uid="{00000000-0005-0000-0000-0000C8770000}"/>
    <cellStyle name="Percent 2 3 5 5 3 3" xfId="12849" xr:uid="{00000000-0005-0000-0000-0000C9770000}"/>
    <cellStyle name="Percent 2 3 5 5 3 3 2" xfId="32901" xr:uid="{00000000-0005-0000-0000-0000CA770000}"/>
    <cellStyle name="Percent 2 3 5 5 3 4" xfId="23871" xr:uid="{00000000-0005-0000-0000-0000CB770000}"/>
    <cellStyle name="Percent 2 3 5 5 4" xfId="5313" xr:uid="{00000000-0005-0000-0000-0000CC770000}"/>
    <cellStyle name="Percent 2 3 5 5 4 2" xfId="14343" xr:uid="{00000000-0005-0000-0000-0000CD770000}"/>
    <cellStyle name="Percent 2 3 5 5 4 2 2" xfId="34395" xr:uid="{00000000-0005-0000-0000-0000CE770000}"/>
    <cellStyle name="Percent 2 3 5 5 4 3" xfId="25365" xr:uid="{00000000-0005-0000-0000-0000CF770000}"/>
    <cellStyle name="Percent 2 3 5 5 5" xfId="9861" xr:uid="{00000000-0005-0000-0000-0000D0770000}"/>
    <cellStyle name="Percent 2 3 5 5 5 2" xfId="29913" xr:uid="{00000000-0005-0000-0000-0000D1770000}"/>
    <cellStyle name="Percent 2 3 5 5 6" xfId="20883" xr:uid="{00000000-0005-0000-0000-0000D2770000}"/>
    <cellStyle name="Percent 2 3 5 6" xfId="1580" xr:uid="{00000000-0005-0000-0000-0000D3770000}"/>
    <cellStyle name="Percent 2 3 5 6 2" xfId="6062" xr:uid="{00000000-0005-0000-0000-0000D4770000}"/>
    <cellStyle name="Percent 2 3 5 6 2 2" xfId="15092" xr:uid="{00000000-0005-0000-0000-0000D5770000}"/>
    <cellStyle name="Percent 2 3 5 6 2 2 2" xfId="35144" xr:uid="{00000000-0005-0000-0000-0000D6770000}"/>
    <cellStyle name="Percent 2 3 5 6 2 3" xfId="26114" xr:uid="{00000000-0005-0000-0000-0000D7770000}"/>
    <cellStyle name="Percent 2 3 5 6 3" xfId="10610" xr:uid="{00000000-0005-0000-0000-0000D8770000}"/>
    <cellStyle name="Percent 2 3 5 6 3 2" xfId="30662" xr:uid="{00000000-0005-0000-0000-0000D9770000}"/>
    <cellStyle name="Percent 2 3 5 6 4" xfId="21632" xr:uid="{00000000-0005-0000-0000-0000DA770000}"/>
    <cellStyle name="Percent 2 3 5 7" xfId="3074" xr:uid="{00000000-0005-0000-0000-0000DB770000}"/>
    <cellStyle name="Percent 2 3 5 7 2" xfId="7556" xr:uid="{00000000-0005-0000-0000-0000DC770000}"/>
    <cellStyle name="Percent 2 3 5 7 2 2" xfId="16586" xr:uid="{00000000-0005-0000-0000-0000DD770000}"/>
    <cellStyle name="Percent 2 3 5 7 2 2 2" xfId="36638" xr:uid="{00000000-0005-0000-0000-0000DE770000}"/>
    <cellStyle name="Percent 2 3 5 7 2 3" xfId="27608" xr:uid="{00000000-0005-0000-0000-0000DF770000}"/>
    <cellStyle name="Percent 2 3 5 7 3" xfId="12104" xr:uid="{00000000-0005-0000-0000-0000E0770000}"/>
    <cellStyle name="Percent 2 3 5 7 3 2" xfId="32156" xr:uid="{00000000-0005-0000-0000-0000E1770000}"/>
    <cellStyle name="Percent 2 3 5 7 4" xfId="23126" xr:uid="{00000000-0005-0000-0000-0000E2770000}"/>
    <cellStyle name="Percent 2 3 5 8" xfId="4568" xr:uid="{00000000-0005-0000-0000-0000E3770000}"/>
    <cellStyle name="Percent 2 3 5 8 2" xfId="13598" xr:uid="{00000000-0005-0000-0000-0000E4770000}"/>
    <cellStyle name="Percent 2 3 5 8 2 2" xfId="33650" xr:uid="{00000000-0005-0000-0000-0000E5770000}"/>
    <cellStyle name="Percent 2 3 5 8 3" xfId="24620" xr:uid="{00000000-0005-0000-0000-0000E6770000}"/>
    <cellStyle name="Percent 2 3 5 9" xfId="9116" xr:uid="{00000000-0005-0000-0000-0000E7770000}"/>
    <cellStyle name="Percent 2 3 5 9 2" xfId="29168" xr:uid="{00000000-0005-0000-0000-0000E8770000}"/>
    <cellStyle name="Percent 2 3 6" xfId="118" xr:uid="{00000000-0005-0000-0000-0000E9770000}"/>
    <cellStyle name="Percent 2 3 6 10" xfId="20170" xr:uid="{00000000-0005-0000-0000-0000EA770000}"/>
    <cellStyle name="Percent 2 3 6 2" xfId="304" xr:uid="{00000000-0005-0000-0000-0000EB770000}"/>
    <cellStyle name="Percent 2 3 6 2 2" xfId="1047" xr:uid="{00000000-0005-0000-0000-0000EC770000}"/>
    <cellStyle name="Percent 2 3 6 2 2 2" xfId="2541" xr:uid="{00000000-0005-0000-0000-0000ED770000}"/>
    <cellStyle name="Percent 2 3 6 2 2 2 2" xfId="7023" xr:uid="{00000000-0005-0000-0000-0000EE770000}"/>
    <cellStyle name="Percent 2 3 6 2 2 2 2 2" xfId="16053" xr:uid="{00000000-0005-0000-0000-0000EF770000}"/>
    <cellStyle name="Percent 2 3 6 2 2 2 2 2 2" xfId="36105" xr:uid="{00000000-0005-0000-0000-0000F0770000}"/>
    <cellStyle name="Percent 2 3 6 2 2 2 2 3" xfId="27075" xr:uid="{00000000-0005-0000-0000-0000F1770000}"/>
    <cellStyle name="Percent 2 3 6 2 2 2 3" xfId="11571" xr:uid="{00000000-0005-0000-0000-0000F2770000}"/>
    <cellStyle name="Percent 2 3 6 2 2 2 3 2" xfId="31623" xr:uid="{00000000-0005-0000-0000-0000F3770000}"/>
    <cellStyle name="Percent 2 3 6 2 2 2 4" xfId="22593" xr:uid="{00000000-0005-0000-0000-0000F4770000}"/>
    <cellStyle name="Percent 2 3 6 2 2 3" xfId="4035" xr:uid="{00000000-0005-0000-0000-0000F5770000}"/>
    <cellStyle name="Percent 2 3 6 2 2 3 2" xfId="8517" xr:uid="{00000000-0005-0000-0000-0000F6770000}"/>
    <cellStyle name="Percent 2 3 6 2 2 3 2 2" xfId="17547" xr:uid="{00000000-0005-0000-0000-0000F7770000}"/>
    <cellStyle name="Percent 2 3 6 2 2 3 2 2 2" xfId="37599" xr:uid="{00000000-0005-0000-0000-0000F8770000}"/>
    <cellStyle name="Percent 2 3 6 2 2 3 2 3" xfId="28569" xr:uid="{00000000-0005-0000-0000-0000F9770000}"/>
    <cellStyle name="Percent 2 3 6 2 2 3 3" xfId="13065" xr:uid="{00000000-0005-0000-0000-0000FA770000}"/>
    <cellStyle name="Percent 2 3 6 2 2 3 3 2" xfId="33117" xr:uid="{00000000-0005-0000-0000-0000FB770000}"/>
    <cellStyle name="Percent 2 3 6 2 2 3 4" xfId="24087" xr:uid="{00000000-0005-0000-0000-0000FC770000}"/>
    <cellStyle name="Percent 2 3 6 2 2 4" xfId="5529" xr:uid="{00000000-0005-0000-0000-0000FD770000}"/>
    <cellStyle name="Percent 2 3 6 2 2 4 2" xfId="14559" xr:uid="{00000000-0005-0000-0000-0000FE770000}"/>
    <cellStyle name="Percent 2 3 6 2 2 4 2 2" xfId="34611" xr:uid="{00000000-0005-0000-0000-0000FF770000}"/>
    <cellStyle name="Percent 2 3 6 2 2 4 3" xfId="25581" xr:uid="{00000000-0005-0000-0000-000000780000}"/>
    <cellStyle name="Percent 2 3 6 2 2 5" xfId="10077" xr:uid="{00000000-0005-0000-0000-000001780000}"/>
    <cellStyle name="Percent 2 3 6 2 2 5 2" xfId="30129" xr:uid="{00000000-0005-0000-0000-000002780000}"/>
    <cellStyle name="Percent 2 3 6 2 2 6" xfId="21099" xr:uid="{00000000-0005-0000-0000-000003780000}"/>
    <cellStyle name="Percent 2 3 6 2 3" xfId="1798" xr:uid="{00000000-0005-0000-0000-000004780000}"/>
    <cellStyle name="Percent 2 3 6 2 3 2" xfId="6280" xr:uid="{00000000-0005-0000-0000-000005780000}"/>
    <cellStyle name="Percent 2 3 6 2 3 2 2" xfId="15310" xr:uid="{00000000-0005-0000-0000-000006780000}"/>
    <cellStyle name="Percent 2 3 6 2 3 2 2 2" xfId="35362" xr:uid="{00000000-0005-0000-0000-000007780000}"/>
    <cellStyle name="Percent 2 3 6 2 3 2 3" xfId="26332" xr:uid="{00000000-0005-0000-0000-000008780000}"/>
    <cellStyle name="Percent 2 3 6 2 3 3" xfId="10828" xr:uid="{00000000-0005-0000-0000-000009780000}"/>
    <cellStyle name="Percent 2 3 6 2 3 3 2" xfId="30880" xr:uid="{00000000-0005-0000-0000-00000A780000}"/>
    <cellStyle name="Percent 2 3 6 2 3 4" xfId="21850" xr:uid="{00000000-0005-0000-0000-00000B780000}"/>
    <cellStyle name="Percent 2 3 6 2 4" xfId="3292" xr:uid="{00000000-0005-0000-0000-00000C780000}"/>
    <cellStyle name="Percent 2 3 6 2 4 2" xfId="7774" xr:uid="{00000000-0005-0000-0000-00000D780000}"/>
    <cellStyle name="Percent 2 3 6 2 4 2 2" xfId="16804" xr:uid="{00000000-0005-0000-0000-00000E780000}"/>
    <cellStyle name="Percent 2 3 6 2 4 2 2 2" xfId="36856" xr:uid="{00000000-0005-0000-0000-00000F780000}"/>
    <cellStyle name="Percent 2 3 6 2 4 2 3" xfId="27826" xr:uid="{00000000-0005-0000-0000-000010780000}"/>
    <cellStyle name="Percent 2 3 6 2 4 3" xfId="12322" xr:uid="{00000000-0005-0000-0000-000011780000}"/>
    <cellStyle name="Percent 2 3 6 2 4 3 2" xfId="32374" xr:uid="{00000000-0005-0000-0000-000012780000}"/>
    <cellStyle name="Percent 2 3 6 2 4 4" xfId="23344" xr:uid="{00000000-0005-0000-0000-000013780000}"/>
    <cellStyle name="Percent 2 3 6 2 5" xfId="4786" xr:uid="{00000000-0005-0000-0000-000014780000}"/>
    <cellStyle name="Percent 2 3 6 2 5 2" xfId="13816" xr:uid="{00000000-0005-0000-0000-000015780000}"/>
    <cellStyle name="Percent 2 3 6 2 5 2 2" xfId="33868" xr:uid="{00000000-0005-0000-0000-000016780000}"/>
    <cellStyle name="Percent 2 3 6 2 5 3" xfId="24838" xr:uid="{00000000-0005-0000-0000-000017780000}"/>
    <cellStyle name="Percent 2 3 6 2 6" xfId="9334" xr:uid="{00000000-0005-0000-0000-000018780000}"/>
    <cellStyle name="Percent 2 3 6 2 6 2" xfId="29386" xr:uid="{00000000-0005-0000-0000-000019780000}"/>
    <cellStyle name="Percent 2 3 6 2 7" xfId="20356" xr:uid="{00000000-0005-0000-0000-00001A780000}"/>
    <cellStyle name="Percent 2 3 6 3" xfId="490" xr:uid="{00000000-0005-0000-0000-00001B780000}"/>
    <cellStyle name="Percent 2 3 6 3 2" xfId="1237" xr:uid="{00000000-0005-0000-0000-00001C780000}"/>
    <cellStyle name="Percent 2 3 6 3 2 2" xfId="2731" xr:uid="{00000000-0005-0000-0000-00001D780000}"/>
    <cellStyle name="Percent 2 3 6 3 2 2 2" xfId="7213" xr:uid="{00000000-0005-0000-0000-00001E780000}"/>
    <cellStyle name="Percent 2 3 6 3 2 2 2 2" xfId="16243" xr:uid="{00000000-0005-0000-0000-00001F780000}"/>
    <cellStyle name="Percent 2 3 6 3 2 2 2 2 2" xfId="36295" xr:uid="{00000000-0005-0000-0000-000020780000}"/>
    <cellStyle name="Percent 2 3 6 3 2 2 2 3" xfId="27265" xr:uid="{00000000-0005-0000-0000-000021780000}"/>
    <cellStyle name="Percent 2 3 6 3 2 2 3" xfId="11761" xr:uid="{00000000-0005-0000-0000-000022780000}"/>
    <cellStyle name="Percent 2 3 6 3 2 2 3 2" xfId="31813" xr:uid="{00000000-0005-0000-0000-000023780000}"/>
    <cellStyle name="Percent 2 3 6 3 2 2 4" xfId="22783" xr:uid="{00000000-0005-0000-0000-000024780000}"/>
    <cellStyle name="Percent 2 3 6 3 2 3" xfId="4225" xr:uid="{00000000-0005-0000-0000-000025780000}"/>
    <cellStyle name="Percent 2 3 6 3 2 3 2" xfId="8707" xr:uid="{00000000-0005-0000-0000-000026780000}"/>
    <cellStyle name="Percent 2 3 6 3 2 3 2 2" xfId="17737" xr:uid="{00000000-0005-0000-0000-000027780000}"/>
    <cellStyle name="Percent 2 3 6 3 2 3 2 2 2" xfId="37789" xr:uid="{00000000-0005-0000-0000-000028780000}"/>
    <cellStyle name="Percent 2 3 6 3 2 3 2 3" xfId="28759" xr:uid="{00000000-0005-0000-0000-000029780000}"/>
    <cellStyle name="Percent 2 3 6 3 2 3 3" xfId="13255" xr:uid="{00000000-0005-0000-0000-00002A780000}"/>
    <cellStyle name="Percent 2 3 6 3 2 3 3 2" xfId="33307" xr:uid="{00000000-0005-0000-0000-00002B780000}"/>
    <cellStyle name="Percent 2 3 6 3 2 3 4" xfId="24277" xr:uid="{00000000-0005-0000-0000-00002C780000}"/>
    <cellStyle name="Percent 2 3 6 3 2 4" xfId="5719" xr:uid="{00000000-0005-0000-0000-00002D780000}"/>
    <cellStyle name="Percent 2 3 6 3 2 4 2" xfId="14749" xr:uid="{00000000-0005-0000-0000-00002E780000}"/>
    <cellStyle name="Percent 2 3 6 3 2 4 2 2" xfId="34801" xr:uid="{00000000-0005-0000-0000-00002F780000}"/>
    <cellStyle name="Percent 2 3 6 3 2 4 3" xfId="25771" xr:uid="{00000000-0005-0000-0000-000030780000}"/>
    <cellStyle name="Percent 2 3 6 3 2 5" xfId="10267" xr:uid="{00000000-0005-0000-0000-000031780000}"/>
    <cellStyle name="Percent 2 3 6 3 2 5 2" xfId="30319" xr:uid="{00000000-0005-0000-0000-000032780000}"/>
    <cellStyle name="Percent 2 3 6 3 2 6" xfId="21289" xr:uid="{00000000-0005-0000-0000-000033780000}"/>
    <cellStyle name="Percent 2 3 6 3 3" xfId="1984" xr:uid="{00000000-0005-0000-0000-000034780000}"/>
    <cellStyle name="Percent 2 3 6 3 3 2" xfId="6466" xr:uid="{00000000-0005-0000-0000-000035780000}"/>
    <cellStyle name="Percent 2 3 6 3 3 2 2" xfId="15496" xr:uid="{00000000-0005-0000-0000-000036780000}"/>
    <cellStyle name="Percent 2 3 6 3 3 2 2 2" xfId="35548" xr:uid="{00000000-0005-0000-0000-000037780000}"/>
    <cellStyle name="Percent 2 3 6 3 3 2 3" xfId="26518" xr:uid="{00000000-0005-0000-0000-000038780000}"/>
    <cellStyle name="Percent 2 3 6 3 3 3" xfId="11014" xr:uid="{00000000-0005-0000-0000-000039780000}"/>
    <cellStyle name="Percent 2 3 6 3 3 3 2" xfId="31066" xr:uid="{00000000-0005-0000-0000-00003A780000}"/>
    <cellStyle name="Percent 2 3 6 3 3 4" xfId="22036" xr:uid="{00000000-0005-0000-0000-00003B780000}"/>
    <cellStyle name="Percent 2 3 6 3 4" xfId="3478" xr:uid="{00000000-0005-0000-0000-00003C780000}"/>
    <cellStyle name="Percent 2 3 6 3 4 2" xfId="7960" xr:uid="{00000000-0005-0000-0000-00003D780000}"/>
    <cellStyle name="Percent 2 3 6 3 4 2 2" xfId="16990" xr:uid="{00000000-0005-0000-0000-00003E780000}"/>
    <cellStyle name="Percent 2 3 6 3 4 2 2 2" xfId="37042" xr:uid="{00000000-0005-0000-0000-00003F780000}"/>
    <cellStyle name="Percent 2 3 6 3 4 2 3" xfId="28012" xr:uid="{00000000-0005-0000-0000-000040780000}"/>
    <cellStyle name="Percent 2 3 6 3 4 3" xfId="12508" xr:uid="{00000000-0005-0000-0000-000041780000}"/>
    <cellStyle name="Percent 2 3 6 3 4 3 2" xfId="32560" xr:uid="{00000000-0005-0000-0000-000042780000}"/>
    <cellStyle name="Percent 2 3 6 3 4 4" xfId="23530" xr:uid="{00000000-0005-0000-0000-000043780000}"/>
    <cellStyle name="Percent 2 3 6 3 5" xfId="4972" xr:uid="{00000000-0005-0000-0000-000044780000}"/>
    <cellStyle name="Percent 2 3 6 3 5 2" xfId="14002" xr:uid="{00000000-0005-0000-0000-000045780000}"/>
    <cellStyle name="Percent 2 3 6 3 5 2 2" xfId="34054" xr:uid="{00000000-0005-0000-0000-000046780000}"/>
    <cellStyle name="Percent 2 3 6 3 5 3" xfId="25024" xr:uid="{00000000-0005-0000-0000-000047780000}"/>
    <cellStyle name="Percent 2 3 6 3 6" xfId="9520" xr:uid="{00000000-0005-0000-0000-000048780000}"/>
    <cellStyle name="Percent 2 3 6 3 6 2" xfId="29572" xr:uid="{00000000-0005-0000-0000-000049780000}"/>
    <cellStyle name="Percent 2 3 6 3 7" xfId="20542" xr:uid="{00000000-0005-0000-0000-00004A780000}"/>
    <cellStyle name="Percent 2 3 6 4" xfId="676" xr:uid="{00000000-0005-0000-0000-00004B780000}"/>
    <cellStyle name="Percent 2 3 6 4 2" xfId="1423" xr:uid="{00000000-0005-0000-0000-00004C780000}"/>
    <cellStyle name="Percent 2 3 6 4 2 2" xfId="2917" xr:uid="{00000000-0005-0000-0000-00004D780000}"/>
    <cellStyle name="Percent 2 3 6 4 2 2 2" xfId="7399" xr:uid="{00000000-0005-0000-0000-00004E780000}"/>
    <cellStyle name="Percent 2 3 6 4 2 2 2 2" xfId="16429" xr:uid="{00000000-0005-0000-0000-00004F780000}"/>
    <cellStyle name="Percent 2 3 6 4 2 2 2 2 2" xfId="36481" xr:uid="{00000000-0005-0000-0000-000050780000}"/>
    <cellStyle name="Percent 2 3 6 4 2 2 2 3" xfId="27451" xr:uid="{00000000-0005-0000-0000-000051780000}"/>
    <cellStyle name="Percent 2 3 6 4 2 2 3" xfId="11947" xr:uid="{00000000-0005-0000-0000-000052780000}"/>
    <cellStyle name="Percent 2 3 6 4 2 2 3 2" xfId="31999" xr:uid="{00000000-0005-0000-0000-000053780000}"/>
    <cellStyle name="Percent 2 3 6 4 2 2 4" xfId="22969" xr:uid="{00000000-0005-0000-0000-000054780000}"/>
    <cellStyle name="Percent 2 3 6 4 2 3" xfId="4411" xr:uid="{00000000-0005-0000-0000-000055780000}"/>
    <cellStyle name="Percent 2 3 6 4 2 3 2" xfId="8893" xr:uid="{00000000-0005-0000-0000-000056780000}"/>
    <cellStyle name="Percent 2 3 6 4 2 3 2 2" xfId="17923" xr:uid="{00000000-0005-0000-0000-000057780000}"/>
    <cellStyle name="Percent 2 3 6 4 2 3 2 2 2" xfId="37975" xr:uid="{00000000-0005-0000-0000-000058780000}"/>
    <cellStyle name="Percent 2 3 6 4 2 3 2 3" xfId="28945" xr:uid="{00000000-0005-0000-0000-000059780000}"/>
    <cellStyle name="Percent 2 3 6 4 2 3 3" xfId="13441" xr:uid="{00000000-0005-0000-0000-00005A780000}"/>
    <cellStyle name="Percent 2 3 6 4 2 3 3 2" xfId="33493" xr:uid="{00000000-0005-0000-0000-00005B780000}"/>
    <cellStyle name="Percent 2 3 6 4 2 3 4" xfId="24463" xr:uid="{00000000-0005-0000-0000-00005C780000}"/>
    <cellStyle name="Percent 2 3 6 4 2 4" xfId="5905" xr:uid="{00000000-0005-0000-0000-00005D780000}"/>
    <cellStyle name="Percent 2 3 6 4 2 4 2" xfId="14935" xr:uid="{00000000-0005-0000-0000-00005E780000}"/>
    <cellStyle name="Percent 2 3 6 4 2 4 2 2" xfId="34987" xr:uid="{00000000-0005-0000-0000-00005F780000}"/>
    <cellStyle name="Percent 2 3 6 4 2 4 3" xfId="25957" xr:uid="{00000000-0005-0000-0000-000060780000}"/>
    <cellStyle name="Percent 2 3 6 4 2 5" xfId="10453" xr:uid="{00000000-0005-0000-0000-000061780000}"/>
    <cellStyle name="Percent 2 3 6 4 2 5 2" xfId="30505" xr:uid="{00000000-0005-0000-0000-000062780000}"/>
    <cellStyle name="Percent 2 3 6 4 2 6" xfId="21475" xr:uid="{00000000-0005-0000-0000-000063780000}"/>
    <cellStyle name="Percent 2 3 6 4 3" xfId="2170" xr:uid="{00000000-0005-0000-0000-000064780000}"/>
    <cellStyle name="Percent 2 3 6 4 3 2" xfId="6652" xr:uid="{00000000-0005-0000-0000-000065780000}"/>
    <cellStyle name="Percent 2 3 6 4 3 2 2" xfId="15682" xr:uid="{00000000-0005-0000-0000-000066780000}"/>
    <cellStyle name="Percent 2 3 6 4 3 2 2 2" xfId="35734" xr:uid="{00000000-0005-0000-0000-000067780000}"/>
    <cellStyle name="Percent 2 3 6 4 3 2 3" xfId="26704" xr:uid="{00000000-0005-0000-0000-000068780000}"/>
    <cellStyle name="Percent 2 3 6 4 3 3" xfId="11200" xr:uid="{00000000-0005-0000-0000-000069780000}"/>
    <cellStyle name="Percent 2 3 6 4 3 3 2" xfId="31252" xr:uid="{00000000-0005-0000-0000-00006A780000}"/>
    <cellStyle name="Percent 2 3 6 4 3 4" xfId="22222" xr:uid="{00000000-0005-0000-0000-00006B780000}"/>
    <cellStyle name="Percent 2 3 6 4 4" xfId="3664" xr:uid="{00000000-0005-0000-0000-00006C780000}"/>
    <cellStyle name="Percent 2 3 6 4 4 2" xfId="8146" xr:uid="{00000000-0005-0000-0000-00006D780000}"/>
    <cellStyle name="Percent 2 3 6 4 4 2 2" xfId="17176" xr:uid="{00000000-0005-0000-0000-00006E780000}"/>
    <cellStyle name="Percent 2 3 6 4 4 2 2 2" xfId="37228" xr:uid="{00000000-0005-0000-0000-00006F780000}"/>
    <cellStyle name="Percent 2 3 6 4 4 2 3" xfId="28198" xr:uid="{00000000-0005-0000-0000-000070780000}"/>
    <cellStyle name="Percent 2 3 6 4 4 3" xfId="12694" xr:uid="{00000000-0005-0000-0000-000071780000}"/>
    <cellStyle name="Percent 2 3 6 4 4 3 2" xfId="32746" xr:uid="{00000000-0005-0000-0000-000072780000}"/>
    <cellStyle name="Percent 2 3 6 4 4 4" xfId="23716" xr:uid="{00000000-0005-0000-0000-000073780000}"/>
    <cellStyle name="Percent 2 3 6 4 5" xfId="5158" xr:uid="{00000000-0005-0000-0000-000074780000}"/>
    <cellStyle name="Percent 2 3 6 4 5 2" xfId="14188" xr:uid="{00000000-0005-0000-0000-000075780000}"/>
    <cellStyle name="Percent 2 3 6 4 5 2 2" xfId="34240" xr:uid="{00000000-0005-0000-0000-000076780000}"/>
    <cellStyle name="Percent 2 3 6 4 5 3" xfId="25210" xr:uid="{00000000-0005-0000-0000-000077780000}"/>
    <cellStyle name="Percent 2 3 6 4 6" xfId="9706" xr:uid="{00000000-0005-0000-0000-000078780000}"/>
    <cellStyle name="Percent 2 3 6 4 6 2" xfId="29758" xr:uid="{00000000-0005-0000-0000-000079780000}"/>
    <cellStyle name="Percent 2 3 6 4 7" xfId="20728" xr:uid="{00000000-0005-0000-0000-00007A780000}"/>
    <cellStyle name="Percent 2 3 6 5" xfId="863" xr:uid="{00000000-0005-0000-0000-00007B780000}"/>
    <cellStyle name="Percent 2 3 6 5 2" xfId="2357" xr:uid="{00000000-0005-0000-0000-00007C780000}"/>
    <cellStyle name="Percent 2 3 6 5 2 2" xfId="6839" xr:uid="{00000000-0005-0000-0000-00007D780000}"/>
    <cellStyle name="Percent 2 3 6 5 2 2 2" xfId="15869" xr:uid="{00000000-0005-0000-0000-00007E780000}"/>
    <cellStyle name="Percent 2 3 6 5 2 2 2 2" xfId="35921" xr:uid="{00000000-0005-0000-0000-00007F780000}"/>
    <cellStyle name="Percent 2 3 6 5 2 2 3" xfId="26891" xr:uid="{00000000-0005-0000-0000-000080780000}"/>
    <cellStyle name="Percent 2 3 6 5 2 3" xfId="11387" xr:uid="{00000000-0005-0000-0000-000081780000}"/>
    <cellStyle name="Percent 2 3 6 5 2 3 2" xfId="31439" xr:uid="{00000000-0005-0000-0000-000082780000}"/>
    <cellStyle name="Percent 2 3 6 5 2 4" xfId="22409" xr:uid="{00000000-0005-0000-0000-000083780000}"/>
    <cellStyle name="Percent 2 3 6 5 3" xfId="3851" xr:uid="{00000000-0005-0000-0000-000084780000}"/>
    <cellStyle name="Percent 2 3 6 5 3 2" xfId="8333" xr:uid="{00000000-0005-0000-0000-000085780000}"/>
    <cellStyle name="Percent 2 3 6 5 3 2 2" xfId="17363" xr:uid="{00000000-0005-0000-0000-000086780000}"/>
    <cellStyle name="Percent 2 3 6 5 3 2 2 2" xfId="37415" xr:uid="{00000000-0005-0000-0000-000087780000}"/>
    <cellStyle name="Percent 2 3 6 5 3 2 3" xfId="28385" xr:uid="{00000000-0005-0000-0000-000088780000}"/>
    <cellStyle name="Percent 2 3 6 5 3 3" xfId="12881" xr:uid="{00000000-0005-0000-0000-000089780000}"/>
    <cellStyle name="Percent 2 3 6 5 3 3 2" xfId="32933" xr:uid="{00000000-0005-0000-0000-00008A780000}"/>
    <cellStyle name="Percent 2 3 6 5 3 4" xfId="23903" xr:uid="{00000000-0005-0000-0000-00008B780000}"/>
    <cellStyle name="Percent 2 3 6 5 4" xfId="5345" xr:uid="{00000000-0005-0000-0000-00008C780000}"/>
    <cellStyle name="Percent 2 3 6 5 4 2" xfId="14375" xr:uid="{00000000-0005-0000-0000-00008D780000}"/>
    <cellStyle name="Percent 2 3 6 5 4 2 2" xfId="34427" xr:uid="{00000000-0005-0000-0000-00008E780000}"/>
    <cellStyle name="Percent 2 3 6 5 4 3" xfId="25397" xr:uid="{00000000-0005-0000-0000-00008F780000}"/>
    <cellStyle name="Percent 2 3 6 5 5" xfId="9893" xr:uid="{00000000-0005-0000-0000-000090780000}"/>
    <cellStyle name="Percent 2 3 6 5 5 2" xfId="29945" xr:uid="{00000000-0005-0000-0000-000091780000}"/>
    <cellStyle name="Percent 2 3 6 5 6" xfId="20915" xr:uid="{00000000-0005-0000-0000-000092780000}"/>
    <cellStyle name="Percent 2 3 6 6" xfId="1612" xr:uid="{00000000-0005-0000-0000-000093780000}"/>
    <cellStyle name="Percent 2 3 6 6 2" xfId="6094" xr:uid="{00000000-0005-0000-0000-000094780000}"/>
    <cellStyle name="Percent 2 3 6 6 2 2" xfId="15124" xr:uid="{00000000-0005-0000-0000-000095780000}"/>
    <cellStyle name="Percent 2 3 6 6 2 2 2" xfId="35176" xr:uid="{00000000-0005-0000-0000-000096780000}"/>
    <cellStyle name="Percent 2 3 6 6 2 3" xfId="26146" xr:uid="{00000000-0005-0000-0000-000097780000}"/>
    <cellStyle name="Percent 2 3 6 6 3" xfId="10642" xr:uid="{00000000-0005-0000-0000-000098780000}"/>
    <cellStyle name="Percent 2 3 6 6 3 2" xfId="30694" xr:uid="{00000000-0005-0000-0000-000099780000}"/>
    <cellStyle name="Percent 2 3 6 6 4" xfId="21664" xr:uid="{00000000-0005-0000-0000-00009A780000}"/>
    <cellStyle name="Percent 2 3 6 7" xfId="3106" xr:uid="{00000000-0005-0000-0000-00009B780000}"/>
    <cellStyle name="Percent 2 3 6 7 2" xfId="7588" xr:uid="{00000000-0005-0000-0000-00009C780000}"/>
    <cellStyle name="Percent 2 3 6 7 2 2" xfId="16618" xr:uid="{00000000-0005-0000-0000-00009D780000}"/>
    <cellStyle name="Percent 2 3 6 7 2 2 2" xfId="36670" xr:uid="{00000000-0005-0000-0000-00009E780000}"/>
    <cellStyle name="Percent 2 3 6 7 2 3" xfId="27640" xr:uid="{00000000-0005-0000-0000-00009F780000}"/>
    <cellStyle name="Percent 2 3 6 7 3" xfId="12136" xr:uid="{00000000-0005-0000-0000-0000A0780000}"/>
    <cellStyle name="Percent 2 3 6 7 3 2" xfId="32188" xr:uid="{00000000-0005-0000-0000-0000A1780000}"/>
    <cellStyle name="Percent 2 3 6 7 4" xfId="23158" xr:uid="{00000000-0005-0000-0000-0000A2780000}"/>
    <cellStyle name="Percent 2 3 6 8" xfId="4600" xr:uid="{00000000-0005-0000-0000-0000A3780000}"/>
    <cellStyle name="Percent 2 3 6 8 2" xfId="13630" xr:uid="{00000000-0005-0000-0000-0000A4780000}"/>
    <cellStyle name="Percent 2 3 6 8 2 2" xfId="33682" xr:uid="{00000000-0005-0000-0000-0000A5780000}"/>
    <cellStyle name="Percent 2 3 6 8 3" xfId="24652" xr:uid="{00000000-0005-0000-0000-0000A6780000}"/>
    <cellStyle name="Percent 2 3 6 9" xfId="9148" xr:uid="{00000000-0005-0000-0000-0000A7780000}"/>
    <cellStyle name="Percent 2 3 6 9 2" xfId="29200" xr:uid="{00000000-0005-0000-0000-0000A8780000}"/>
    <cellStyle name="Percent 2 3 7" xfId="133" xr:uid="{00000000-0005-0000-0000-0000A9780000}"/>
    <cellStyle name="Percent 2 3 7 10" xfId="20185" xr:uid="{00000000-0005-0000-0000-0000AA780000}"/>
    <cellStyle name="Percent 2 3 7 2" xfId="319" xr:uid="{00000000-0005-0000-0000-0000AB780000}"/>
    <cellStyle name="Percent 2 3 7 2 2" xfId="1062" xr:uid="{00000000-0005-0000-0000-0000AC780000}"/>
    <cellStyle name="Percent 2 3 7 2 2 2" xfId="2556" xr:uid="{00000000-0005-0000-0000-0000AD780000}"/>
    <cellStyle name="Percent 2 3 7 2 2 2 2" xfId="7038" xr:uid="{00000000-0005-0000-0000-0000AE780000}"/>
    <cellStyle name="Percent 2 3 7 2 2 2 2 2" xfId="16068" xr:uid="{00000000-0005-0000-0000-0000AF780000}"/>
    <cellStyle name="Percent 2 3 7 2 2 2 2 2 2" xfId="36120" xr:uid="{00000000-0005-0000-0000-0000B0780000}"/>
    <cellStyle name="Percent 2 3 7 2 2 2 2 3" xfId="27090" xr:uid="{00000000-0005-0000-0000-0000B1780000}"/>
    <cellStyle name="Percent 2 3 7 2 2 2 3" xfId="11586" xr:uid="{00000000-0005-0000-0000-0000B2780000}"/>
    <cellStyle name="Percent 2 3 7 2 2 2 3 2" xfId="31638" xr:uid="{00000000-0005-0000-0000-0000B3780000}"/>
    <cellStyle name="Percent 2 3 7 2 2 2 4" xfId="22608" xr:uid="{00000000-0005-0000-0000-0000B4780000}"/>
    <cellStyle name="Percent 2 3 7 2 2 3" xfId="4050" xr:uid="{00000000-0005-0000-0000-0000B5780000}"/>
    <cellStyle name="Percent 2 3 7 2 2 3 2" xfId="8532" xr:uid="{00000000-0005-0000-0000-0000B6780000}"/>
    <cellStyle name="Percent 2 3 7 2 2 3 2 2" xfId="17562" xr:uid="{00000000-0005-0000-0000-0000B7780000}"/>
    <cellStyle name="Percent 2 3 7 2 2 3 2 2 2" xfId="37614" xr:uid="{00000000-0005-0000-0000-0000B8780000}"/>
    <cellStyle name="Percent 2 3 7 2 2 3 2 3" xfId="28584" xr:uid="{00000000-0005-0000-0000-0000B9780000}"/>
    <cellStyle name="Percent 2 3 7 2 2 3 3" xfId="13080" xr:uid="{00000000-0005-0000-0000-0000BA780000}"/>
    <cellStyle name="Percent 2 3 7 2 2 3 3 2" xfId="33132" xr:uid="{00000000-0005-0000-0000-0000BB780000}"/>
    <cellStyle name="Percent 2 3 7 2 2 3 4" xfId="24102" xr:uid="{00000000-0005-0000-0000-0000BC780000}"/>
    <cellStyle name="Percent 2 3 7 2 2 4" xfId="5544" xr:uid="{00000000-0005-0000-0000-0000BD780000}"/>
    <cellStyle name="Percent 2 3 7 2 2 4 2" xfId="14574" xr:uid="{00000000-0005-0000-0000-0000BE780000}"/>
    <cellStyle name="Percent 2 3 7 2 2 4 2 2" xfId="34626" xr:uid="{00000000-0005-0000-0000-0000BF780000}"/>
    <cellStyle name="Percent 2 3 7 2 2 4 3" xfId="25596" xr:uid="{00000000-0005-0000-0000-0000C0780000}"/>
    <cellStyle name="Percent 2 3 7 2 2 5" xfId="10092" xr:uid="{00000000-0005-0000-0000-0000C1780000}"/>
    <cellStyle name="Percent 2 3 7 2 2 5 2" xfId="30144" xr:uid="{00000000-0005-0000-0000-0000C2780000}"/>
    <cellStyle name="Percent 2 3 7 2 2 6" xfId="21114" xr:uid="{00000000-0005-0000-0000-0000C3780000}"/>
    <cellStyle name="Percent 2 3 7 2 3" xfId="1813" xr:uid="{00000000-0005-0000-0000-0000C4780000}"/>
    <cellStyle name="Percent 2 3 7 2 3 2" xfId="6295" xr:uid="{00000000-0005-0000-0000-0000C5780000}"/>
    <cellStyle name="Percent 2 3 7 2 3 2 2" xfId="15325" xr:uid="{00000000-0005-0000-0000-0000C6780000}"/>
    <cellStyle name="Percent 2 3 7 2 3 2 2 2" xfId="35377" xr:uid="{00000000-0005-0000-0000-0000C7780000}"/>
    <cellStyle name="Percent 2 3 7 2 3 2 3" xfId="26347" xr:uid="{00000000-0005-0000-0000-0000C8780000}"/>
    <cellStyle name="Percent 2 3 7 2 3 3" xfId="10843" xr:uid="{00000000-0005-0000-0000-0000C9780000}"/>
    <cellStyle name="Percent 2 3 7 2 3 3 2" xfId="30895" xr:uid="{00000000-0005-0000-0000-0000CA780000}"/>
    <cellStyle name="Percent 2 3 7 2 3 4" xfId="21865" xr:uid="{00000000-0005-0000-0000-0000CB780000}"/>
    <cellStyle name="Percent 2 3 7 2 4" xfId="3307" xr:uid="{00000000-0005-0000-0000-0000CC780000}"/>
    <cellStyle name="Percent 2 3 7 2 4 2" xfId="7789" xr:uid="{00000000-0005-0000-0000-0000CD780000}"/>
    <cellStyle name="Percent 2 3 7 2 4 2 2" xfId="16819" xr:uid="{00000000-0005-0000-0000-0000CE780000}"/>
    <cellStyle name="Percent 2 3 7 2 4 2 2 2" xfId="36871" xr:uid="{00000000-0005-0000-0000-0000CF780000}"/>
    <cellStyle name="Percent 2 3 7 2 4 2 3" xfId="27841" xr:uid="{00000000-0005-0000-0000-0000D0780000}"/>
    <cellStyle name="Percent 2 3 7 2 4 3" xfId="12337" xr:uid="{00000000-0005-0000-0000-0000D1780000}"/>
    <cellStyle name="Percent 2 3 7 2 4 3 2" xfId="32389" xr:uid="{00000000-0005-0000-0000-0000D2780000}"/>
    <cellStyle name="Percent 2 3 7 2 4 4" xfId="23359" xr:uid="{00000000-0005-0000-0000-0000D3780000}"/>
    <cellStyle name="Percent 2 3 7 2 5" xfId="4801" xr:uid="{00000000-0005-0000-0000-0000D4780000}"/>
    <cellStyle name="Percent 2 3 7 2 5 2" xfId="13831" xr:uid="{00000000-0005-0000-0000-0000D5780000}"/>
    <cellStyle name="Percent 2 3 7 2 5 2 2" xfId="33883" xr:uid="{00000000-0005-0000-0000-0000D6780000}"/>
    <cellStyle name="Percent 2 3 7 2 5 3" xfId="24853" xr:uid="{00000000-0005-0000-0000-0000D7780000}"/>
    <cellStyle name="Percent 2 3 7 2 6" xfId="9349" xr:uid="{00000000-0005-0000-0000-0000D8780000}"/>
    <cellStyle name="Percent 2 3 7 2 6 2" xfId="29401" xr:uid="{00000000-0005-0000-0000-0000D9780000}"/>
    <cellStyle name="Percent 2 3 7 2 7" xfId="20371" xr:uid="{00000000-0005-0000-0000-0000DA780000}"/>
    <cellStyle name="Percent 2 3 7 3" xfId="505" xr:uid="{00000000-0005-0000-0000-0000DB780000}"/>
    <cellStyle name="Percent 2 3 7 3 2" xfId="1252" xr:uid="{00000000-0005-0000-0000-0000DC780000}"/>
    <cellStyle name="Percent 2 3 7 3 2 2" xfId="2746" xr:uid="{00000000-0005-0000-0000-0000DD780000}"/>
    <cellStyle name="Percent 2 3 7 3 2 2 2" xfId="7228" xr:uid="{00000000-0005-0000-0000-0000DE780000}"/>
    <cellStyle name="Percent 2 3 7 3 2 2 2 2" xfId="16258" xr:uid="{00000000-0005-0000-0000-0000DF780000}"/>
    <cellStyle name="Percent 2 3 7 3 2 2 2 2 2" xfId="36310" xr:uid="{00000000-0005-0000-0000-0000E0780000}"/>
    <cellStyle name="Percent 2 3 7 3 2 2 2 3" xfId="27280" xr:uid="{00000000-0005-0000-0000-0000E1780000}"/>
    <cellStyle name="Percent 2 3 7 3 2 2 3" xfId="11776" xr:uid="{00000000-0005-0000-0000-0000E2780000}"/>
    <cellStyle name="Percent 2 3 7 3 2 2 3 2" xfId="31828" xr:uid="{00000000-0005-0000-0000-0000E3780000}"/>
    <cellStyle name="Percent 2 3 7 3 2 2 4" xfId="22798" xr:uid="{00000000-0005-0000-0000-0000E4780000}"/>
    <cellStyle name="Percent 2 3 7 3 2 3" xfId="4240" xr:uid="{00000000-0005-0000-0000-0000E5780000}"/>
    <cellStyle name="Percent 2 3 7 3 2 3 2" xfId="8722" xr:uid="{00000000-0005-0000-0000-0000E6780000}"/>
    <cellStyle name="Percent 2 3 7 3 2 3 2 2" xfId="17752" xr:uid="{00000000-0005-0000-0000-0000E7780000}"/>
    <cellStyle name="Percent 2 3 7 3 2 3 2 2 2" xfId="37804" xr:uid="{00000000-0005-0000-0000-0000E8780000}"/>
    <cellStyle name="Percent 2 3 7 3 2 3 2 3" xfId="28774" xr:uid="{00000000-0005-0000-0000-0000E9780000}"/>
    <cellStyle name="Percent 2 3 7 3 2 3 3" xfId="13270" xr:uid="{00000000-0005-0000-0000-0000EA780000}"/>
    <cellStyle name="Percent 2 3 7 3 2 3 3 2" xfId="33322" xr:uid="{00000000-0005-0000-0000-0000EB780000}"/>
    <cellStyle name="Percent 2 3 7 3 2 3 4" xfId="24292" xr:uid="{00000000-0005-0000-0000-0000EC780000}"/>
    <cellStyle name="Percent 2 3 7 3 2 4" xfId="5734" xr:uid="{00000000-0005-0000-0000-0000ED780000}"/>
    <cellStyle name="Percent 2 3 7 3 2 4 2" xfId="14764" xr:uid="{00000000-0005-0000-0000-0000EE780000}"/>
    <cellStyle name="Percent 2 3 7 3 2 4 2 2" xfId="34816" xr:uid="{00000000-0005-0000-0000-0000EF780000}"/>
    <cellStyle name="Percent 2 3 7 3 2 4 3" xfId="25786" xr:uid="{00000000-0005-0000-0000-0000F0780000}"/>
    <cellStyle name="Percent 2 3 7 3 2 5" xfId="10282" xr:uid="{00000000-0005-0000-0000-0000F1780000}"/>
    <cellStyle name="Percent 2 3 7 3 2 5 2" xfId="30334" xr:uid="{00000000-0005-0000-0000-0000F2780000}"/>
    <cellStyle name="Percent 2 3 7 3 2 6" xfId="21304" xr:uid="{00000000-0005-0000-0000-0000F3780000}"/>
    <cellStyle name="Percent 2 3 7 3 3" xfId="1999" xr:uid="{00000000-0005-0000-0000-0000F4780000}"/>
    <cellStyle name="Percent 2 3 7 3 3 2" xfId="6481" xr:uid="{00000000-0005-0000-0000-0000F5780000}"/>
    <cellStyle name="Percent 2 3 7 3 3 2 2" xfId="15511" xr:uid="{00000000-0005-0000-0000-0000F6780000}"/>
    <cellStyle name="Percent 2 3 7 3 3 2 2 2" xfId="35563" xr:uid="{00000000-0005-0000-0000-0000F7780000}"/>
    <cellStyle name="Percent 2 3 7 3 3 2 3" xfId="26533" xr:uid="{00000000-0005-0000-0000-0000F8780000}"/>
    <cellStyle name="Percent 2 3 7 3 3 3" xfId="11029" xr:uid="{00000000-0005-0000-0000-0000F9780000}"/>
    <cellStyle name="Percent 2 3 7 3 3 3 2" xfId="31081" xr:uid="{00000000-0005-0000-0000-0000FA780000}"/>
    <cellStyle name="Percent 2 3 7 3 3 4" xfId="22051" xr:uid="{00000000-0005-0000-0000-0000FB780000}"/>
    <cellStyle name="Percent 2 3 7 3 4" xfId="3493" xr:uid="{00000000-0005-0000-0000-0000FC780000}"/>
    <cellStyle name="Percent 2 3 7 3 4 2" xfId="7975" xr:uid="{00000000-0005-0000-0000-0000FD780000}"/>
    <cellStyle name="Percent 2 3 7 3 4 2 2" xfId="17005" xr:uid="{00000000-0005-0000-0000-0000FE780000}"/>
    <cellStyle name="Percent 2 3 7 3 4 2 2 2" xfId="37057" xr:uid="{00000000-0005-0000-0000-0000FF780000}"/>
    <cellStyle name="Percent 2 3 7 3 4 2 3" xfId="28027" xr:uid="{00000000-0005-0000-0000-000000790000}"/>
    <cellStyle name="Percent 2 3 7 3 4 3" xfId="12523" xr:uid="{00000000-0005-0000-0000-000001790000}"/>
    <cellStyle name="Percent 2 3 7 3 4 3 2" xfId="32575" xr:uid="{00000000-0005-0000-0000-000002790000}"/>
    <cellStyle name="Percent 2 3 7 3 4 4" xfId="23545" xr:uid="{00000000-0005-0000-0000-000003790000}"/>
    <cellStyle name="Percent 2 3 7 3 5" xfId="4987" xr:uid="{00000000-0005-0000-0000-000004790000}"/>
    <cellStyle name="Percent 2 3 7 3 5 2" xfId="14017" xr:uid="{00000000-0005-0000-0000-000005790000}"/>
    <cellStyle name="Percent 2 3 7 3 5 2 2" xfId="34069" xr:uid="{00000000-0005-0000-0000-000006790000}"/>
    <cellStyle name="Percent 2 3 7 3 5 3" xfId="25039" xr:uid="{00000000-0005-0000-0000-000007790000}"/>
    <cellStyle name="Percent 2 3 7 3 6" xfId="9535" xr:uid="{00000000-0005-0000-0000-000008790000}"/>
    <cellStyle name="Percent 2 3 7 3 6 2" xfId="29587" xr:uid="{00000000-0005-0000-0000-000009790000}"/>
    <cellStyle name="Percent 2 3 7 3 7" xfId="20557" xr:uid="{00000000-0005-0000-0000-00000A790000}"/>
    <cellStyle name="Percent 2 3 7 4" xfId="691" xr:uid="{00000000-0005-0000-0000-00000B790000}"/>
    <cellStyle name="Percent 2 3 7 4 2" xfId="1438" xr:uid="{00000000-0005-0000-0000-00000C790000}"/>
    <cellStyle name="Percent 2 3 7 4 2 2" xfId="2932" xr:uid="{00000000-0005-0000-0000-00000D790000}"/>
    <cellStyle name="Percent 2 3 7 4 2 2 2" xfId="7414" xr:uid="{00000000-0005-0000-0000-00000E790000}"/>
    <cellStyle name="Percent 2 3 7 4 2 2 2 2" xfId="16444" xr:uid="{00000000-0005-0000-0000-00000F790000}"/>
    <cellStyle name="Percent 2 3 7 4 2 2 2 2 2" xfId="36496" xr:uid="{00000000-0005-0000-0000-000010790000}"/>
    <cellStyle name="Percent 2 3 7 4 2 2 2 3" xfId="27466" xr:uid="{00000000-0005-0000-0000-000011790000}"/>
    <cellStyle name="Percent 2 3 7 4 2 2 3" xfId="11962" xr:uid="{00000000-0005-0000-0000-000012790000}"/>
    <cellStyle name="Percent 2 3 7 4 2 2 3 2" xfId="32014" xr:uid="{00000000-0005-0000-0000-000013790000}"/>
    <cellStyle name="Percent 2 3 7 4 2 2 4" xfId="22984" xr:uid="{00000000-0005-0000-0000-000014790000}"/>
    <cellStyle name="Percent 2 3 7 4 2 3" xfId="4426" xr:uid="{00000000-0005-0000-0000-000015790000}"/>
    <cellStyle name="Percent 2 3 7 4 2 3 2" xfId="8908" xr:uid="{00000000-0005-0000-0000-000016790000}"/>
    <cellStyle name="Percent 2 3 7 4 2 3 2 2" xfId="17938" xr:uid="{00000000-0005-0000-0000-000017790000}"/>
    <cellStyle name="Percent 2 3 7 4 2 3 2 2 2" xfId="37990" xr:uid="{00000000-0005-0000-0000-000018790000}"/>
    <cellStyle name="Percent 2 3 7 4 2 3 2 3" xfId="28960" xr:uid="{00000000-0005-0000-0000-000019790000}"/>
    <cellStyle name="Percent 2 3 7 4 2 3 3" xfId="13456" xr:uid="{00000000-0005-0000-0000-00001A790000}"/>
    <cellStyle name="Percent 2 3 7 4 2 3 3 2" xfId="33508" xr:uid="{00000000-0005-0000-0000-00001B790000}"/>
    <cellStyle name="Percent 2 3 7 4 2 3 4" xfId="24478" xr:uid="{00000000-0005-0000-0000-00001C790000}"/>
    <cellStyle name="Percent 2 3 7 4 2 4" xfId="5920" xr:uid="{00000000-0005-0000-0000-00001D790000}"/>
    <cellStyle name="Percent 2 3 7 4 2 4 2" xfId="14950" xr:uid="{00000000-0005-0000-0000-00001E790000}"/>
    <cellStyle name="Percent 2 3 7 4 2 4 2 2" xfId="35002" xr:uid="{00000000-0005-0000-0000-00001F790000}"/>
    <cellStyle name="Percent 2 3 7 4 2 4 3" xfId="25972" xr:uid="{00000000-0005-0000-0000-000020790000}"/>
    <cellStyle name="Percent 2 3 7 4 2 5" xfId="10468" xr:uid="{00000000-0005-0000-0000-000021790000}"/>
    <cellStyle name="Percent 2 3 7 4 2 5 2" xfId="30520" xr:uid="{00000000-0005-0000-0000-000022790000}"/>
    <cellStyle name="Percent 2 3 7 4 2 6" xfId="21490" xr:uid="{00000000-0005-0000-0000-000023790000}"/>
    <cellStyle name="Percent 2 3 7 4 3" xfId="2185" xr:uid="{00000000-0005-0000-0000-000024790000}"/>
    <cellStyle name="Percent 2 3 7 4 3 2" xfId="6667" xr:uid="{00000000-0005-0000-0000-000025790000}"/>
    <cellStyle name="Percent 2 3 7 4 3 2 2" xfId="15697" xr:uid="{00000000-0005-0000-0000-000026790000}"/>
    <cellStyle name="Percent 2 3 7 4 3 2 2 2" xfId="35749" xr:uid="{00000000-0005-0000-0000-000027790000}"/>
    <cellStyle name="Percent 2 3 7 4 3 2 3" xfId="26719" xr:uid="{00000000-0005-0000-0000-000028790000}"/>
    <cellStyle name="Percent 2 3 7 4 3 3" xfId="11215" xr:uid="{00000000-0005-0000-0000-000029790000}"/>
    <cellStyle name="Percent 2 3 7 4 3 3 2" xfId="31267" xr:uid="{00000000-0005-0000-0000-00002A790000}"/>
    <cellStyle name="Percent 2 3 7 4 3 4" xfId="22237" xr:uid="{00000000-0005-0000-0000-00002B790000}"/>
    <cellStyle name="Percent 2 3 7 4 4" xfId="3679" xr:uid="{00000000-0005-0000-0000-00002C790000}"/>
    <cellStyle name="Percent 2 3 7 4 4 2" xfId="8161" xr:uid="{00000000-0005-0000-0000-00002D790000}"/>
    <cellStyle name="Percent 2 3 7 4 4 2 2" xfId="17191" xr:uid="{00000000-0005-0000-0000-00002E790000}"/>
    <cellStyle name="Percent 2 3 7 4 4 2 2 2" xfId="37243" xr:uid="{00000000-0005-0000-0000-00002F790000}"/>
    <cellStyle name="Percent 2 3 7 4 4 2 3" xfId="28213" xr:uid="{00000000-0005-0000-0000-000030790000}"/>
    <cellStyle name="Percent 2 3 7 4 4 3" xfId="12709" xr:uid="{00000000-0005-0000-0000-000031790000}"/>
    <cellStyle name="Percent 2 3 7 4 4 3 2" xfId="32761" xr:uid="{00000000-0005-0000-0000-000032790000}"/>
    <cellStyle name="Percent 2 3 7 4 4 4" xfId="23731" xr:uid="{00000000-0005-0000-0000-000033790000}"/>
    <cellStyle name="Percent 2 3 7 4 5" xfId="5173" xr:uid="{00000000-0005-0000-0000-000034790000}"/>
    <cellStyle name="Percent 2 3 7 4 5 2" xfId="14203" xr:uid="{00000000-0005-0000-0000-000035790000}"/>
    <cellStyle name="Percent 2 3 7 4 5 2 2" xfId="34255" xr:uid="{00000000-0005-0000-0000-000036790000}"/>
    <cellStyle name="Percent 2 3 7 4 5 3" xfId="25225" xr:uid="{00000000-0005-0000-0000-000037790000}"/>
    <cellStyle name="Percent 2 3 7 4 6" xfId="9721" xr:uid="{00000000-0005-0000-0000-000038790000}"/>
    <cellStyle name="Percent 2 3 7 4 6 2" xfId="29773" xr:uid="{00000000-0005-0000-0000-000039790000}"/>
    <cellStyle name="Percent 2 3 7 4 7" xfId="20743" xr:uid="{00000000-0005-0000-0000-00003A790000}"/>
    <cellStyle name="Percent 2 3 7 5" xfId="878" xr:uid="{00000000-0005-0000-0000-00003B790000}"/>
    <cellStyle name="Percent 2 3 7 5 2" xfId="2372" xr:uid="{00000000-0005-0000-0000-00003C790000}"/>
    <cellStyle name="Percent 2 3 7 5 2 2" xfId="6854" xr:uid="{00000000-0005-0000-0000-00003D790000}"/>
    <cellStyle name="Percent 2 3 7 5 2 2 2" xfId="15884" xr:uid="{00000000-0005-0000-0000-00003E790000}"/>
    <cellStyle name="Percent 2 3 7 5 2 2 2 2" xfId="35936" xr:uid="{00000000-0005-0000-0000-00003F790000}"/>
    <cellStyle name="Percent 2 3 7 5 2 2 3" xfId="26906" xr:uid="{00000000-0005-0000-0000-000040790000}"/>
    <cellStyle name="Percent 2 3 7 5 2 3" xfId="11402" xr:uid="{00000000-0005-0000-0000-000041790000}"/>
    <cellStyle name="Percent 2 3 7 5 2 3 2" xfId="31454" xr:uid="{00000000-0005-0000-0000-000042790000}"/>
    <cellStyle name="Percent 2 3 7 5 2 4" xfId="22424" xr:uid="{00000000-0005-0000-0000-000043790000}"/>
    <cellStyle name="Percent 2 3 7 5 3" xfId="3866" xr:uid="{00000000-0005-0000-0000-000044790000}"/>
    <cellStyle name="Percent 2 3 7 5 3 2" xfId="8348" xr:uid="{00000000-0005-0000-0000-000045790000}"/>
    <cellStyle name="Percent 2 3 7 5 3 2 2" xfId="17378" xr:uid="{00000000-0005-0000-0000-000046790000}"/>
    <cellStyle name="Percent 2 3 7 5 3 2 2 2" xfId="37430" xr:uid="{00000000-0005-0000-0000-000047790000}"/>
    <cellStyle name="Percent 2 3 7 5 3 2 3" xfId="28400" xr:uid="{00000000-0005-0000-0000-000048790000}"/>
    <cellStyle name="Percent 2 3 7 5 3 3" xfId="12896" xr:uid="{00000000-0005-0000-0000-000049790000}"/>
    <cellStyle name="Percent 2 3 7 5 3 3 2" xfId="32948" xr:uid="{00000000-0005-0000-0000-00004A790000}"/>
    <cellStyle name="Percent 2 3 7 5 3 4" xfId="23918" xr:uid="{00000000-0005-0000-0000-00004B790000}"/>
    <cellStyle name="Percent 2 3 7 5 4" xfId="5360" xr:uid="{00000000-0005-0000-0000-00004C790000}"/>
    <cellStyle name="Percent 2 3 7 5 4 2" xfId="14390" xr:uid="{00000000-0005-0000-0000-00004D790000}"/>
    <cellStyle name="Percent 2 3 7 5 4 2 2" xfId="34442" xr:uid="{00000000-0005-0000-0000-00004E790000}"/>
    <cellStyle name="Percent 2 3 7 5 4 3" xfId="25412" xr:uid="{00000000-0005-0000-0000-00004F790000}"/>
    <cellStyle name="Percent 2 3 7 5 5" xfId="9908" xr:uid="{00000000-0005-0000-0000-000050790000}"/>
    <cellStyle name="Percent 2 3 7 5 5 2" xfId="29960" xr:uid="{00000000-0005-0000-0000-000051790000}"/>
    <cellStyle name="Percent 2 3 7 5 6" xfId="20930" xr:uid="{00000000-0005-0000-0000-000052790000}"/>
    <cellStyle name="Percent 2 3 7 6" xfId="1627" xr:uid="{00000000-0005-0000-0000-000053790000}"/>
    <cellStyle name="Percent 2 3 7 6 2" xfId="6109" xr:uid="{00000000-0005-0000-0000-000054790000}"/>
    <cellStyle name="Percent 2 3 7 6 2 2" xfId="15139" xr:uid="{00000000-0005-0000-0000-000055790000}"/>
    <cellStyle name="Percent 2 3 7 6 2 2 2" xfId="35191" xr:uid="{00000000-0005-0000-0000-000056790000}"/>
    <cellStyle name="Percent 2 3 7 6 2 3" xfId="26161" xr:uid="{00000000-0005-0000-0000-000057790000}"/>
    <cellStyle name="Percent 2 3 7 6 3" xfId="10657" xr:uid="{00000000-0005-0000-0000-000058790000}"/>
    <cellStyle name="Percent 2 3 7 6 3 2" xfId="30709" xr:uid="{00000000-0005-0000-0000-000059790000}"/>
    <cellStyle name="Percent 2 3 7 6 4" xfId="21679" xr:uid="{00000000-0005-0000-0000-00005A790000}"/>
    <cellStyle name="Percent 2 3 7 7" xfId="3121" xr:uid="{00000000-0005-0000-0000-00005B790000}"/>
    <cellStyle name="Percent 2 3 7 7 2" xfId="7603" xr:uid="{00000000-0005-0000-0000-00005C790000}"/>
    <cellStyle name="Percent 2 3 7 7 2 2" xfId="16633" xr:uid="{00000000-0005-0000-0000-00005D790000}"/>
    <cellStyle name="Percent 2 3 7 7 2 2 2" xfId="36685" xr:uid="{00000000-0005-0000-0000-00005E790000}"/>
    <cellStyle name="Percent 2 3 7 7 2 3" xfId="27655" xr:uid="{00000000-0005-0000-0000-00005F790000}"/>
    <cellStyle name="Percent 2 3 7 7 3" xfId="12151" xr:uid="{00000000-0005-0000-0000-000060790000}"/>
    <cellStyle name="Percent 2 3 7 7 3 2" xfId="32203" xr:uid="{00000000-0005-0000-0000-000061790000}"/>
    <cellStyle name="Percent 2 3 7 7 4" xfId="23173" xr:uid="{00000000-0005-0000-0000-000062790000}"/>
    <cellStyle name="Percent 2 3 7 8" xfId="4615" xr:uid="{00000000-0005-0000-0000-000063790000}"/>
    <cellStyle name="Percent 2 3 7 8 2" xfId="13645" xr:uid="{00000000-0005-0000-0000-000064790000}"/>
    <cellStyle name="Percent 2 3 7 8 2 2" xfId="33697" xr:uid="{00000000-0005-0000-0000-000065790000}"/>
    <cellStyle name="Percent 2 3 7 8 3" xfId="24667" xr:uid="{00000000-0005-0000-0000-000066790000}"/>
    <cellStyle name="Percent 2 3 7 9" xfId="9163" xr:uid="{00000000-0005-0000-0000-000067790000}"/>
    <cellStyle name="Percent 2 3 7 9 2" xfId="29215" xr:uid="{00000000-0005-0000-0000-000068790000}"/>
    <cellStyle name="Percent 2 3 8" xfId="156" xr:uid="{00000000-0005-0000-0000-000069790000}"/>
    <cellStyle name="Percent 2 3 8 10" xfId="20208" xr:uid="{00000000-0005-0000-0000-00006A790000}"/>
    <cellStyle name="Percent 2 3 8 2" xfId="342" xr:uid="{00000000-0005-0000-0000-00006B790000}"/>
    <cellStyle name="Percent 2 3 8 2 2" xfId="1085" xr:uid="{00000000-0005-0000-0000-00006C790000}"/>
    <cellStyle name="Percent 2 3 8 2 2 2" xfId="2579" xr:uid="{00000000-0005-0000-0000-00006D790000}"/>
    <cellStyle name="Percent 2 3 8 2 2 2 2" xfId="7061" xr:uid="{00000000-0005-0000-0000-00006E790000}"/>
    <cellStyle name="Percent 2 3 8 2 2 2 2 2" xfId="16091" xr:uid="{00000000-0005-0000-0000-00006F790000}"/>
    <cellStyle name="Percent 2 3 8 2 2 2 2 2 2" xfId="36143" xr:uid="{00000000-0005-0000-0000-000070790000}"/>
    <cellStyle name="Percent 2 3 8 2 2 2 2 3" xfId="27113" xr:uid="{00000000-0005-0000-0000-000071790000}"/>
    <cellStyle name="Percent 2 3 8 2 2 2 3" xfId="11609" xr:uid="{00000000-0005-0000-0000-000072790000}"/>
    <cellStyle name="Percent 2 3 8 2 2 2 3 2" xfId="31661" xr:uid="{00000000-0005-0000-0000-000073790000}"/>
    <cellStyle name="Percent 2 3 8 2 2 2 4" xfId="22631" xr:uid="{00000000-0005-0000-0000-000074790000}"/>
    <cellStyle name="Percent 2 3 8 2 2 3" xfId="4073" xr:uid="{00000000-0005-0000-0000-000075790000}"/>
    <cellStyle name="Percent 2 3 8 2 2 3 2" xfId="8555" xr:uid="{00000000-0005-0000-0000-000076790000}"/>
    <cellStyle name="Percent 2 3 8 2 2 3 2 2" xfId="17585" xr:uid="{00000000-0005-0000-0000-000077790000}"/>
    <cellStyle name="Percent 2 3 8 2 2 3 2 2 2" xfId="37637" xr:uid="{00000000-0005-0000-0000-000078790000}"/>
    <cellStyle name="Percent 2 3 8 2 2 3 2 3" xfId="28607" xr:uid="{00000000-0005-0000-0000-000079790000}"/>
    <cellStyle name="Percent 2 3 8 2 2 3 3" xfId="13103" xr:uid="{00000000-0005-0000-0000-00007A790000}"/>
    <cellStyle name="Percent 2 3 8 2 2 3 3 2" xfId="33155" xr:uid="{00000000-0005-0000-0000-00007B790000}"/>
    <cellStyle name="Percent 2 3 8 2 2 3 4" xfId="24125" xr:uid="{00000000-0005-0000-0000-00007C790000}"/>
    <cellStyle name="Percent 2 3 8 2 2 4" xfId="5567" xr:uid="{00000000-0005-0000-0000-00007D790000}"/>
    <cellStyle name="Percent 2 3 8 2 2 4 2" xfId="14597" xr:uid="{00000000-0005-0000-0000-00007E790000}"/>
    <cellStyle name="Percent 2 3 8 2 2 4 2 2" xfId="34649" xr:uid="{00000000-0005-0000-0000-00007F790000}"/>
    <cellStyle name="Percent 2 3 8 2 2 4 3" xfId="25619" xr:uid="{00000000-0005-0000-0000-000080790000}"/>
    <cellStyle name="Percent 2 3 8 2 2 5" xfId="10115" xr:uid="{00000000-0005-0000-0000-000081790000}"/>
    <cellStyle name="Percent 2 3 8 2 2 5 2" xfId="30167" xr:uid="{00000000-0005-0000-0000-000082790000}"/>
    <cellStyle name="Percent 2 3 8 2 2 6" xfId="21137" xr:uid="{00000000-0005-0000-0000-000083790000}"/>
    <cellStyle name="Percent 2 3 8 2 3" xfId="1836" xr:uid="{00000000-0005-0000-0000-000084790000}"/>
    <cellStyle name="Percent 2 3 8 2 3 2" xfId="6318" xr:uid="{00000000-0005-0000-0000-000085790000}"/>
    <cellStyle name="Percent 2 3 8 2 3 2 2" xfId="15348" xr:uid="{00000000-0005-0000-0000-000086790000}"/>
    <cellStyle name="Percent 2 3 8 2 3 2 2 2" xfId="35400" xr:uid="{00000000-0005-0000-0000-000087790000}"/>
    <cellStyle name="Percent 2 3 8 2 3 2 3" xfId="26370" xr:uid="{00000000-0005-0000-0000-000088790000}"/>
    <cellStyle name="Percent 2 3 8 2 3 3" xfId="10866" xr:uid="{00000000-0005-0000-0000-000089790000}"/>
    <cellStyle name="Percent 2 3 8 2 3 3 2" xfId="30918" xr:uid="{00000000-0005-0000-0000-00008A790000}"/>
    <cellStyle name="Percent 2 3 8 2 3 4" xfId="21888" xr:uid="{00000000-0005-0000-0000-00008B790000}"/>
    <cellStyle name="Percent 2 3 8 2 4" xfId="3330" xr:uid="{00000000-0005-0000-0000-00008C790000}"/>
    <cellStyle name="Percent 2 3 8 2 4 2" xfId="7812" xr:uid="{00000000-0005-0000-0000-00008D790000}"/>
    <cellStyle name="Percent 2 3 8 2 4 2 2" xfId="16842" xr:uid="{00000000-0005-0000-0000-00008E790000}"/>
    <cellStyle name="Percent 2 3 8 2 4 2 2 2" xfId="36894" xr:uid="{00000000-0005-0000-0000-00008F790000}"/>
    <cellStyle name="Percent 2 3 8 2 4 2 3" xfId="27864" xr:uid="{00000000-0005-0000-0000-000090790000}"/>
    <cellStyle name="Percent 2 3 8 2 4 3" xfId="12360" xr:uid="{00000000-0005-0000-0000-000091790000}"/>
    <cellStyle name="Percent 2 3 8 2 4 3 2" xfId="32412" xr:uid="{00000000-0005-0000-0000-000092790000}"/>
    <cellStyle name="Percent 2 3 8 2 4 4" xfId="23382" xr:uid="{00000000-0005-0000-0000-000093790000}"/>
    <cellStyle name="Percent 2 3 8 2 5" xfId="4824" xr:uid="{00000000-0005-0000-0000-000094790000}"/>
    <cellStyle name="Percent 2 3 8 2 5 2" xfId="13854" xr:uid="{00000000-0005-0000-0000-000095790000}"/>
    <cellStyle name="Percent 2 3 8 2 5 2 2" xfId="33906" xr:uid="{00000000-0005-0000-0000-000096790000}"/>
    <cellStyle name="Percent 2 3 8 2 5 3" xfId="24876" xr:uid="{00000000-0005-0000-0000-000097790000}"/>
    <cellStyle name="Percent 2 3 8 2 6" xfId="9372" xr:uid="{00000000-0005-0000-0000-000098790000}"/>
    <cellStyle name="Percent 2 3 8 2 6 2" xfId="29424" xr:uid="{00000000-0005-0000-0000-000099790000}"/>
    <cellStyle name="Percent 2 3 8 2 7" xfId="20394" xr:uid="{00000000-0005-0000-0000-00009A790000}"/>
    <cellStyle name="Percent 2 3 8 3" xfId="528" xr:uid="{00000000-0005-0000-0000-00009B790000}"/>
    <cellStyle name="Percent 2 3 8 3 2" xfId="1275" xr:uid="{00000000-0005-0000-0000-00009C790000}"/>
    <cellStyle name="Percent 2 3 8 3 2 2" xfId="2769" xr:uid="{00000000-0005-0000-0000-00009D790000}"/>
    <cellStyle name="Percent 2 3 8 3 2 2 2" xfId="7251" xr:uid="{00000000-0005-0000-0000-00009E790000}"/>
    <cellStyle name="Percent 2 3 8 3 2 2 2 2" xfId="16281" xr:uid="{00000000-0005-0000-0000-00009F790000}"/>
    <cellStyle name="Percent 2 3 8 3 2 2 2 2 2" xfId="36333" xr:uid="{00000000-0005-0000-0000-0000A0790000}"/>
    <cellStyle name="Percent 2 3 8 3 2 2 2 3" xfId="27303" xr:uid="{00000000-0005-0000-0000-0000A1790000}"/>
    <cellStyle name="Percent 2 3 8 3 2 2 3" xfId="11799" xr:uid="{00000000-0005-0000-0000-0000A2790000}"/>
    <cellStyle name="Percent 2 3 8 3 2 2 3 2" xfId="31851" xr:uid="{00000000-0005-0000-0000-0000A3790000}"/>
    <cellStyle name="Percent 2 3 8 3 2 2 4" xfId="22821" xr:uid="{00000000-0005-0000-0000-0000A4790000}"/>
    <cellStyle name="Percent 2 3 8 3 2 3" xfId="4263" xr:uid="{00000000-0005-0000-0000-0000A5790000}"/>
    <cellStyle name="Percent 2 3 8 3 2 3 2" xfId="8745" xr:uid="{00000000-0005-0000-0000-0000A6790000}"/>
    <cellStyle name="Percent 2 3 8 3 2 3 2 2" xfId="17775" xr:uid="{00000000-0005-0000-0000-0000A7790000}"/>
    <cellStyle name="Percent 2 3 8 3 2 3 2 2 2" xfId="37827" xr:uid="{00000000-0005-0000-0000-0000A8790000}"/>
    <cellStyle name="Percent 2 3 8 3 2 3 2 3" xfId="28797" xr:uid="{00000000-0005-0000-0000-0000A9790000}"/>
    <cellStyle name="Percent 2 3 8 3 2 3 3" xfId="13293" xr:uid="{00000000-0005-0000-0000-0000AA790000}"/>
    <cellStyle name="Percent 2 3 8 3 2 3 3 2" xfId="33345" xr:uid="{00000000-0005-0000-0000-0000AB790000}"/>
    <cellStyle name="Percent 2 3 8 3 2 3 4" xfId="24315" xr:uid="{00000000-0005-0000-0000-0000AC790000}"/>
    <cellStyle name="Percent 2 3 8 3 2 4" xfId="5757" xr:uid="{00000000-0005-0000-0000-0000AD790000}"/>
    <cellStyle name="Percent 2 3 8 3 2 4 2" xfId="14787" xr:uid="{00000000-0005-0000-0000-0000AE790000}"/>
    <cellStyle name="Percent 2 3 8 3 2 4 2 2" xfId="34839" xr:uid="{00000000-0005-0000-0000-0000AF790000}"/>
    <cellStyle name="Percent 2 3 8 3 2 4 3" xfId="25809" xr:uid="{00000000-0005-0000-0000-0000B0790000}"/>
    <cellStyle name="Percent 2 3 8 3 2 5" xfId="10305" xr:uid="{00000000-0005-0000-0000-0000B1790000}"/>
    <cellStyle name="Percent 2 3 8 3 2 5 2" xfId="30357" xr:uid="{00000000-0005-0000-0000-0000B2790000}"/>
    <cellStyle name="Percent 2 3 8 3 2 6" xfId="21327" xr:uid="{00000000-0005-0000-0000-0000B3790000}"/>
    <cellStyle name="Percent 2 3 8 3 3" xfId="2022" xr:uid="{00000000-0005-0000-0000-0000B4790000}"/>
    <cellStyle name="Percent 2 3 8 3 3 2" xfId="6504" xr:uid="{00000000-0005-0000-0000-0000B5790000}"/>
    <cellStyle name="Percent 2 3 8 3 3 2 2" xfId="15534" xr:uid="{00000000-0005-0000-0000-0000B6790000}"/>
    <cellStyle name="Percent 2 3 8 3 3 2 2 2" xfId="35586" xr:uid="{00000000-0005-0000-0000-0000B7790000}"/>
    <cellStyle name="Percent 2 3 8 3 3 2 3" xfId="26556" xr:uid="{00000000-0005-0000-0000-0000B8790000}"/>
    <cellStyle name="Percent 2 3 8 3 3 3" xfId="11052" xr:uid="{00000000-0005-0000-0000-0000B9790000}"/>
    <cellStyle name="Percent 2 3 8 3 3 3 2" xfId="31104" xr:uid="{00000000-0005-0000-0000-0000BA790000}"/>
    <cellStyle name="Percent 2 3 8 3 3 4" xfId="22074" xr:uid="{00000000-0005-0000-0000-0000BB790000}"/>
    <cellStyle name="Percent 2 3 8 3 4" xfId="3516" xr:uid="{00000000-0005-0000-0000-0000BC790000}"/>
    <cellStyle name="Percent 2 3 8 3 4 2" xfId="7998" xr:uid="{00000000-0005-0000-0000-0000BD790000}"/>
    <cellStyle name="Percent 2 3 8 3 4 2 2" xfId="17028" xr:uid="{00000000-0005-0000-0000-0000BE790000}"/>
    <cellStyle name="Percent 2 3 8 3 4 2 2 2" xfId="37080" xr:uid="{00000000-0005-0000-0000-0000BF790000}"/>
    <cellStyle name="Percent 2 3 8 3 4 2 3" xfId="28050" xr:uid="{00000000-0005-0000-0000-0000C0790000}"/>
    <cellStyle name="Percent 2 3 8 3 4 3" xfId="12546" xr:uid="{00000000-0005-0000-0000-0000C1790000}"/>
    <cellStyle name="Percent 2 3 8 3 4 3 2" xfId="32598" xr:uid="{00000000-0005-0000-0000-0000C2790000}"/>
    <cellStyle name="Percent 2 3 8 3 4 4" xfId="23568" xr:uid="{00000000-0005-0000-0000-0000C3790000}"/>
    <cellStyle name="Percent 2 3 8 3 5" xfId="5010" xr:uid="{00000000-0005-0000-0000-0000C4790000}"/>
    <cellStyle name="Percent 2 3 8 3 5 2" xfId="14040" xr:uid="{00000000-0005-0000-0000-0000C5790000}"/>
    <cellStyle name="Percent 2 3 8 3 5 2 2" xfId="34092" xr:uid="{00000000-0005-0000-0000-0000C6790000}"/>
    <cellStyle name="Percent 2 3 8 3 5 3" xfId="25062" xr:uid="{00000000-0005-0000-0000-0000C7790000}"/>
    <cellStyle name="Percent 2 3 8 3 6" xfId="9558" xr:uid="{00000000-0005-0000-0000-0000C8790000}"/>
    <cellStyle name="Percent 2 3 8 3 6 2" xfId="29610" xr:uid="{00000000-0005-0000-0000-0000C9790000}"/>
    <cellStyle name="Percent 2 3 8 3 7" xfId="20580" xr:uid="{00000000-0005-0000-0000-0000CA790000}"/>
    <cellStyle name="Percent 2 3 8 4" xfId="714" xr:uid="{00000000-0005-0000-0000-0000CB790000}"/>
    <cellStyle name="Percent 2 3 8 4 2" xfId="1461" xr:uid="{00000000-0005-0000-0000-0000CC790000}"/>
    <cellStyle name="Percent 2 3 8 4 2 2" xfId="2955" xr:uid="{00000000-0005-0000-0000-0000CD790000}"/>
    <cellStyle name="Percent 2 3 8 4 2 2 2" xfId="7437" xr:uid="{00000000-0005-0000-0000-0000CE790000}"/>
    <cellStyle name="Percent 2 3 8 4 2 2 2 2" xfId="16467" xr:uid="{00000000-0005-0000-0000-0000CF790000}"/>
    <cellStyle name="Percent 2 3 8 4 2 2 2 2 2" xfId="36519" xr:uid="{00000000-0005-0000-0000-0000D0790000}"/>
    <cellStyle name="Percent 2 3 8 4 2 2 2 3" xfId="27489" xr:uid="{00000000-0005-0000-0000-0000D1790000}"/>
    <cellStyle name="Percent 2 3 8 4 2 2 3" xfId="11985" xr:uid="{00000000-0005-0000-0000-0000D2790000}"/>
    <cellStyle name="Percent 2 3 8 4 2 2 3 2" xfId="32037" xr:uid="{00000000-0005-0000-0000-0000D3790000}"/>
    <cellStyle name="Percent 2 3 8 4 2 2 4" xfId="23007" xr:uid="{00000000-0005-0000-0000-0000D4790000}"/>
    <cellStyle name="Percent 2 3 8 4 2 3" xfId="4449" xr:uid="{00000000-0005-0000-0000-0000D5790000}"/>
    <cellStyle name="Percent 2 3 8 4 2 3 2" xfId="8931" xr:uid="{00000000-0005-0000-0000-0000D6790000}"/>
    <cellStyle name="Percent 2 3 8 4 2 3 2 2" xfId="17961" xr:uid="{00000000-0005-0000-0000-0000D7790000}"/>
    <cellStyle name="Percent 2 3 8 4 2 3 2 2 2" xfId="38013" xr:uid="{00000000-0005-0000-0000-0000D8790000}"/>
    <cellStyle name="Percent 2 3 8 4 2 3 2 3" xfId="28983" xr:uid="{00000000-0005-0000-0000-0000D9790000}"/>
    <cellStyle name="Percent 2 3 8 4 2 3 3" xfId="13479" xr:uid="{00000000-0005-0000-0000-0000DA790000}"/>
    <cellStyle name="Percent 2 3 8 4 2 3 3 2" xfId="33531" xr:uid="{00000000-0005-0000-0000-0000DB790000}"/>
    <cellStyle name="Percent 2 3 8 4 2 3 4" xfId="24501" xr:uid="{00000000-0005-0000-0000-0000DC790000}"/>
    <cellStyle name="Percent 2 3 8 4 2 4" xfId="5943" xr:uid="{00000000-0005-0000-0000-0000DD790000}"/>
    <cellStyle name="Percent 2 3 8 4 2 4 2" xfId="14973" xr:uid="{00000000-0005-0000-0000-0000DE790000}"/>
    <cellStyle name="Percent 2 3 8 4 2 4 2 2" xfId="35025" xr:uid="{00000000-0005-0000-0000-0000DF790000}"/>
    <cellStyle name="Percent 2 3 8 4 2 4 3" xfId="25995" xr:uid="{00000000-0005-0000-0000-0000E0790000}"/>
    <cellStyle name="Percent 2 3 8 4 2 5" xfId="10491" xr:uid="{00000000-0005-0000-0000-0000E1790000}"/>
    <cellStyle name="Percent 2 3 8 4 2 5 2" xfId="30543" xr:uid="{00000000-0005-0000-0000-0000E2790000}"/>
    <cellStyle name="Percent 2 3 8 4 2 6" xfId="21513" xr:uid="{00000000-0005-0000-0000-0000E3790000}"/>
    <cellStyle name="Percent 2 3 8 4 3" xfId="2208" xr:uid="{00000000-0005-0000-0000-0000E4790000}"/>
    <cellStyle name="Percent 2 3 8 4 3 2" xfId="6690" xr:uid="{00000000-0005-0000-0000-0000E5790000}"/>
    <cellStyle name="Percent 2 3 8 4 3 2 2" xfId="15720" xr:uid="{00000000-0005-0000-0000-0000E6790000}"/>
    <cellStyle name="Percent 2 3 8 4 3 2 2 2" xfId="35772" xr:uid="{00000000-0005-0000-0000-0000E7790000}"/>
    <cellStyle name="Percent 2 3 8 4 3 2 3" xfId="26742" xr:uid="{00000000-0005-0000-0000-0000E8790000}"/>
    <cellStyle name="Percent 2 3 8 4 3 3" xfId="11238" xr:uid="{00000000-0005-0000-0000-0000E9790000}"/>
    <cellStyle name="Percent 2 3 8 4 3 3 2" xfId="31290" xr:uid="{00000000-0005-0000-0000-0000EA790000}"/>
    <cellStyle name="Percent 2 3 8 4 3 4" xfId="22260" xr:uid="{00000000-0005-0000-0000-0000EB790000}"/>
    <cellStyle name="Percent 2 3 8 4 4" xfId="3702" xr:uid="{00000000-0005-0000-0000-0000EC790000}"/>
    <cellStyle name="Percent 2 3 8 4 4 2" xfId="8184" xr:uid="{00000000-0005-0000-0000-0000ED790000}"/>
    <cellStyle name="Percent 2 3 8 4 4 2 2" xfId="17214" xr:uid="{00000000-0005-0000-0000-0000EE790000}"/>
    <cellStyle name="Percent 2 3 8 4 4 2 2 2" xfId="37266" xr:uid="{00000000-0005-0000-0000-0000EF790000}"/>
    <cellStyle name="Percent 2 3 8 4 4 2 3" xfId="28236" xr:uid="{00000000-0005-0000-0000-0000F0790000}"/>
    <cellStyle name="Percent 2 3 8 4 4 3" xfId="12732" xr:uid="{00000000-0005-0000-0000-0000F1790000}"/>
    <cellStyle name="Percent 2 3 8 4 4 3 2" xfId="32784" xr:uid="{00000000-0005-0000-0000-0000F2790000}"/>
    <cellStyle name="Percent 2 3 8 4 4 4" xfId="23754" xr:uid="{00000000-0005-0000-0000-0000F3790000}"/>
    <cellStyle name="Percent 2 3 8 4 5" xfId="5196" xr:uid="{00000000-0005-0000-0000-0000F4790000}"/>
    <cellStyle name="Percent 2 3 8 4 5 2" xfId="14226" xr:uid="{00000000-0005-0000-0000-0000F5790000}"/>
    <cellStyle name="Percent 2 3 8 4 5 2 2" xfId="34278" xr:uid="{00000000-0005-0000-0000-0000F6790000}"/>
    <cellStyle name="Percent 2 3 8 4 5 3" xfId="25248" xr:uid="{00000000-0005-0000-0000-0000F7790000}"/>
    <cellStyle name="Percent 2 3 8 4 6" xfId="9744" xr:uid="{00000000-0005-0000-0000-0000F8790000}"/>
    <cellStyle name="Percent 2 3 8 4 6 2" xfId="29796" xr:uid="{00000000-0005-0000-0000-0000F9790000}"/>
    <cellStyle name="Percent 2 3 8 4 7" xfId="20766" xr:uid="{00000000-0005-0000-0000-0000FA790000}"/>
    <cellStyle name="Percent 2 3 8 5" xfId="901" xr:uid="{00000000-0005-0000-0000-0000FB790000}"/>
    <cellStyle name="Percent 2 3 8 5 2" xfId="2395" xr:uid="{00000000-0005-0000-0000-0000FC790000}"/>
    <cellStyle name="Percent 2 3 8 5 2 2" xfId="6877" xr:uid="{00000000-0005-0000-0000-0000FD790000}"/>
    <cellStyle name="Percent 2 3 8 5 2 2 2" xfId="15907" xr:uid="{00000000-0005-0000-0000-0000FE790000}"/>
    <cellStyle name="Percent 2 3 8 5 2 2 2 2" xfId="35959" xr:uid="{00000000-0005-0000-0000-0000FF790000}"/>
    <cellStyle name="Percent 2 3 8 5 2 2 3" xfId="26929" xr:uid="{00000000-0005-0000-0000-0000007A0000}"/>
    <cellStyle name="Percent 2 3 8 5 2 3" xfId="11425" xr:uid="{00000000-0005-0000-0000-0000017A0000}"/>
    <cellStyle name="Percent 2 3 8 5 2 3 2" xfId="31477" xr:uid="{00000000-0005-0000-0000-0000027A0000}"/>
    <cellStyle name="Percent 2 3 8 5 2 4" xfId="22447" xr:uid="{00000000-0005-0000-0000-0000037A0000}"/>
    <cellStyle name="Percent 2 3 8 5 3" xfId="3889" xr:uid="{00000000-0005-0000-0000-0000047A0000}"/>
    <cellStyle name="Percent 2 3 8 5 3 2" xfId="8371" xr:uid="{00000000-0005-0000-0000-0000057A0000}"/>
    <cellStyle name="Percent 2 3 8 5 3 2 2" xfId="17401" xr:uid="{00000000-0005-0000-0000-0000067A0000}"/>
    <cellStyle name="Percent 2 3 8 5 3 2 2 2" xfId="37453" xr:uid="{00000000-0005-0000-0000-0000077A0000}"/>
    <cellStyle name="Percent 2 3 8 5 3 2 3" xfId="28423" xr:uid="{00000000-0005-0000-0000-0000087A0000}"/>
    <cellStyle name="Percent 2 3 8 5 3 3" xfId="12919" xr:uid="{00000000-0005-0000-0000-0000097A0000}"/>
    <cellStyle name="Percent 2 3 8 5 3 3 2" xfId="32971" xr:uid="{00000000-0005-0000-0000-00000A7A0000}"/>
    <cellStyle name="Percent 2 3 8 5 3 4" xfId="23941" xr:uid="{00000000-0005-0000-0000-00000B7A0000}"/>
    <cellStyle name="Percent 2 3 8 5 4" xfId="5383" xr:uid="{00000000-0005-0000-0000-00000C7A0000}"/>
    <cellStyle name="Percent 2 3 8 5 4 2" xfId="14413" xr:uid="{00000000-0005-0000-0000-00000D7A0000}"/>
    <cellStyle name="Percent 2 3 8 5 4 2 2" xfId="34465" xr:uid="{00000000-0005-0000-0000-00000E7A0000}"/>
    <cellStyle name="Percent 2 3 8 5 4 3" xfId="25435" xr:uid="{00000000-0005-0000-0000-00000F7A0000}"/>
    <cellStyle name="Percent 2 3 8 5 5" xfId="9931" xr:uid="{00000000-0005-0000-0000-0000107A0000}"/>
    <cellStyle name="Percent 2 3 8 5 5 2" xfId="29983" xr:uid="{00000000-0005-0000-0000-0000117A0000}"/>
    <cellStyle name="Percent 2 3 8 5 6" xfId="20953" xr:uid="{00000000-0005-0000-0000-0000127A0000}"/>
    <cellStyle name="Percent 2 3 8 6" xfId="1650" xr:uid="{00000000-0005-0000-0000-0000137A0000}"/>
    <cellStyle name="Percent 2 3 8 6 2" xfId="6132" xr:uid="{00000000-0005-0000-0000-0000147A0000}"/>
    <cellStyle name="Percent 2 3 8 6 2 2" xfId="15162" xr:uid="{00000000-0005-0000-0000-0000157A0000}"/>
    <cellStyle name="Percent 2 3 8 6 2 2 2" xfId="35214" xr:uid="{00000000-0005-0000-0000-0000167A0000}"/>
    <cellStyle name="Percent 2 3 8 6 2 3" xfId="26184" xr:uid="{00000000-0005-0000-0000-0000177A0000}"/>
    <cellStyle name="Percent 2 3 8 6 3" xfId="10680" xr:uid="{00000000-0005-0000-0000-0000187A0000}"/>
    <cellStyle name="Percent 2 3 8 6 3 2" xfId="30732" xr:uid="{00000000-0005-0000-0000-0000197A0000}"/>
    <cellStyle name="Percent 2 3 8 6 4" xfId="21702" xr:uid="{00000000-0005-0000-0000-00001A7A0000}"/>
    <cellStyle name="Percent 2 3 8 7" xfId="3144" xr:uid="{00000000-0005-0000-0000-00001B7A0000}"/>
    <cellStyle name="Percent 2 3 8 7 2" xfId="7626" xr:uid="{00000000-0005-0000-0000-00001C7A0000}"/>
    <cellStyle name="Percent 2 3 8 7 2 2" xfId="16656" xr:uid="{00000000-0005-0000-0000-00001D7A0000}"/>
    <cellStyle name="Percent 2 3 8 7 2 2 2" xfId="36708" xr:uid="{00000000-0005-0000-0000-00001E7A0000}"/>
    <cellStyle name="Percent 2 3 8 7 2 3" xfId="27678" xr:uid="{00000000-0005-0000-0000-00001F7A0000}"/>
    <cellStyle name="Percent 2 3 8 7 3" xfId="12174" xr:uid="{00000000-0005-0000-0000-0000207A0000}"/>
    <cellStyle name="Percent 2 3 8 7 3 2" xfId="32226" xr:uid="{00000000-0005-0000-0000-0000217A0000}"/>
    <cellStyle name="Percent 2 3 8 7 4" xfId="23196" xr:uid="{00000000-0005-0000-0000-0000227A0000}"/>
    <cellStyle name="Percent 2 3 8 8" xfId="4638" xr:uid="{00000000-0005-0000-0000-0000237A0000}"/>
    <cellStyle name="Percent 2 3 8 8 2" xfId="13668" xr:uid="{00000000-0005-0000-0000-0000247A0000}"/>
    <cellStyle name="Percent 2 3 8 8 2 2" xfId="33720" xr:uid="{00000000-0005-0000-0000-0000257A0000}"/>
    <cellStyle name="Percent 2 3 8 8 3" xfId="24690" xr:uid="{00000000-0005-0000-0000-0000267A0000}"/>
    <cellStyle name="Percent 2 3 8 9" xfId="9186" xr:uid="{00000000-0005-0000-0000-0000277A0000}"/>
    <cellStyle name="Percent 2 3 8 9 2" xfId="29238" xr:uid="{00000000-0005-0000-0000-0000287A0000}"/>
    <cellStyle name="Percent 2 3 9" xfId="179" xr:uid="{00000000-0005-0000-0000-0000297A0000}"/>
    <cellStyle name="Percent 2 3 9 10" xfId="20231" xr:uid="{00000000-0005-0000-0000-00002A7A0000}"/>
    <cellStyle name="Percent 2 3 9 2" xfId="365" xr:uid="{00000000-0005-0000-0000-00002B7A0000}"/>
    <cellStyle name="Percent 2 3 9 2 2" xfId="1108" xr:uid="{00000000-0005-0000-0000-00002C7A0000}"/>
    <cellStyle name="Percent 2 3 9 2 2 2" xfId="2602" xr:uid="{00000000-0005-0000-0000-00002D7A0000}"/>
    <cellStyle name="Percent 2 3 9 2 2 2 2" xfId="7084" xr:uid="{00000000-0005-0000-0000-00002E7A0000}"/>
    <cellStyle name="Percent 2 3 9 2 2 2 2 2" xfId="16114" xr:uid="{00000000-0005-0000-0000-00002F7A0000}"/>
    <cellStyle name="Percent 2 3 9 2 2 2 2 2 2" xfId="36166" xr:uid="{00000000-0005-0000-0000-0000307A0000}"/>
    <cellStyle name="Percent 2 3 9 2 2 2 2 3" xfId="27136" xr:uid="{00000000-0005-0000-0000-0000317A0000}"/>
    <cellStyle name="Percent 2 3 9 2 2 2 3" xfId="11632" xr:uid="{00000000-0005-0000-0000-0000327A0000}"/>
    <cellStyle name="Percent 2 3 9 2 2 2 3 2" xfId="31684" xr:uid="{00000000-0005-0000-0000-0000337A0000}"/>
    <cellStyle name="Percent 2 3 9 2 2 2 4" xfId="22654" xr:uid="{00000000-0005-0000-0000-0000347A0000}"/>
    <cellStyle name="Percent 2 3 9 2 2 3" xfId="4096" xr:uid="{00000000-0005-0000-0000-0000357A0000}"/>
    <cellStyle name="Percent 2 3 9 2 2 3 2" xfId="8578" xr:uid="{00000000-0005-0000-0000-0000367A0000}"/>
    <cellStyle name="Percent 2 3 9 2 2 3 2 2" xfId="17608" xr:uid="{00000000-0005-0000-0000-0000377A0000}"/>
    <cellStyle name="Percent 2 3 9 2 2 3 2 2 2" xfId="37660" xr:uid="{00000000-0005-0000-0000-0000387A0000}"/>
    <cellStyle name="Percent 2 3 9 2 2 3 2 3" xfId="28630" xr:uid="{00000000-0005-0000-0000-0000397A0000}"/>
    <cellStyle name="Percent 2 3 9 2 2 3 3" xfId="13126" xr:uid="{00000000-0005-0000-0000-00003A7A0000}"/>
    <cellStyle name="Percent 2 3 9 2 2 3 3 2" xfId="33178" xr:uid="{00000000-0005-0000-0000-00003B7A0000}"/>
    <cellStyle name="Percent 2 3 9 2 2 3 4" xfId="24148" xr:uid="{00000000-0005-0000-0000-00003C7A0000}"/>
    <cellStyle name="Percent 2 3 9 2 2 4" xfId="5590" xr:uid="{00000000-0005-0000-0000-00003D7A0000}"/>
    <cellStyle name="Percent 2 3 9 2 2 4 2" xfId="14620" xr:uid="{00000000-0005-0000-0000-00003E7A0000}"/>
    <cellStyle name="Percent 2 3 9 2 2 4 2 2" xfId="34672" xr:uid="{00000000-0005-0000-0000-00003F7A0000}"/>
    <cellStyle name="Percent 2 3 9 2 2 4 3" xfId="25642" xr:uid="{00000000-0005-0000-0000-0000407A0000}"/>
    <cellStyle name="Percent 2 3 9 2 2 5" xfId="10138" xr:uid="{00000000-0005-0000-0000-0000417A0000}"/>
    <cellStyle name="Percent 2 3 9 2 2 5 2" xfId="30190" xr:uid="{00000000-0005-0000-0000-0000427A0000}"/>
    <cellStyle name="Percent 2 3 9 2 2 6" xfId="21160" xr:uid="{00000000-0005-0000-0000-0000437A0000}"/>
    <cellStyle name="Percent 2 3 9 2 3" xfId="1859" xr:uid="{00000000-0005-0000-0000-0000447A0000}"/>
    <cellStyle name="Percent 2 3 9 2 3 2" xfId="6341" xr:uid="{00000000-0005-0000-0000-0000457A0000}"/>
    <cellStyle name="Percent 2 3 9 2 3 2 2" xfId="15371" xr:uid="{00000000-0005-0000-0000-0000467A0000}"/>
    <cellStyle name="Percent 2 3 9 2 3 2 2 2" xfId="35423" xr:uid="{00000000-0005-0000-0000-0000477A0000}"/>
    <cellStyle name="Percent 2 3 9 2 3 2 3" xfId="26393" xr:uid="{00000000-0005-0000-0000-0000487A0000}"/>
    <cellStyle name="Percent 2 3 9 2 3 3" xfId="10889" xr:uid="{00000000-0005-0000-0000-0000497A0000}"/>
    <cellStyle name="Percent 2 3 9 2 3 3 2" xfId="30941" xr:uid="{00000000-0005-0000-0000-00004A7A0000}"/>
    <cellStyle name="Percent 2 3 9 2 3 4" xfId="21911" xr:uid="{00000000-0005-0000-0000-00004B7A0000}"/>
    <cellStyle name="Percent 2 3 9 2 4" xfId="3353" xr:uid="{00000000-0005-0000-0000-00004C7A0000}"/>
    <cellStyle name="Percent 2 3 9 2 4 2" xfId="7835" xr:uid="{00000000-0005-0000-0000-00004D7A0000}"/>
    <cellStyle name="Percent 2 3 9 2 4 2 2" xfId="16865" xr:uid="{00000000-0005-0000-0000-00004E7A0000}"/>
    <cellStyle name="Percent 2 3 9 2 4 2 2 2" xfId="36917" xr:uid="{00000000-0005-0000-0000-00004F7A0000}"/>
    <cellStyle name="Percent 2 3 9 2 4 2 3" xfId="27887" xr:uid="{00000000-0005-0000-0000-0000507A0000}"/>
    <cellStyle name="Percent 2 3 9 2 4 3" xfId="12383" xr:uid="{00000000-0005-0000-0000-0000517A0000}"/>
    <cellStyle name="Percent 2 3 9 2 4 3 2" xfId="32435" xr:uid="{00000000-0005-0000-0000-0000527A0000}"/>
    <cellStyle name="Percent 2 3 9 2 4 4" xfId="23405" xr:uid="{00000000-0005-0000-0000-0000537A0000}"/>
    <cellStyle name="Percent 2 3 9 2 5" xfId="4847" xr:uid="{00000000-0005-0000-0000-0000547A0000}"/>
    <cellStyle name="Percent 2 3 9 2 5 2" xfId="13877" xr:uid="{00000000-0005-0000-0000-0000557A0000}"/>
    <cellStyle name="Percent 2 3 9 2 5 2 2" xfId="33929" xr:uid="{00000000-0005-0000-0000-0000567A0000}"/>
    <cellStyle name="Percent 2 3 9 2 5 3" xfId="24899" xr:uid="{00000000-0005-0000-0000-0000577A0000}"/>
    <cellStyle name="Percent 2 3 9 2 6" xfId="9395" xr:uid="{00000000-0005-0000-0000-0000587A0000}"/>
    <cellStyle name="Percent 2 3 9 2 6 2" xfId="29447" xr:uid="{00000000-0005-0000-0000-0000597A0000}"/>
    <cellStyle name="Percent 2 3 9 2 7" xfId="20417" xr:uid="{00000000-0005-0000-0000-00005A7A0000}"/>
    <cellStyle name="Percent 2 3 9 3" xfId="551" xr:uid="{00000000-0005-0000-0000-00005B7A0000}"/>
    <cellStyle name="Percent 2 3 9 3 2" xfId="1298" xr:uid="{00000000-0005-0000-0000-00005C7A0000}"/>
    <cellStyle name="Percent 2 3 9 3 2 2" xfId="2792" xr:uid="{00000000-0005-0000-0000-00005D7A0000}"/>
    <cellStyle name="Percent 2 3 9 3 2 2 2" xfId="7274" xr:uid="{00000000-0005-0000-0000-00005E7A0000}"/>
    <cellStyle name="Percent 2 3 9 3 2 2 2 2" xfId="16304" xr:uid="{00000000-0005-0000-0000-00005F7A0000}"/>
    <cellStyle name="Percent 2 3 9 3 2 2 2 2 2" xfId="36356" xr:uid="{00000000-0005-0000-0000-0000607A0000}"/>
    <cellStyle name="Percent 2 3 9 3 2 2 2 3" xfId="27326" xr:uid="{00000000-0005-0000-0000-0000617A0000}"/>
    <cellStyle name="Percent 2 3 9 3 2 2 3" xfId="11822" xr:uid="{00000000-0005-0000-0000-0000627A0000}"/>
    <cellStyle name="Percent 2 3 9 3 2 2 3 2" xfId="31874" xr:uid="{00000000-0005-0000-0000-0000637A0000}"/>
    <cellStyle name="Percent 2 3 9 3 2 2 4" xfId="22844" xr:uid="{00000000-0005-0000-0000-0000647A0000}"/>
    <cellStyle name="Percent 2 3 9 3 2 3" xfId="4286" xr:uid="{00000000-0005-0000-0000-0000657A0000}"/>
    <cellStyle name="Percent 2 3 9 3 2 3 2" xfId="8768" xr:uid="{00000000-0005-0000-0000-0000667A0000}"/>
    <cellStyle name="Percent 2 3 9 3 2 3 2 2" xfId="17798" xr:uid="{00000000-0005-0000-0000-0000677A0000}"/>
    <cellStyle name="Percent 2 3 9 3 2 3 2 2 2" xfId="37850" xr:uid="{00000000-0005-0000-0000-0000687A0000}"/>
    <cellStyle name="Percent 2 3 9 3 2 3 2 3" xfId="28820" xr:uid="{00000000-0005-0000-0000-0000697A0000}"/>
    <cellStyle name="Percent 2 3 9 3 2 3 3" xfId="13316" xr:uid="{00000000-0005-0000-0000-00006A7A0000}"/>
    <cellStyle name="Percent 2 3 9 3 2 3 3 2" xfId="33368" xr:uid="{00000000-0005-0000-0000-00006B7A0000}"/>
    <cellStyle name="Percent 2 3 9 3 2 3 4" xfId="24338" xr:uid="{00000000-0005-0000-0000-00006C7A0000}"/>
    <cellStyle name="Percent 2 3 9 3 2 4" xfId="5780" xr:uid="{00000000-0005-0000-0000-00006D7A0000}"/>
    <cellStyle name="Percent 2 3 9 3 2 4 2" xfId="14810" xr:uid="{00000000-0005-0000-0000-00006E7A0000}"/>
    <cellStyle name="Percent 2 3 9 3 2 4 2 2" xfId="34862" xr:uid="{00000000-0005-0000-0000-00006F7A0000}"/>
    <cellStyle name="Percent 2 3 9 3 2 4 3" xfId="25832" xr:uid="{00000000-0005-0000-0000-0000707A0000}"/>
    <cellStyle name="Percent 2 3 9 3 2 5" xfId="10328" xr:uid="{00000000-0005-0000-0000-0000717A0000}"/>
    <cellStyle name="Percent 2 3 9 3 2 5 2" xfId="30380" xr:uid="{00000000-0005-0000-0000-0000727A0000}"/>
    <cellStyle name="Percent 2 3 9 3 2 6" xfId="21350" xr:uid="{00000000-0005-0000-0000-0000737A0000}"/>
    <cellStyle name="Percent 2 3 9 3 3" xfId="2045" xr:uid="{00000000-0005-0000-0000-0000747A0000}"/>
    <cellStyle name="Percent 2 3 9 3 3 2" xfId="6527" xr:uid="{00000000-0005-0000-0000-0000757A0000}"/>
    <cellStyle name="Percent 2 3 9 3 3 2 2" xfId="15557" xr:uid="{00000000-0005-0000-0000-0000767A0000}"/>
    <cellStyle name="Percent 2 3 9 3 3 2 2 2" xfId="35609" xr:uid="{00000000-0005-0000-0000-0000777A0000}"/>
    <cellStyle name="Percent 2 3 9 3 3 2 3" xfId="26579" xr:uid="{00000000-0005-0000-0000-0000787A0000}"/>
    <cellStyle name="Percent 2 3 9 3 3 3" xfId="11075" xr:uid="{00000000-0005-0000-0000-0000797A0000}"/>
    <cellStyle name="Percent 2 3 9 3 3 3 2" xfId="31127" xr:uid="{00000000-0005-0000-0000-00007A7A0000}"/>
    <cellStyle name="Percent 2 3 9 3 3 4" xfId="22097" xr:uid="{00000000-0005-0000-0000-00007B7A0000}"/>
    <cellStyle name="Percent 2 3 9 3 4" xfId="3539" xr:uid="{00000000-0005-0000-0000-00007C7A0000}"/>
    <cellStyle name="Percent 2 3 9 3 4 2" xfId="8021" xr:uid="{00000000-0005-0000-0000-00007D7A0000}"/>
    <cellStyle name="Percent 2 3 9 3 4 2 2" xfId="17051" xr:uid="{00000000-0005-0000-0000-00007E7A0000}"/>
    <cellStyle name="Percent 2 3 9 3 4 2 2 2" xfId="37103" xr:uid="{00000000-0005-0000-0000-00007F7A0000}"/>
    <cellStyle name="Percent 2 3 9 3 4 2 3" xfId="28073" xr:uid="{00000000-0005-0000-0000-0000807A0000}"/>
    <cellStyle name="Percent 2 3 9 3 4 3" xfId="12569" xr:uid="{00000000-0005-0000-0000-0000817A0000}"/>
    <cellStyle name="Percent 2 3 9 3 4 3 2" xfId="32621" xr:uid="{00000000-0005-0000-0000-0000827A0000}"/>
    <cellStyle name="Percent 2 3 9 3 4 4" xfId="23591" xr:uid="{00000000-0005-0000-0000-0000837A0000}"/>
    <cellStyle name="Percent 2 3 9 3 5" xfId="5033" xr:uid="{00000000-0005-0000-0000-0000847A0000}"/>
    <cellStyle name="Percent 2 3 9 3 5 2" xfId="14063" xr:uid="{00000000-0005-0000-0000-0000857A0000}"/>
    <cellStyle name="Percent 2 3 9 3 5 2 2" xfId="34115" xr:uid="{00000000-0005-0000-0000-0000867A0000}"/>
    <cellStyle name="Percent 2 3 9 3 5 3" xfId="25085" xr:uid="{00000000-0005-0000-0000-0000877A0000}"/>
    <cellStyle name="Percent 2 3 9 3 6" xfId="9581" xr:uid="{00000000-0005-0000-0000-0000887A0000}"/>
    <cellStyle name="Percent 2 3 9 3 6 2" xfId="29633" xr:uid="{00000000-0005-0000-0000-0000897A0000}"/>
    <cellStyle name="Percent 2 3 9 3 7" xfId="20603" xr:uid="{00000000-0005-0000-0000-00008A7A0000}"/>
    <cellStyle name="Percent 2 3 9 4" xfId="737" xr:uid="{00000000-0005-0000-0000-00008B7A0000}"/>
    <cellStyle name="Percent 2 3 9 4 2" xfId="1484" xr:uid="{00000000-0005-0000-0000-00008C7A0000}"/>
    <cellStyle name="Percent 2 3 9 4 2 2" xfId="2978" xr:uid="{00000000-0005-0000-0000-00008D7A0000}"/>
    <cellStyle name="Percent 2 3 9 4 2 2 2" xfId="7460" xr:uid="{00000000-0005-0000-0000-00008E7A0000}"/>
    <cellStyle name="Percent 2 3 9 4 2 2 2 2" xfId="16490" xr:uid="{00000000-0005-0000-0000-00008F7A0000}"/>
    <cellStyle name="Percent 2 3 9 4 2 2 2 2 2" xfId="36542" xr:uid="{00000000-0005-0000-0000-0000907A0000}"/>
    <cellStyle name="Percent 2 3 9 4 2 2 2 3" xfId="27512" xr:uid="{00000000-0005-0000-0000-0000917A0000}"/>
    <cellStyle name="Percent 2 3 9 4 2 2 3" xfId="12008" xr:uid="{00000000-0005-0000-0000-0000927A0000}"/>
    <cellStyle name="Percent 2 3 9 4 2 2 3 2" xfId="32060" xr:uid="{00000000-0005-0000-0000-0000937A0000}"/>
    <cellStyle name="Percent 2 3 9 4 2 2 4" xfId="23030" xr:uid="{00000000-0005-0000-0000-0000947A0000}"/>
    <cellStyle name="Percent 2 3 9 4 2 3" xfId="4472" xr:uid="{00000000-0005-0000-0000-0000957A0000}"/>
    <cellStyle name="Percent 2 3 9 4 2 3 2" xfId="8954" xr:uid="{00000000-0005-0000-0000-0000967A0000}"/>
    <cellStyle name="Percent 2 3 9 4 2 3 2 2" xfId="17984" xr:uid="{00000000-0005-0000-0000-0000977A0000}"/>
    <cellStyle name="Percent 2 3 9 4 2 3 2 2 2" xfId="38036" xr:uid="{00000000-0005-0000-0000-0000987A0000}"/>
    <cellStyle name="Percent 2 3 9 4 2 3 2 3" xfId="29006" xr:uid="{00000000-0005-0000-0000-0000997A0000}"/>
    <cellStyle name="Percent 2 3 9 4 2 3 3" xfId="13502" xr:uid="{00000000-0005-0000-0000-00009A7A0000}"/>
    <cellStyle name="Percent 2 3 9 4 2 3 3 2" xfId="33554" xr:uid="{00000000-0005-0000-0000-00009B7A0000}"/>
    <cellStyle name="Percent 2 3 9 4 2 3 4" xfId="24524" xr:uid="{00000000-0005-0000-0000-00009C7A0000}"/>
    <cellStyle name="Percent 2 3 9 4 2 4" xfId="5966" xr:uid="{00000000-0005-0000-0000-00009D7A0000}"/>
    <cellStyle name="Percent 2 3 9 4 2 4 2" xfId="14996" xr:uid="{00000000-0005-0000-0000-00009E7A0000}"/>
    <cellStyle name="Percent 2 3 9 4 2 4 2 2" xfId="35048" xr:uid="{00000000-0005-0000-0000-00009F7A0000}"/>
    <cellStyle name="Percent 2 3 9 4 2 4 3" xfId="26018" xr:uid="{00000000-0005-0000-0000-0000A07A0000}"/>
    <cellStyle name="Percent 2 3 9 4 2 5" xfId="10514" xr:uid="{00000000-0005-0000-0000-0000A17A0000}"/>
    <cellStyle name="Percent 2 3 9 4 2 5 2" xfId="30566" xr:uid="{00000000-0005-0000-0000-0000A27A0000}"/>
    <cellStyle name="Percent 2 3 9 4 2 6" xfId="21536" xr:uid="{00000000-0005-0000-0000-0000A37A0000}"/>
    <cellStyle name="Percent 2 3 9 4 3" xfId="2231" xr:uid="{00000000-0005-0000-0000-0000A47A0000}"/>
    <cellStyle name="Percent 2 3 9 4 3 2" xfId="6713" xr:uid="{00000000-0005-0000-0000-0000A57A0000}"/>
    <cellStyle name="Percent 2 3 9 4 3 2 2" xfId="15743" xr:uid="{00000000-0005-0000-0000-0000A67A0000}"/>
    <cellStyle name="Percent 2 3 9 4 3 2 2 2" xfId="35795" xr:uid="{00000000-0005-0000-0000-0000A77A0000}"/>
    <cellStyle name="Percent 2 3 9 4 3 2 3" xfId="26765" xr:uid="{00000000-0005-0000-0000-0000A87A0000}"/>
    <cellStyle name="Percent 2 3 9 4 3 3" xfId="11261" xr:uid="{00000000-0005-0000-0000-0000A97A0000}"/>
    <cellStyle name="Percent 2 3 9 4 3 3 2" xfId="31313" xr:uid="{00000000-0005-0000-0000-0000AA7A0000}"/>
    <cellStyle name="Percent 2 3 9 4 3 4" xfId="22283" xr:uid="{00000000-0005-0000-0000-0000AB7A0000}"/>
    <cellStyle name="Percent 2 3 9 4 4" xfId="3725" xr:uid="{00000000-0005-0000-0000-0000AC7A0000}"/>
    <cellStyle name="Percent 2 3 9 4 4 2" xfId="8207" xr:uid="{00000000-0005-0000-0000-0000AD7A0000}"/>
    <cellStyle name="Percent 2 3 9 4 4 2 2" xfId="17237" xr:uid="{00000000-0005-0000-0000-0000AE7A0000}"/>
    <cellStyle name="Percent 2 3 9 4 4 2 2 2" xfId="37289" xr:uid="{00000000-0005-0000-0000-0000AF7A0000}"/>
    <cellStyle name="Percent 2 3 9 4 4 2 3" xfId="28259" xr:uid="{00000000-0005-0000-0000-0000B07A0000}"/>
    <cellStyle name="Percent 2 3 9 4 4 3" xfId="12755" xr:uid="{00000000-0005-0000-0000-0000B17A0000}"/>
    <cellStyle name="Percent 2 3 9 4 4 3 2" xfId="32807" xr:uid="{00000000-0005-0000-0000-0000B27A0000}"/>
    <cellStyle name="Percent 2 3 9 4 4 4" xfId="23777" xr:uid="{00000000-0005-0000-0000-0000B37A0000}"/>
    <cellStyle name="Percent 2 3 9 4 5" xfId="5219" xr:uid="{00000000-0005-0000-0000-0000B47A0000}"/>
    <cellStyle name="Percent 2 3 9 4 5 2" xfId="14249" xr:uid="{00000000-0005-0000-0000-0000B57A0000}"/>
    <cellStyle name="Percent 2 3 9 4 5 2 2" xfId="34301" xr:uid="{00000000-0005-0000-0000-0000B67A0000}"/>
    <cellStyle name="Percent 2 3 9 4 5 3" xfId="25271" xr:uid="{00000000-0005-0000-0000-0000B77A0000}"/>
    <cellStyle name="Percent 2 3 9 4 6" xfId="9767" xr:uid="{00000000-0005-0000-0000-0000B87A0000}"/>
    <cellStyle name="Percent 2 3 9 4 6 2" xfId="29819" xr:uid="{00000000-0005-0000-0000-0000B97A0000}"/>
    <cellStyle name="Percent 2 3 9 4 7" xfId="20789" xr:uid="{00000000-0005-0000-0000-0000BA7A0000}"/>
    <cellStyle name="Percent 2 3 9 5" xfId="924" xr:uid="{00000000-0005-0000-0000-0000BB7A0000}"/>
    <cellStyle name="Percent 2 3 9 5 2" xfId="2418" xr:uid="{00000000-0005-0000-0000-0000BC7A0000}"/>
    <cellStyle name="Percent 2 3 9 5 2 2" xfId="6900" xr:uid="{00000000-0005-0000-0000-0000BD7A0000}"/>
    <cellStyle name="Percent 2 3 9 5 2 2 2" xfId="15930" xr:uid="{00000000-0005-0000-0000-0000BE7A0000}"/>
    <cellStyle name="Percent 2 3 9 5 2 2 2 2" xfId="35982" xr:uid="{00000000-0005-0000-0000-0000BF7A0000}"/>
    <cellStyle name="Percent 2 3 9 5 2 2 3" xfId="26952" xr:uid="{00000000-0005-0000-0000-0000C07A0000}"/>
    <cellStyle name="Percent 2 3 9 5 2 3" xfId="11448" xr:uid="{00000000-0005-0000-0000-0000C17A0000}"/>
    <cellStyle name="Percent 2 3 9 5 2 3 2" xfId="31500" xr:uid="{00000000-0005-0000-0000-0000C27A0000}"/>
    <cellStyle name="Percent 2 3 9 5 2 4" xfId="22470" xr:uid="{00000000-0005-0000-0000-0000C37A0000}"/>
    <cellStyle name="Percent 2 3 9 5 3" xfId="3912" xr:uid="{00000000-0005-0000-0000-0000C47A0000}"/>
    <cellStyle name="Percent 2 3 9 5 3 2" xfId="8394" xr:uid="{00000000-0005-0000-0000-0000C57A0000}"/>
    <cellStyle name="Percent 2 3 9 5 3 2 2" xfId="17424" xr:uid="{00000000-0005-0000-0000-0000C67A0000}"/>
    <cellStyle name="Percent 2 3 9 5 3 2 2 2" xfId="37476" xr:uid="{00000000-0005-0000-0000-0000C77A0000}"/>
    <cellStyle name="Percent 2 3 9 5 3 2 3" xfId="28446" xr:uid="{00000000-0005-0000-0000-0000C87A0000}"/>
    <cellStyle name="Percent 2 3 9 5 3 3" xfId="12942" xr:uid="{00000000-0005-0000-0000-0000C97A0000}"/>
    <cellStyle name="Percent 2 3 9 5 3 3 2" xfId="32994" xr:uid="{00000000-0005-0000-0000-0000CA7A0000}"/>
    <cellStyle name="Percent 2 3 9 5 3 4" xfId="23964" xr:uid="{00000000-0005-0000-0000-0000CB7A0000}"/>
    <cellStyle name="Percent 2 3 9 5 4" xfId="5406" xr:uid="{00000000-0005-0000-0000-0000CC7A0000}"/>
    <cellStyle name="Percent 2 3 9 5 4 2" xfId="14436" xr:uid="{00000000-0005-0000-0000-0000CD7A0000}"/>
    <cellStyle name="Percent 2 3 9 5 4 2 2" xfId="34488" xr:uid="{00000000-0005-0000-0000-0000CE7A0000}"/>
    <cellStyle name="Percent 2 3 9 5 4 3" xfId="25458" xr:uid="{00000000-0005-0000-0000-0000CF7A0000}"/>
    <cellStyle name="Percent 2 3 9 5 5" xfId="9954" xr:uid="{00000000-0005-0000-0000-0000D07A0000}"/>
    <cellStyle name="Percent 2 3 9 5 5 2" xfId="30006" xr:uid="{00000000-0005-0000-0000-0000D17A0000}"/>
    <cellStyle name="Percent 2 3 9 5 6" xfId="20976" xr:uid="{00000000-0005-0000-0000-0000D27A0000}"/>
    <cellStyle name="Percent 2 3 9 6" xfId="1673" xr:uid="{00000000-0005-0000-0000-0000D37A0000}"/>
    <cellStyle name="Percent 2 3 9 6 2" xfId="6155" xr:uid="{00000000-0005-0000-0000-0000D47A0000}"/>
    <cellStyle name="Percent 2 3 9 6 2 2" xfId="15185" xr:uid="{00000000-0005-0000-0000-0000D57A0000}"/>
    <cellStyle name="Percent 2 3 9 6 2 2 2" xfId="35237" xr:uid="{00000000-0005-0000-0000-0000D67A0000}"/>
    <cellStyle name="Percent 2 3 9 6 2 3" xfId="26207" xr:uid="{00000000-0005-0000-0000-0000D77A0000}"/>
    <cellStyle name="Percent 2 3 9 6 3" xfId="10703" xr:uid="{00000000-0005-0000-0000-0000D87A0000}"/>
    <cellStyle name="Percent 2 3 9 6 3 2" xfId="30755" xr:uid="{00000000-0005-0000-0000-0000D97A0000}"/>
    <cellStyle name="Percent 2 3 9 6 4" xfId="21725" xr:uid="{00000000-0005-0000-0000-0000DA7A0000}"/>
    <cellStyle name="Percent 2 3 9 7" xfId="3167" xr:uid="{00000000-0005-0000-0000-0000DB7A0000}"/>
    <cellStyle name="Percent 2 3 9 7 2" xfId="7649" xr:uid="{00000000-0005-0000-0000-0000DC7A0000}"/>
    <cellStyle name="Percent 2 3 9 7 2 2" xfId="16679" xr:uid="{00000000-0005-0000-0000-0000DD7A0000}"/>
    <cellStyle name="Percent 2 3 9 7 2 2 2" xfId="36731" xr:uid="{00000000-0005-0000-0000-0000DE7A0000}"/>
    <cellStyle name="Percent 2 3 9 7 2 3" xfId="27701" xr:uid="{00000000-0005-0000-0000-0000DF7A0000}"/>
    <cellStyle name="Percent 2 3 9 7 3" xfId="12197" xr:uid="{00000000-0005-0000-0000-0000E07A0000}"/>
    <cellStyle name="Percent 2 3 9 7 3 2" xfId="32249" xr:uid="{00000000-0005-0000-0000-0000E17A0000}"/>
    <cellStyle name="Percent 2 3 9 7 4" xfId="23219" xr:uid="{00000000-0005-0000-0000-0000E27A0000}"/>
    <cellStyle name="Percent 2 3 9 8" xfId="4661" xr:uid="{00000000-0005-0000-0000-0000E37A0000}"/>
    <cellStyle name="Percent 2 3 9 8 2" xfId="13691" xr:uid="{00000000-0005-0000-0000-0000E47A0000}"/>
    <cellStyle name="Percent 2 3 9 8 2 2" xfId="33743" xr:uid="{00000000-0005-0000-0000-0000E57A0000}"/>
    <cellStyle name="Percent 2 3 9 8 3" xfId="24713" xr:uid="{00000000-0005-0000-0000-0000E67A0000}"/>
    <cellStyle name="Percent 2 3 9 9" xfId="9209" xr:uid="{00000000-0005-0000-0000-0000E77A0000}"/>
    <cellStyle name="Percent 2 3 9 9 2" xfId="29261" xr:uid="{00000000-0005-0000-0000-0000E87A0000}"/>
    <cellStyle name="Percent 2 4" xfId="21" xr:uid="{00000000-0005-0000-0000-0000E97A0000}"/>
    <cellStyle name="Percent 2 4 10" xfId="393" xr:uid="{00000000-0005-0000-0000-0000EA7A0000}"/>
    <cellStyle name="Percent 2 4 10 2" xfId="1140" xr:uid="{00000000-0005-0000-0000-0000EB7A0000}"/>
    <cellStyle name="Percent 2 4 10 2 2" xfId="2634" xr:uid="{00000000-0005-0000-0000-0000EC7A0000}"/>
    <cellStyle name="Percent 2 4 10 2 2 2" xfId="7116" xr:uid="{00000000-0005-0000-0000-0000ED7A0000}"/>
    <cellStyle name="Percent 2 4 10 2 2 2 2" xfId="16146" xr:uid="{00000000-0005-0000-0000-0000EE7A0000}"/>
    <cellStyle name="Percent 2 4 10 2 2 2 2 2" xfId="36198" xr:uid="{00000000-0005-0000-0000-0000EF7A0000}"/>
    <cellStyle name="Percent 2 4 10 2 2 2 3" xfId="27168" xr:uid="{00000000-0005-0000-0000-0000F07A0000}"/>
    <cellStyle name="Percent 2 4 10 2 2 3" xfId="11664" xr:uid="{00000000-0005-0000-0000-0000F17A0000}"/>
    <cellStyle name="Percent 2 4 10 2 2 3 2" xfId="31716" xr:uid="{00000000-0005-0000-0000-0000F27A0000}"/>
    <cellStyle name="Percent 2 4 10 2 2 4" xfId="22686" xr:uid="{00000000-0005-0000-0000-0000F37A0000}"/>
    <cellStyle name="Percent 2 4 10 2 3" xfId="4128" xr:uid="{00000000-0005-0000-0000-0000F47A0000}"/>
    <cellStyle name="Percent 2 4 10 2 3 2" xfId="8610" xr:uid="{00000000-0005-0000-0000-0000F57A0000}"/>
    <cellStyle name="Percent 2 4 10 2 3 2 2" xfId="17640" xr:uid="{00000000-0005-0000-0000-0000F67A0000}"/>
    <cellStyle name="Percent 2 4 10 2 3 2 2 2" xfId="37692" xr:uid="{00000000-0005-0000-0000-0000F77A0000}"/>
    <cellStyle name="Percent 2 4 10 2 3 2 3" xfId="28662" xr:uid="{00000000-0005-0000-0000-0000F87A0000}"/>
    <cellStyle name="Percent 2 4 10 2 3 3" xfId="13158" xr:uid="{00000000-0005-0000-0000-0000F97A0000}"/>
    <cellStyle name="Percent 2 4 10 2 3 3 2" xfId="33210" xr:uid="{00000000-0005-0000-0000-0000FA7A0000}"/>
    <cellStyle name="Percent 2 4 10 2 3 4" xfId="24180" xr:uid="{00000000-0005-0000-0000-0000FB7A0000}"/>
    <cellStyle name="Percent 2 4 10 2 4" xfId="5622" xr:uid="{00000000-0005-0000-0000-0000FC7A0000}"/>
    <cellStyle name="Percent 2 4 10 2 4 2" xfId="14652" xr:uid="{00000000-0005-0000-0000-0000FD7A0000}"/>
    <cellStyle name="Percent 2 4 10 2 4 2 2" xfId="34704" xr:uid="{00000000-0005-0000-0000-0000FE7A0000}"/>
    <cellStyle name="Percent 2 4 10 2 4 3" xfId="25674" xr:uid="{00000000-0005-0000-0000-0000FF7A0000}"/>
    <cellStyle name="Percent 2 4 10 2 5" xfId="10170" xr:uid="{00000000-0005-0000-0000-0000007B0000}"/>
    <cellStyle name="Percent 2 4 10 2 5 2" xfId="30222" xr:uid="{00000000-0005-0000-0000-0000017B0000}"/>
    <cellStyle name="Percent 2 4 10 2 6" xfId="21192" xr:uid="{00000000-0005-0000-0000-0000027B0000}"/>
    <cellStyle name="Percent 2 4 10 3" xfId="1887" xr:uid="{00000000-0005-0000-0000-0000037B0000}"/>
    <cellStyle name="Percent 2 4 10 3 2" xfId="6369" xr:uid="{00000000-0005-0000-0000-0000047B0000}"/>
    <cellStyle name="Percent 2 4 10 3 2 2" xfId="15399" xr:uid="{00000000-0005-0000-0000-0000057B0000}"/>
    <cellStyle name="Percent 2 4 10 3 2 2 2" xfId="35451" xr:uid="{00000000-0005-0000-0000-0000067B0000}"/>
    <cellStyle name="Percent 2 4 10 3 2 3" xfId="26421" xr:uid="{00000000-0005-0000-0000-0000077B0000}"/>
    <cellStyle name="Percent 2 4 10 3 3" xfId="10917" xr:uid="{00000000-0005-0000-0000-0000087B0000}"/>
    <cellStyle name="Percent 2 4 10 3 3 2" xfId="30969" xr:uid="{00000000-0005-0000-0000-0000097B0000}"/>
    <cellStyle name="Percent 2 4 10 3 4" xfId="21939" xr:uid="{00000000-0005-0000-0000-00000A7B0000}"/>
    <cellStyle name="Percent 2 4 10 4" xfId="3381" xr:uid="{00000000-0005-0000-0000-00000B7B0000}"/>
    <cellStyle name="Percent 2 4 10 4 2" xfId="7863" xr:uid="{00000000-0005-0000-0000-00000C7B0000}"/>
    <cellStyle name="Percent 2 4 10 4 2 2" xfId="16893" xr:uid="{00000000-0005-0000-0000-00000D7B0000}"/>
    <cellStyle name="Percent 2 4 10 4 2 2 2" xfId="36945" xr:uid="{00000000-0005-0000-0000-00000E7B0000}"/>
    <cellStyle name="Percent 2 4 10 4 2 3" xfId="27915" xr:uid="{00000000-0005-0000-0000-00000F7B0000}"/>
    <cellStyle name="Percent 2 4 10 4 3" xfId="12411" xr:uid="{00000000-0005-0000-0000-0000107B0000}"/>
    <cellStyle name="Percent 2 4 10 4 3 2" xfId="32463" xr:uid="{00000000-0005-0000-0000-0000117B0000}"/>
    <cellStyle name="Percent 2 4 10 4 4" xfId="23433" xr:uid="{00000000-0005-0000-0000-0000127B0000}"/>
    <cellStyle name="Percent 2 4 10 5" xfId="4875" xr:uid="{00000000-0005-0000-0000-0000137B0000}"/>
    <cellStyle name="Percent 2 4 10 5 2" xfId="13905" xr:uid="{00000000-0005-0000-0000-0000147B0000}"/>
    <cellStyle name="Percent 2 4 10 5 2 2" xfId="33957" xr:uid="{00000000-0005-0000-0000-0000157B0000}"/>
    <cellStyle name="Percent 2 4 10 5 3" xfId="24927" xr:uid="{00000000-0005-0000-0000-0000167B0000}"/>
    <cellStyle name="Percent 2 4 10 6" xfId="9423" xr:uid="{00000000-0005-0000-0000-0000177B0000}"/>
    <cellStyle name="Percent 2 4 10 6 2" xfId="29475" xr:uid="{00000000-0005-0000-0000-0000187B0000}"/>
    <cellStyle name="Percent 2 4 10 7" xfId="20445" xr:uid="{00000000-0005-0000-0000-0000197B0000}"/>
    <cellStyle name="Percent 2 4 11" xfId="579" xr:uid="{00000000-0005-0000-0000-00001A7B0000}"/>
    <cellStyle name="Percent 2 4 11 2" xfId="1326" xr:uid="{00000000-0005-0000-0000-00001B7B0000}"/>
    <cellStyle name="Percent 2 4 11 2 2" xfId="2820" xr:uid="{00000000-0005-0000-0000-00001C7B0000}"/>
    <cellStyle name="Percent 2 4 11 2 2 2" xfId="7302" xr:uid="{00000000-0005-0000-0000-00001D7B0000}"/>
    <cellStyle name="Percent 2 4 11 2 2 2 2" xfId="16332" xr:uid="{00000000-0005-0000-0000-00001E7B0000}"/>
    <cellStyle name="Percent 2 4 11 2 2 2 2 2" xfId="36384" xr:uid="{00000000-0005-0000-0000-00001F7B0000}"/>
    <cellStyle name="Percent 2 4 11 2 2 2 3" xfId="27354" xr:uid="{00000000-0005-0000-0000-0000207B0000}"/>
    <cellStyle name="Percent 2 4 11 2 2 3" xfId="11850" xr:uid="{00000000-0005-0000-0000-0000217B0000}"/>
    <cellStyle name="Percent 2 4 11 2 2 3 2" xfId="31902" xr:uid="{00000000-0005-0000-0000-0000227B0000}"/>
    <cellStyle name="Percent 2 4 11 2 2 4" xfId="22872" xr:uid="{00000000-0005-0000-0000-0000237B0000}"/>
    <cellStyle name="Percent 2 4 11 2 3" xfId="4314" xr:uid="{00000000-0005-0000-0000-0000247B0000}"/>
    <cellStyle name="Percent 2 4 11 2 3 2" xfId="8796" xr:uid="{00000000-0005-0000-0000-0000257B0000}"/>
    <cellStyle name="Percent 2 4 11 2 3 2 2" xfId="17826" xr:uid="{00000000-0005-0000-0000-0000267B0000}"/>
    <cellStyle name="Percent 2 4 11 2 3 2 2 2" xfId="37878" xr:uid="{00000000-0005-0000-0000-0000277B0000}"/>
    <cellStyle name="Percent 2 4 11 2 3 2 3" xfId="28848" xr:uid="{00000000-0005-0000-0000-0000287B0000}"/>
    <cellStyle name="Percent 2 4 11 2 3 3" xfId="13344" xr:uid="{00000000-0005-0000-0000-0000297B0000}"/>
    <cellStyle name="Percent 2 4 11 2 3 3 2" xfId="33396" xr:uid="{00000000-0005-0000-0000-00002A7B0000}"/>
    <cellStyle name="Percent 2 4 11 2 3 4" xfId="24366" xr:uid="{00000000-0005-0000-0000-00002B7B0000}"/>
    <cellStyle name="Percent 2 4 11 2 4" xfId="5808" xr:uid="{00000000-0005-0000-0000-00002C7B0000}"/>
    <cellStyle name="Percent 2 4 11 2 4 2" xfId="14838" xr:uid="{00000000-0005-0000-0000-00002D7B0000}"/>
    <cellStyle name="Percent 2 4 11 2 4 2 2" xfId="34890" xr:uid="{00000000-0005-0000-0000-00002E7B0000}"/>
    <cellStyle name="Percent 2 4 11 2 4 3" xfId="25860" xr:uid="{00000000-0005-0000-0000-00002F7B0000}"/>
    <cellStyle name="Percent 2 4 11 2 5" xfId="10356" xr:uid="{00000000-0005-0000-0000-0000307B0000}"/>
    <cellStyle name="Percent 2 4 11 2 5 2" xfId="30408" xr:uid="{00000000-0005-0000-0000-0000317B0000}"/>
    <cellStyle name="Percent 2 4 11 2 6" xfId="21378" xr:uid="{00000000-0005-0000-0000-0000327B0000}"/>
    <cellStyle name="Percent 2 4 11 3" xfId="2073" xr:uid="{00000000-0005-0000-0000-0000337B0000}"/>
    <cellStyle name="Percent 2 4 11 3 2" xfId="6555" xr:uid="{00000000-0005-0000-0000-0000347B0000}"/>
    <cellStyle name="Percent 2 4 11 3 2 2" xfId="15585" xr:uid="{00000000-0005-0000-0000-0000357B0000}"/>
    <cellStyle name="Percent 2 4 11 3 2 2 2" xfId="35637" xr:uid="{00000000-0005-0000-0000-0000367B0000}"/>
    <cellStyle name="Percent 2 4 11 3 2 3" xfId="26607" xr:uid="{00000000-0005-0000-0000-0000377B0000}"/>
    <cellStyle name="Percent 2 4 11 3 3" xfId="11103" xr:uid="{00000000-0005-0000-0000-0000387B0000}"/>
    <cellStyle name="Percent 2 4 11 3 3 2" xfId="31155" xr:uid="{00000000-0005-0000-0000-0000397B0000}"/>
    <cellStyle name="Percent 2 4 11 3 4" xfId="22125" xr:uid="{00000000-0005-0000-0000-00003A7B0000}"/>
    <cellStyle name="Percent 2 4 11 4" xfId="3567" xr:uid="{00000000-0005-0000-0000-00003B7B0000}"/>
    <cellStyle name="Percent 2 4 11 4 2" xfId="8049" xr:uid="{00000000-0005-0000-0000-00003C7B0000}"/>
    <cellStyle name="Percent 2 4 11 4 2 2" xfId="17079" xr:uid="{00000000-0005-0000-0000-00003D7B0000}"/>
    <cellStyle name="Percent 2 4 11 4 2 2 2" xfId="37131" xr:uid="{00000000-0005-0000-0000-00003E7B0000}"/>
    <cellStyle name="Percent 2 4 11 4 2 3" xfId="28101" xr:uid="{00000000-0005-0000-0000-00003F7B0000}"/>
    <cellStyle name="Percent 2 4 11 4 3" xfId="12597" xr:uid="{00000000-0005-0000-0000-0000407B0000}"/>
    <cellStyle name="Percent 2 4 11 4 3 2" xfId="32649" xr:uid="{00000000-0005-0000-0000-0000417B0000}"/>
    <cellStyle name="Percent 2 4 11 4 4" xfId="23619" xr:uid="{00000000-0005-0000-0000-0000427B0000}"/>
    <cellStyle name="Percent 2 4 11 5" xfId="5061" xr:uid="{00000000-0005-0000-0000-0000437B0000}"/>
    <cellStyle name="Percent 2 4 11 5 2" xfId="14091" xr:uid="{00000000-0005-0000-0000-0000447B0000}"/>
    <cellStyle name="Percent 2 4 11 5 2 2" xfId="34143" xr:uid="{00000000-0005-0000-0000-0000457B0000}"/>
    <cellStyle name="Percent 2 4 11 5 3" xfId="25113" xr:uid="{00000000-0005-0000-0000-0000467B0000}"/>
    <cellStyle name="Percent 2 4 11 6" xfId="9609" xr:uid="{00000000-0005-0000-0000-0000477B0000}"/>
    <cellStyle name="Percent 2 4 11 6 2" xfId="29661" xr:uid="{00000000-0005-0000-0000-0000487B0000}"/>
    <cellStyle name="Percent 2 4 11 7" xfId="20631" xr:uid="{00000000-0005-0000-0000-0000497B0000}"/>
    <cellStyle name="Percent 2 4 12" xfId="766" xr:uid="{00000000-0005-0000-0000-00004A7B0000}"/>
    <cellStyle name="Percent 2 4 12 2" xfId="2260" xr:uid="{00000000-0005-0000-0000-00004B7B0000}"/>
    <cellStyle name="Percent 2 4 12 2 2" xfId="6742" xr:uid="{00000000-0005-0000-0000-00004C7B0000}"/>
    <cellStyle name="Percent 2 4 12 2 2 2" xfId="15772" xr:uid="{00000000-0005-0000-0000-00004D7B0000}"/>
    <cellStyle name="Percent 2 4 12 2 2 2 2" xfId="35824" xr:uid="{00000000-0005-0000-0000-00004E7B0000}"/>
    <cellStyle name="Percent 2 4 12 2 2 3" xfId="26794" xr:uid="{00000000-0005-0000-0000-00004F7B0000}"/>
    <cellStyle name="Percent 2 4 12 2 3" xfId="11290" xr:uid="{00000000-0005-0000-0000-0000507B0000}"/>
    <cellStyle name="Percent 2 4 12 2 3 2" xfId="31342" xr:uid="{00000000-0005-0000-0000-0000517B0000}"/>
    <cellStyle name="Percent 2 4 12 2 4" xfId="22312" xr:uid="{00000000-0005-0000-0000-0000527B0000}"/>
    <cellStyle name="Percent 2 4 12 3" xfId="3754" xr:uid="{00000000-0005-0000-0000-0000537B0000}"/>
    <cellStyle name="Percent 2 4 12 3 2" xfId="8236" xr:uid="{00000000-0005-0000-0000-0000547B0000}"/>
    <cellStyle name="Percent 2 4 12 3 2 2" xfId="17266" xr:uid="{00000000-0005-0000-0000-0000557B0000}"/>
    <cellStyle name="Percent 2 4 12 3 2 2 2" xfId="37318" xr:uid="{00000000-0005-0000-0000-0000567B0000}"/>
    <cellStyle name="Percent 2 4 12 3 2 3" xfId="28288" xr:uid="{00000000-0005-0000-0000-0000577B0000}"/>
    <cellStyle name="Percent 2 4 12 3 3" xfId="12784" xr:uid="{00000000-0005-0000-0000-0000587B0000}"/>
    <cellStyle name="Percent 2 4 12 3 3 2" xfId="32836" xr:uid="{00000000-0005-0000-0000-0000597B0000}"/>
    <cellStyle name="Percent 2 4 12 3 4" xfId="23806" xr:uid="{00000000-0005-0000-0000-00005A7B0000}"/>
    <cellStyle name="Percent 2 4 12 4" xfId="5248" xr:uid="{00000000-0005-0000-0000-00005B7B0000}"/>
    <cellStyle name="Percent 2 4 12 4 2" xfId="14278" xr:uid="{00000000-0005-0000-0000-00005C7B0000}"/>
    <cellStyle name="Percent 2 4 12 4 2 2" xfId="34330" xr:uid="{00000000-0005-0000-0000-00005D7B0000}"/>
    <cellStyle name="Percent 2 4 12 4 3" xfId="25300" xr:uid="{00000000-0005-0000-0000-00005E7B0000}"/>
    <cellStyle name="Percent 2 4 12 5" xfId="9796" xr:uid="{00000000-0005-0000-0000-00005F7B0000}"/>
    <cellStyle name="Percent 2 4 12 5 2" xfId="29848" xr:uid="{00000000-0005-0000-0000-0000607B0000}"/>
    <cellStyle name="Percent 2 4 12 6" xfId="20818" xr:uid="{00000000-0005-0000-0000-0000617B0000}"/>
    <cellStyle name="Percent 2 4 13" xfId="1515" xr:uid="{00000000-0005-0000-0000-0000627B0000}"/>
    <cellStyle name="Percent 2 4 13 2" xfId="5997" xr:uid="{00000000-0005-0000-0000-0000637B0000}"/>
    <cellStyle name="Percent 2 4 13 2 2" xfId="15027" xr:uid="{00000000-0005-0000-0000-0000647B0000}"/>
    <cellStyle name="Percent 2 4 13 2 2 2" xfId="35079" xr:uid="{00000000-0005-0000-0000-0000657B0000}"/>
    <cellStyle name="Percent 2 4 13 2 3" xfId="26049" xr:uid="{00000000-0005-0000-0000-0000667B0000}"/>
    <cellStyle name="Percent 2 4 13 3" xfId="10545" xr:uid="{00000000-0005-0000-0000-0000677B0000}"/>
    <cellStyle name="Percent 2 4 13 3 2" xfId="30597" xr:uid="{00000000-0005-0000-0000-0000687B0000}"/>
    <cellStyle name="Percent 2 4 13 4" xfId="21567" xr:uid="{00000000-0005-0000-0000-0000697B0000}"/>
    <cellStyle name="Percent 2 4 14" xfId="3009" xr:uid="{00000000-0005-0000-0000-00006A7B0000}"/>
    <cellStyle name="Percent 2 4 14 2" xfId="7491" xr:uid="{00000000-0005-0000-0000-00006B7B0000}"/>
    <cellStyle name="Percent 2 4 14 2 2" xfId="16521" xr:uid="{00000000-0005-0000-0000-00006C7B0000}"/>
    <cellStyle name="Percent 2 4 14 2 2 2" xfId="36573" xr:uid="{00000000-0005-0000-0000-00006D7B0000}"/>
    <cellStyle name="Percent 2 4 14 2 3" xfId="27543" xr:uid="{00000000-0005-0000-0000-00006E7B0000}"/>
    <cellStyle name="Percent 2 4 14 3" xfId="12039" xr:uid="{00000000-0005-0000-0000-00006F7B0000}"/>
    <cellStyle name="Percent 2 4 14 3 2" xfId="32091" xr:uid="{00000000-0005-0000-0000-0000707B0000}"/>
    <cellStyle name="Percent 2 4 14 4" xfId="23061" xr:uid="{00000000-0005-0000-0000-0000717B0000}"/>
    <cellStyle name="Percent 2 4 15" xfId="4503" xr:uid="{00000000-0005-0000-0000-0000727B0000}"/>
    <cellStyle name="Percent 2 4 15 2" xfId="13533" xr:uid="{00000000-0005-0000-0000-0000737B0000}"/>
    <cellStyle name="Percent 2 4 15 2 2" xfId="33585" xr:uid="{00000000-0005-0000-0000-0000747B0000}"/>
    <cellStyle name="Percent 2 4 15 3" xfId="24555" xr:uid="{00000000-0005-0000-0000-0000757B0000}"/>
    <cellStyle name="Percent 2 4 16" xfId="9051" xr:uid="{00000000-0005-0000-0000-0000767B0000}"/>
    <cellStyle name="Percent 2 4 16 2" xfId="29103" xr:uid="{00000000-0005-0000-0000-0000777B0000}"/>
    <cellStyle name="Percent 2 4 17" xfId="20073" xr:uid="{00000000-0005-0000-0000-0000787B0000}"/>
    <cellStyle name="Percent 2 4 2" xfId="44" xr:uid="{00000000-0005-0000-0000-0000797B0000}"/>
    <cellStyle name="Percent 2 4 2 10" xfId="20096" xr:uid="{00000000-0005-0000-0000-00007A7B0000}"/>
    <cellStyle name="Percent 2 4 2 2" xfId="230" xr:uid="{00000000-0005-0000-0000-00007B7B0000}"/>
    <cellStyle name="Percent 2 4 2 2 2" xfId="975" xr:uid="{00000000-0005-0000-0000-00007C7B0000}"/>
    <cellStyle name="Percent 2 4 2 2 2 2" xfId="2469" xr:uid="{00000000-0005-0000-0000-00007D7B0000}"/>
    <cellStyle name="Percent 2 4 2 2 2 2 2" xfId="6951" xr:uid="{00000000-0005-0000-0000-00007E7B0000}"/>
    <cellStyle name="Percent 2 4 2 2 2 2 2 2" xfId="15981" xr:uid="{00000000-0005-0000-0000-00007F7B0000}"/>
    <cellStyle name="Percent 2 4 2 2 2 2 2 2 2" xfId="36033" xr:uid="{00000000-0005-0000-0000-0000807B0000}"/>
    <cellStyle name="Percent 2 4 2 2 2 2 2 3" xfId="27003" xr:uid="{00000000-0005-0000-0000-0000817B0000}"/>
    <cellStyle name="Percent 2 4 2 2 2 2 3" xfId="11499" xr:uid="{00000000-0005-0000-0000-0000827B0000}"/>
    <cellStyle name="Percent 2 4 2 2 2 2 3 2" xfId="31551" xr:uid="{00000000-0005-0000-0000-0000837B0000}"/>
    <cellStyle name="Percent 2 4 2 2 2 2 4" xfId="22521" xr:uid="{00000000-0005-0000-0000-0000847B0000}"/>
    <cellStyle name="Percent 2 4 2 2 2 3" xfId="3963" xr:uid="{00000000-0005-0000-0000-0000857B0000}"/>
    <cellStyle name="Percent 2 4 2 2 2 3 2" xfId="8445" xr:uid="{00000000-0005-0000-0000-0000867B0000}"/>
    <cellStyle name="Percent 2 4 2 2 2 3 2 2" xfId="17475" xr:uid="{00000000-0005-0000-0000-0000877B0000}"/>
    <cellStyle name="Percent 2 4 2 2 2 3 2 2 2" xfId="37527" xr:uid="{00000000-0005-0000-0000-0000887B0000}"/>
    <cellStyle name="Percent 2 4 2 2 2 3 2 3" xfId="28497" xr:uid="{00000000-0005-0000-0000-0000897B0000}"/>
    <cellStyle name="Percent 2 4 2 2 2 3 3" xfId="12993" xr:uid="{00000000-0005-0000-0000-00008A7B0000}"/>
    <cellStyle name="Percent 2 4 2 2 2 3 3 2" xfId="33045" xr:uid="{00000000-0005-0000-0000-00008B7B0000}"/>
    <cellStyle name="Percent 2 4 2 2 2 3 4" xfId="24015" xr:uid="{00000000-0005-0000-0000-00008C7B0000}"/>
    <cellStyle name="Percent 2 4 2 2 2 4" xfId="5457" xr:uid="{00000000-0005-0000-0000-00008D7B0000}"/>
    <cellStyle name="Percent 2 4 2 2 2 4 2" xfId="14487" xr:uid="{00000000-0005-0000-0000-00008E7B0000}"/>
    <cellStyle name="Percent 2 4 2 2 2 4 2 2" xfId="34539" xr:uid="{00000000-0005-0000-0000-00008F7B0000}"/>
    <cellStyle name="Percent 2 4 2 2 2 4 3" xfId="25509" xr:uid="{00000000-0005-0000-0000-0000907B0000}"/>
    <cellStyle name="Percent 2 4 2 2 2 5" xfId="10005" xr:uid="{00000000-0005-0000-0000-0000917B0000}"/>
    <cellStyle name="Percent 2 4 2 2 2 5 2" xfId="30057" xr:uid="{00000000-0005-0000-0000-0000927B0000}"/>
    <cellStyle name="Percent 2 4 2 2 2 6" xfId="21027" xr:uid="{00000000-0005-0000-0000-0000937B0000}"/>
    <cellStyle name="Percent 2 4 2 2 3" xfId="1724" xr:uid="{00000000-0005-0000-0000-0000947B0000}"/>
    <cellStyle name="Percent 2 4 2 2 3 2" xfId="6206" xr:uid="{00000000-0005-0000-0000-0000957B0000}"/>
    <cellStyle name="Percent 2 4 2 2 3 2 2" xfId="15236" xr:uid="{00000000-0005-0000-0000-0000967B0000}"/>
    <cellStyle name="Percent 2 4 2 2 3 2 2 2" xfId="35288" xr:uid="{00000000-0005-0000-0000-0000977B0000}"/>
    <cellStyle name="Percent 2 4 2 2 3 2 3" xfId="26258" xr:uid="{00000000-0005-0000-0000-0000987B0000}"/>
    <cellStyle name="Percent 2 4 2 2 3 3" xfId="10754" xr:uid="{00000000-0005-0000-0000-0000997B0000}"/>
    <cellStyle name="Percent 2 4 2 2 3 3 2" xfId="30806" xr:uid="{00000000-0005-0000-0000-00009A7B0000}"/>
    <cellStyle name="Percent 2 4 2 2 3 4" xfId="21776" xr:uid="{00000000-0005-0000-0000-00009B7B0000}"/>
    <cellStyle name="Percent 2 4 2 2 4" xfId="3218" xr:uid="{00000000-0005-0000-0000-00009C7B0000}"/>
    <cellStyle name="Percent 2 4 2 2 4 2" xfId="7700" xr:uid="{00000000-0005-0000-0000-00009D7B0000}"/>
    <cellStyle name="Percent 2 4 2 2 4 2 2" xfId="16730" xr:uid="{00000000-0005-0000-0000-00009E7B0000}"/>
    <cellStyle name="Percent 2 4 2 2 4 2 2 2" xfId="36782" xr:uid="{00000000-0005-0000-0000-00009F7B0000}"/>
    <cellStyle name="Percent 2 4 2 2 4 2 3" xfId="27752" xr:uid="{00000000-0005-0000-0000-0000A07B0000}"/>
    <cellStyle name="Percent 2 4 2 2 4 3" xfId="12248" xr:uid="{00000000-0005-0000-0000-0000A17B0000}"/>
    <cellStyle name="Percent 2 4 2 2 4 3 2" xfId="32300" xr:uid="{00000000-0005-0000-0000-0000A27B0000}"/>
    <cellStyle name="Percent 2 4 2 2 4 4" xfId="23270" xr:uid="{00000000-0005-0000-0000-0000A37B0000}"/>
    <cellStyle name="Percent 2 4 2 2 5" xfId="4712" xr:uid="{00000000-0005-0000-0000-0000A47B0000}"/>
    <cellStyle name="Percent 2 4 2 2 5 2" xfId="13742" xr:uid="{00000000-0005-0000-0000-0000A57B0000}"/>
    <cellStyle name="Percent 2 4 2 2 5 2 2" xfId="33794" xr:uid="{00000000-0005-0000-0000-0000A67B0000}"/>
    <cellStyle name="Percent 2 4 2 2 5 3" xfId="24764" xr:uid="{00000000-0005-0000-0000-0000A77B0000}"/>
    <cellStyle name="Percent 2 4 2 2 6" xfId="9260" xr:uid="{00000000-0005-0000-0000-0000A87B0000}"/>
    <cellStyle name="Percent 2 4 2 2 6 2" xfId="29312" xr:uid="{00000000-0005-0000-0000-0000A97B0000}"/>
    <cellStyle name="Percent 2 4 2 2 7" xfId="20282" xr:uid="{00000000-0005-0000-0000-0000AA7B0000}"/>
    <cellStyle name="Percent 2 4 2 3" xfId="416" xr:uid="{00000000-0005-0000-0000-0000AB7B0000}"/>
    <cellStyle name="Percent 2 4 2 3 2" xfId="1163" xr:uid="{00000000-0005-0000-0000-0000AC7B0000}"/>
    <cellStyle name="Percent 2 4 2 3 2 2" xfId="2657" xr:uid="{00000000-0005-0000-0000-0000AD7B0000}"/>
    <cellStyle name="Percent 2 4 2 3 2 2 2" xfId="7139" xr:uid="{00000000-0005-0000-0000-0000AE7B0000}"/>
    <cellStyle name="Percent 2 4 2 3 2 2 2 2" xfId="16169" xr:uid="{00000000-0005-0000-0000-0000AF7B0000}"/>
    <cellStyle name="Percent 2 4 2 3 2 2 2 2 2" xfId="36221" xr:uid="{00000000-0005-0000-0000-0000B07B0000}"/>
    <cellStyle name="Percent 2 4 2 3 2 2 2 3" xfId="27191" xr:uid="{00000000-0005-0000-0000-0000B17B0000}"/>
    <cellStyle name="Percent 2 4 2 3 2 2 3" xfId="11687" xr:uid="{00000000-0005-0000-0000-0000B27B0000}"/>
    <cellStyle name="Percent 2 4 2 3 2 2 3 2" xfId="31739" xr:uid="{00000000-0005-0000-0000-0000B37B0000}"/>
    <cellStyle name="Percent 2 4 2 3 2 2 4" xfId="22709" xr:uid="{00000000-0005-0000-0000-0000B47B0000}"/>
    <cellStyle name="Percent 2 4 2 3 2 3" xfId="4151" xr:uid="{00000000-0005-0000-0000-0000B57B0000}"/>
    <cellStyle name="Percent 2 4 2 3 2 3 2" xfId="8633" xr:uid="{00000000-0005-0000-0000-0000B67B0000}"/>
    <cellStyle name="Percent 2 4 2 3 2 3 2 2" xfId="17663" xr:uid="{00000000-0005-0000-0000-0000B77B0000}"/>
    <cellStyle name="Percent 2 4 2 3 2 3 2 2 2" xfId="37715" xr:uid="{00000000-0005-0000-0000-0000B87B0000}"/>
    <cellStyle name="Percent 2 4 2 3 2 3 2 3" xfId="28685" xr:uid="{00000000-0005-0000-0000-0000B97B0000}"/>
    <cellStyle name="Percent 2 4 2 3 2 3 3" xfId="13181" xr:uid="{00000000-0005-0000-0000-0000BA7B0000}"/>
    <cellStyle name="Percent 2 4 2 3 2 3 3 2" xfId="33233" xr:uid="{00000000-0005-0000-0000-0000BB7B0000}"/>
    <cellStyle name="Percent 2 4 2 3 2 3 4" xfId="24203" xr:uid="{00000000-0005-0000-0000-0000BC7B0000}"/>
    <cellStyle name="Percent 2 4 2 3 2 4" xfId="5645" xr:uid="{00000000-0005-0000-0000-0000BD7B0000}"/>
    <cellStyle name="Percent 2 4 2 3 2 4 2" xfId="14675" xr:uid="{00000000-0005-0000-0000-0000BE7B0000}"/>
    <cellStyle name="Percent 2 4 2 3 2 4 2 2" xfId="34727" xr:uid="{00000000-0005-0000-0000-0000BF7B0000}"/>
    <cellStyle name="Percent 2 4 2 3 2 4 3" xfId="25697" xr:uid="{00000000-0005-0000-0000-0000C07B0000}"/>
    <cellStyle name="Percent 2 4 2 3 2 5" xfId="10193" xr:uid="{00000000-0005-0000-0000-0000C17B0000}"/>
    <cellStyle name="Percent 2 4 2 3 2 5 2" xfId="30245" xr:uid="{00000000-0005-0000-0000-0000C27B0000}"/>
    <cellStyle name="Percent 2 4 2 3 2 6" xfId="21215" xr:uid="{00000000-0005-0000-0000-0000C37B0000}"/>
    <cellStyle name="Percent 2 4 2 3 3" xfId="1910" xr:uid="{00000000-0005-0000-0000-0000C47B0000}"/>
    <cellStyle name="Percent 2 4 2 3 3 2" xfId="6392" xr:uid="{00000000-0005-0000-0000-0000C57B0000}"/>
    <cellStyle name="Percent 2 4 2 3 3 2 2" xfId="15422" xr:uid="{00000000-0005-0000-0000-0000C67B0000}"/>
    <cellStyle name="Percent 2 4 2 3 3 2 2 2" xfId="35474" xr:uid="{00000000-0005-0000-0000-0000C77B0000}"/>
    <cellStyle name="Percent 2 4 2 3 3 2 3" xfId="26444" xr:uid="{00000000-0005-0000-0000-0000C87B0000}"/>
    <cellStyle name="Percent 2 4 2 3 3 3" xfId="10940" xr:uid="{00000000-0005-0000-0000-0000C97B0000}"/>
    <cellStyle name="Percent 2 4 2 3 3 3 2" xfId="30992" xr:uid="{00000000-0005-0000-0000-0000CA7B0000}"/>
    <cellStyle name="Percent 2 4 2 3 3 4" xfId="21962" xr:uid="{00000000-0005-0000-0000-0000CB7B0000}"/>
    <cellStyle name="Percent 2 4 2 3 4" xfId="3404" xr:uid="{00000000-0005-0000-0000-0000CC7B0000}"/>
    <cellStyle name="Percent 2 4 2 3 4 2" xfId="7886" xr:uid="{00000000-0005-0000-0000-0000CD7B0000}"/>
    <cellStyle name="Percent 2 4 2 3 4 2 2" xfId="16916" xr:uid="{00000000-0005-0000-0000-0000CE7B0000}"/>
    <cellStyle name="Percent 2 4 2 3 4 2 2 2" xfId="36968" xr:uid="{00000000-0005-0000-0000-0000CF7B0000}"/>
    <cellStyle name="Percent 2 4 2 3 4 2 3" xfId="27938" xr:uid="{00000000-0005-0000-0000-0000D07B0000}"/>
    <cellStyle name="Percent 2 4 2 3 4 3" xfId="12434" xr:uid="{00000000-0005-0000-0000-0000D17B0000}"/>
    <cellStyle name="Percent 2 4 2 3 4 3 2" xfId="32486" xr:uid="{00000000-0005-0000-0000-0000D27B0000}"/>
    <cellStyle name="Percent 2 4 2 3 4 4" xfId="23456" xr:uid="{00000000-0005-0000-0000-0000D37B0000}"/>
    <cellStyle name="Percent 2 4 2 3 5" xfId="4898" xr:uid="{00000000-0005-0000-0000-0000D47B0000}"/>
    <cellStyle name="Percent 2 4 2 3 5 2" xfId="13928" xr:uid="{00000000-0005-0000-0000-0000D57B0000}"/>
    <cellStyle name="Percent 2 4 2 3 5 2 2" xfId="33980" xr:uid="{00000000-0005-0000-0000-0000D67B0000}"/>
    <cellStyle name="Percent 2 4 2 3 5 3" xfId="24950" xr:uid="{00000000-0005-0000-0000-0000D77B0000}"/>
    <cellStyle name="Percent 2 4 2 3 6" xfId="9446" xr:uid="{00000000-0005-0000-0000-0000D87B0000}"/>
    <cellStyle name="Percent 2 4 2 3 6 2" xfId="29498" xr:uid="{00000000-0005-0000-0000-0000D97B0000}"/>
    <cellStyle name="Percent 2 4 2 3 7" xfId="20468" xr:uid="{00000000-0005-0000-0000-0000DA7B0000}"/>
    <cellStyle name="Percent 2 4 2 4" xfId="602" xr:uid="{00000000-0005-0000-0000-0000DB7B0000}"/>
    <cellStyle name="Percent 2 4 2 4 2" xfId="1349" xr:uid="{00000000-0005-0000-0000-0000DC7B0000}"/>
    <cellStyle name="Percent 2 4 2 4 2 2" xfId="2843" xr:uid="{00000000-0005-0000-0000-0000DD7B0000}"/>
    <cellStyle name="Percent 2 4 2 4 2 2 2" xfId="7325" xr:uid="{00000000-0005-0000-0000-0000DE7B0000}"/>
    <cellStyle name="Percent 2 4 2 4 2 2 2 2" xfId="16355" xr:uid="{00000000-0005-0000-0000-0000DF7B0000}"/>
    <cellStyle name="Percent 2 4 2 4 2 2 2 2 2" xfId="36407" xr:uid="{00000000-0005-0000-0000-0000E07B0000}"/>
    <cellStyle name="Percent 2 4 2 4 2 2 2 3" xfId="27377" xr:uid="{00000000-0005-0000-0000-0000E17B0000}"/>
    <cellStyle name="Percent 2 4 2 4 2 2 3" xfId="11873" xr:uid="{00000000-0005-0000-0000-0000E27B0000}"/>
    <cellStyle name="Percent 2 4 2 4 2 2 3 2" xfId="31925" xr:uid="{00000000-0005-0000-0000-0000E37B0000}"/>
    <cellStyle name="Percent 2 4 2 4 2 2 4" xfId="22895" xr:uid="{00000000-0005-0000-0000-0000E47B0000}"/>
    <cellStyle name="Percent 2 4 2 4 2 3" xfId="4337" xr:uid="{00000000-0005-0000-0000-0000E57B0000}"/>
    <cellStyle name="Percent 2 4 2 4 2 3 2" xfId="8819" xr:uid="{00000000-0005-0000-0000-0000E67B0000}"/>
    <cellStyle name="Percent 2 4 2 4 2 3 2 2" xfId="17849" xr:uid="{00000000-0005-0000-0000-0000E77B0000}"/>
    <cellStyle name="Percent 2 4 2 4 2 3 2 2 2" xfId="37901" xr:uid="{00000000-0005-0000-0000-0000E87B0000}"/>
    <cellStyle name="Percent 2 4 2 4 2 3 2 3" xfId="28871" xr:uid="{00000000-0005-0000-0000-0000E97B0000}"/>
    <cellStyle name="Percent 2 4 2 4 2 3 3" xfId="13367" xr:uid="{00000000-0005-0000-0000-0000EA7B0000}"/>
    <cellStyle name="Percent 2 4 2 4 2 3 3 2" xfId="33419" xr:uid="{00000000-0005-0000-0000-0000EB7B0000}"/>
    <cellStyle name="Percent 2 4 2 4 2 3 4" xfId="24389" xr:uid="{00000000-0005-0000-0000-0000EC7B0000}"/>
    <cellStyle name="Percent 2 4 2 4 2 4" xfId="5831" xr:uid="{00000000-0005-0000-0000-0000ED7B0000}"/>
    <cellStyle name="Percent 2 4 2 4 2 4 2" xfId="14861" xr:uid="{00000000-0005-0000-0000-0000EE7B0000}"/>
    <cellStyle name="Percent 2 4 2 4 2 4 2 2" xfId="34913" xr:uid="{00000000-0005-0000-0000-0000EF7B0000}"/>
    <cellStyle name="Percent 2 4 2 4 2 4 3" xfId="25883" xr:uid="{00000000-0005-0000-0000-0000F07B0000}"/>
    <cellStyle name="Percent 2 4 2 4 2 5" xfId="10379" xr:uid="{00000000-0005-0000-0000-0000F17B0000}"/>
    <cellStyle name="Percent 2 4 2 4 2 5 2" xfId="30431" xr:uid="{00000000-0005-0000-0000-0000F27B0000}"/>
    <cellStyle name="Percent 2 4 2 4 2 6" xfId="21401" xr:uid="{00000000-0005-0000-0000-0000F37B0000}"/>
    <cellStyle name="Percent 2 4 2 4 3" xfId="2096" xr:uid="{00000000-0005-0000-0000-0000F47B0000}"/>
    <cellStyle name="Percent 2 4 2 4 3 2" xfId="6578" xr:uid="{00000000-0005-0000-0000-0000F57B0000}"/>
    <cellStyle name="Percent 2 4 2 4 3 2 2" xfId="15608" xr:uid="{00000000-0005-0000-0000-0000F67B0000}"/>
    <cellStyle name="Percent 2 4 2 4 3 2 2 2" xfId="35660" xr:uid="{00000000-0005-0000-0000-0000F77B0000}"/>
    <cellStyle name="Percent 2 4 2 4 3 2 3" xfId="26630" xr:uid="{00000000-0005-0000-0000-0000F87B0000}"/>
    <cellStyle name="Percent 2 4 2 4 3 3" xfId="11126" xr:uid="{00000000-0005-0000-0000-0000F97B0000}"/>
    <cellStyle name="Percent 2 4 2 4 3 3 2" xfId="31178" xr:uid="{00000000-0005-0000-0000-0000FA7B0000}"/>
    <cellStyle name="Percent 2 4 2 4 3 4" xfId="22148" xr:uid="{00000000-0005-0000-0000-0000FB7B0000}"/>
    <cellStyle name="Percent 2 4 2 4 4" xfId="3590" xr:uid="{00000000-0005-0000-0000-0000FC7B0000}"/>
    <cellStyle name="Percent 2 4 2 4 4 2" xfId="8072" xr:uid="{00000000-0005-0000-0000-0000FD7B0000}"/>
    <cellStyle name="Percent 2 4 2 4 4 2 2" xfId="17102" xr:uid="{00000000-0005-0000-0000-0000FE7B0000}"/>
    <cellStyle name="Percent 2 4 2 4 4 2 2 2" xfId="37154" xr:uid="{00000000-0005-0000-0000-0000FF7B0000}"/>
    <cellStyle name="Percent 2 4 2 4 4 2 3" xfId="28124" xr:uid="{00000000-0005-0000-0000-0000007C0000}"/>
    <cellStyle name="Percent 2 4 2 4 4 3" xfId="12620" xr:uid="{00000000-0005-0000-0000-0000017C0000}"/>
    <cellStyle name="Percent 2 4 2 4 4 3 2" xfId="32672" xr:uid="{00000000-0005-0000-0000-0000027C0000}"/>
    <cellStyle name="Percent 2 4 2 4 4 4" xfId="23642" xr:uid="{00000000-0005-0000-0000-0000037C0000}"/>
    <cellStyle name="Percent 2 4 2 4 5" xfId="5084" xr:uid="{00000000-0005-0000-0000-0000047C0000}"/>
    <cellStyle name="Percent 2 4 2 4 5 2" xfId="14114" xr:uid="{00000000-0005-0000-0000-0000057C0000}"/>
    <cellStyle name="Percent 2 4 2 4 5 2 2" xfId="34166" xr:uid="{00000000-0005-0000-0000-0000067C0000}"/>
    <cellStyle name="Percent 2 4 2 4 5 3" xfId="25136" xr:uid="{00000000-0005-0000-0000-0000077C0000}"/>
    <cellStyle name="Percent 2 4 2 4 6" xfId="9632" xr:uid="{00000000-0005-0000-0000-0000087C0000}"/>
    <cellStyle name="Percent 2 4 2 4 6 2" xfId="29684" xr:uid="{00000000-0005-0000-0000-0000097C0000}"/>
    <cellStyle name="Percent 2 4 2 4 7" xfId="20654" xr:uid="{00000000-0005-0000-0000-00000A7C0000}"/>
    <cellStyle name="Percent 2 4 2 5" xfId="789" xr:uid="{00000000-0005-0000-0000-00000B7C0000}"/>
    <cellStyle name="Percent 2 4 2 5 2" xfId="2283" xr:uid="{00000000-0005-0000-0000-00000C7C0000}"/>
    <cellStyle name="Percent 2 4 2 5 2 2" xfId="6765" xr:uid="{00000000-0005-0000-0000-00000D7C0000}"/>
    <cellStyle name="Percent 2 4 2 5 2 2 2" xfId="15795" xr:uid="{00000000-0005-0000-0000-00000E7C0000}"/>
    <cellStyle name="Percent 2 4 2 5 2 2 2 2" xfId="35847" xr:uid="{00000000-0005-0000-0000-00000F7C0000}"/>
    <cellStyle name="Percent 2 4 2 5 2 2 3" xfId="26817" xr:uid="{00000000-0005-0000-0000-0000107C0000}"/>
    <cellStyle name="Percent 2 4 2 5 2 3" xfId="11313" xr:uid="{00000000-0005-0000-0000-0000117C0000}"/>
    <cellStyle name="Percent 2 4 2 5 2 3 2" xfId="31365" xr:uid="{00000000-0005-0000-0000-0000127C0000}"/>
    <cellStyle name="Percent 2 4 2 5 2 4" xfId="22335" xr:uid="{00000000-0005-0000-0000-0000137C0000}"/>
    <cellStyle name="Percent 2 4 2 5 3" xfId="3777" xr:uid="{00000000-0005-0000-0000-0000147C0000}"/>
    <cellStyle name="Percent 2 4 2 5 3 2" xfId="8259" xr:uid="{00000000-0005-0000-0000-0000157C0000}"/>
    <cellStyle name="Percent 2 4 2 5 3 2 2" xfId="17289" xr:uid="{00000000-0005-0000-0000-0000167C0000}"/>
    <cellStyle name="Percent 2 4 2 5 3 2 2 2" xfId="37341" xr:uid="{00000000-0005-0000-0000-0000177C0000}"/>
    <cellStyle name="Percent 2 4 2 5 3 2 3" xfId="28311" xr:uid="{00000000-0005-0000-0000-0000187C0000}"/>
    <cellStyle name="Percent 2 4 2 5 3 3" xfId="12807" xr:uid="{00000000-0005-0000-0000-0000197C0000}"/>
    <cellStyle name="Percent 2 4 2 5 3 3 2" xfId="32859" xr:uid="{00000000-0005-0000-0000-00001A7C0000}"/>
    <cellStyle name="Percent 2 4 2 5 3 4" xfId="23829" xr:uid="{00000000-0005-0000-0000-00001B7C0000}"/>
    <cellStyle name="Percent 2 4 2 5 4" xfId="5271" xr:uid="{00000000-0005-0000-0000-00001C7C0000}"/>
    <cellStyle name="Percent 2 4 2 5 4 2" xfId="14301" xr:uid="{00000000-0005-0000-0000-00001D7C0000}"/>
    <cellStyle name="Percent 2 4 2 5 4 2 2" xfId="34353" xr:uid="{00000000-0005-0000-0000-00001E7C0000}"/>
    <cellStyle name="Percent 2 4 2 5 4 3" xfId="25323" xr:uid="{00000000-0005-0000-0000-00001F7C0000}"/>
    <cellStyle name="Percent 2 4 2 5 5" xfId="9819" xr:uid="{00000000-0005-0000-0000-0000207C0000}"/>
    <cellStyle name="Percent 2 4 2 5 5 2" xfId="29871" xr:uid="{00000000-0005-0000-0000-0000217C0000}"/>
    <cellStyle name="Percent 2 4 2 5 6" xfId="20841" xr:uid="{00000000-0005-0000-0000-0000227C0000}"/>
    <cellStyle name="Percent 2 4 2 6" xfId="1538" xr:uid="{00000000-0005-0000-0000-0000237C0000}"/>
    <cellStyle name="Percent 2 4 2 6 2" xfId="6020" xr:uid="{00000000-0005-0000-0000-0000247C0000}"/>
    <cellStyle name="Percent 2 4 2 6 2 2" xfId="15050" xr:uid="{00000000-0005-0000-0000-0000257C0000}"/>
    <cellStyle name="Percent 2 4 2 6 2 2 2" xfId="35102" xr:uid="{00000000-0005-0000-0000-0000267C0000}"/>
    <cellStyle name="Percent 2 4 2 6 2 3" xfId="26072" xr:uid="{00000000-0005-0000-0000-0000277C0000}"/>
    <cellStyle name="Percent 2 4 2 6 3" xfId="10568" xr:uid="{00000000-0005-0000-0000-0000287C0000}"/>
    <cellStyle name="Percent 2 4 2 6 3 2" xfId="30620" xr:uid="{00000000-0005-0000-0000-0000297C0000}"/>
    <cellStyle name="Percent 2 4 2 6 4" xfId="21590" xr:uid="{00000000-0005-0000-0000-00002A7C0000}"/>
    <cellStyle name="Percent 2 4 2 7" xfId="3032" xr:uid="{00000000-0005-0000-0000-00002B7C0000}"/>
    <cellStyle name="Percent 2 4 2 7 2" xfId="7514" xr:uid="{00000000-0005-0000-0000-00002C7C0000}"/>
    <cellStyle name="Percent 2 4 2 7 2 2" xfId="16544" xr:uid="{00000000-0005-0000-0000-00002D7C0000}"/>
    <cellStyle name="Percent 2 4 2 7 2 2 2" xfId="36596" xr:uid="{00000000-0005-0000-0000-00002E7C0000}"/>
    <cellStyle name="Percent 2 4 2 7 2 3" xfId="27566" xr:uid="{00000000-0005-0000-0000-00002F7C0000}"/>
    <cellStyle name="Percent 2 4 2 7 3" xfId="12062" xr:uid="{00000000-0005-0000-0000-0000307C0000}"/>
    <cellStyle name="Percent 2 4 2 7 3 2" xfId="32114" xr:uid="{00000000-0005-0000-0000-0000317C0000}"/>
    <cellStyle name="Percent 2 4 2 7 4" xfId="23084" xr:uid="{00000000-0005-0000-0000-0000327C0000}"/>
    <cellStyle name="Percent 2 4 2 8" xfId="4526" xr:uid="{00000000-0005-0000-0000-0000337C0000}"/>
    <cellStyle name="Percent 2 4 2 8 2" xfId="13556" xr:uid="{00000000-0005-0000-0000-0000347C0000}"/>
    <cellStyle name="Percent 2 4 2 8 2 2" xfId="33608" xr:uid="{00000000-0005-0000-0000-0000357C0000}"/>
    <cellStyle name="Percent 2 4 2 8 3" xfId="24578" xr:uid="{00000000-0005-0000-0000-0000367C0000}"/>
    <cellStyle name="Percent 2 4 2 9" xfId="9074" xr:uid="{00000000-0005-0000-0000-0000377C0000}"/>
    <cellStyle name="Percent 2 4 2 9 2" xfId="29126" xr:uid="{00000000-0005-0000-0000-0000387C0000}"/>
    <cellStyle name="Percent 2 4 3" xfId="67" xr:uid="{00000000-0005-0000-0000-0000397C0000}"/>
    <cellStyle name="Percent 2 4 3 10" xfId="20119" xr:uid="{00000000-0005-0000-0000-00003A7C0000}"/>
    <cellStyle name="Percent 2 4 3 2" xfId="253" xr:uid="{00000000-0005-0000-0000-00003B7C0000}"/>
    <cellStyle name="Percent 2 4 3 2 2" xfId="998" xr:uid="{00000000-0005-0000-0000-00003C7C0000}"/>
    <cellStyle name="Percent 2 4 3 2 2 2" xfId="2492" xr:uid="{00000000-0005-0000-0000-00003D7C0000}"/>
    <cellStyle name="Percent 2 4 3 2 2 2 2" xfId="6974" xr:uid="{00000000-0005-0000-0000-00003E7C0000}"/>
    <cellStyle name="Percent 2 4 3 2 2 2 2 2" xfId="16004" xr:uid="{00000000-0005-0000-0000-00003F7C0000}"/>
    <cellStyle name="Percent 2 4 3 2 2 2 2 2 2" xfId="36056" xr:uid="{00000000-0005-0000-0000-0000407C0000}"/>
    <cellStyle name="Percent 2 4 3 2 2 2 2 3" xfId="27026" xr:uid="{00000000-0005-0000-0000-0000417C0000}"/>
    <cellStyle name="Percent 2 4 3 2 2 2 3" xfId="11522" xr:uid="{00000000-0005-0000-0000-0000427C0000}"/>
    <cellStyle name="Percent 2 4 3 2 2 2 3 2" xfId="31574" xr:uid="{00000000-0005-0000-0000-0000437C0000}"/>
    <cellStyle name="Percent 2 4 3 2 2 2 4" xfId="22544" xr:uid="{00000000-0005-0000-0000-0000447C0000}"/>
    <cellStyle name="Percent 2 4 3 2 2 3" xfId="3986" xr:uid="{00000000-0005-0000-0000-0000457C0000}"/>
    <cellStyle name="Percent 2 4 3 2 2 3 2" xfId="8468" xr:uid="{00000000-0005-0000-0000-0000467C0000}"/>
    <cellStyle name="Percent 2 4 3 2 2 3 2 2" xfId="17498" xr:uid="{00000000-0005-0000-0000-0000477C0000}"/>
    <cellStyle name="Percent 2 4 3 2 2 3 2 2 2" xfId="37550" xr:uid="{00000000-0005-0000-0000-0000487C0000}"/>
    <cellStyle name="Percent 2 4 3 2 2 3 2 3" xfId="28520" xr:uid="{00000000-0005-0000-0000-0000497C0000}"/>
    <cellStyle name="Percent 2 4 3 2 2 3 3" xfId="13016" xr:uid="{00000000-0005-0000-0000-00004A7C0000}"/>
    <cellStyle name="Percent 2 4 3 2 2 3 3 2" xfId="33068" xr:uid="{00000000-0005-0000-0000-00004B7C0000}"/>
    <cellStyle name="Percent 2 4 3 2 2 3 4" xfId="24038" xr:uid="{00000000-0005-0000-0000-00004C7C0000}"/>
    <cellStyle name="Percent 2 4 3 2 2 4" xfId="5480" xr:uid="{00000000-0005-0000-0000-00004D7C0000}"/>
    <cellStyle name="Percent 2 4 3 2 2 4 2" xfId="14510" xr:uid="{00000000-0005-0000-0000-00004E7C0000}"/>
    <cellStyle name="Percent 2 4 3 2 2 4 2 2" xfId="34562" xr:uid="{00000000-0005-0000-0000-00004F7C0000}"/>
    <cellStyle name="Percent 2 4 3 2 2 4 3" xfId="25532" xr:uid="{00000000-0005-0000-0000-0000507C0000}"/>
    <cellStyle name="Percent 2 4 3 2 2 5" xfId="10028" xr:uid="{00000000-0005-0000-0000-0000517C0000}"/>
    <cellStyle name="Percent 2 4 3 2 2 5 2" xfId="30080" xr:uid="{00000000-0005-0000-0000-0000527C0000}"/>
    <cellStyle name="Percent 2 4 3 2 2 6" xfId="21050" xr:uid="{00000000-0005-0000-0000-0000537C0000}"/>
    <cellStyle name="Percent 2 4 3 2 3" xfId="1747" xr:uid="{00000000-0005-0000-0000-0000547C0000}"/>
    <cellStyle name="Percent 2 4 3 2 3 2" xfId="6229" xr:uid="{00000000-0005-0000-0000-0000557C0000}"/>
    <cellStyle name="Percent 2 4 3 2 3 2 2" xfId="15259" xr:uid="{00000000-0005-0000-0000-0000567C0000}"/>
    <cellStyle name="Percent 2 4 3 2 3 2 2 2" xfId="35311" xr:uid="{00000000-0005-0000-0000-0000577C0000}"/>
    <cellStyle name="Percent 2 4 3 2 3 2 3" xfId="26281" xr:uid="{00000000-0005-0000-0000-0000587C0000}"/>
    <cellStyle name="Percent 2 4 3 2 3 3" xfId="10777" xr:uid="{00000000-0005-0000-0000-0000597C0000}"/>
    <cellStyle name="Percent 2 4 3 2 3 3 2" xfId="30829" xr:uid="{00000000-0005-0000-0000-00005A7C0000}"/>
    <cellStyle name="Percent 2 4 3 2 3 4" xfId="21799" xr:uid="{00000000-0005-0000-0000-00005B7C0000}"/>
    <cellStyle name="Percent 2 4 3 2 4" xfId="3241" xr:uid="{00000000-0005-0000-0000-00005C7C0000}"/>
    <cellStyle name="Percent 2 4 3 2 4 2" xfId="7723" xr:uid="{00000000-0005-0000-0000-00005D7C0000}"/>
    <cellStyle name="Percent 2 4 3 2 4 2 2" xfId="16753" xr:uid="{00000000-0005-0000-0000-00005E7C0000}"/>
    <cellStyle name="Percent 2 4 3 2 4 2 2 2" xfId="36805" xr:uid="{00000000-0005-0000-0000-00005F7C0000}"/>
    <cellStyle name="Percent 2 4 3 2 4 2 3" xfId="27775" xr:uid="{00000000-0005-0000-0000-0000607C0000}"/>
    <cellStyle name="Percent 2 4 3 2 4 3" xfId="12271" xr:uid="{00000000-0005-0000-0000-0000617C0000}"/>
    <cellStyle name="Percent 2 4 3 2 4 3 2" xfId="32323" xr:uid="{00000000-0005-0000-0000-0000627C0000}"/>
    <cellStyle name="Percent 2 4 3 2 4 4" xfId="23293" xr:uid="{00000000-0005-0000-0000-0000637C0000}"/>
    <cellStyle name="Percent 2 4 3 2 5" xfId="4735" xr:uid="{00000000-0005-0000-0000-0000647C0000}"/>
    <cellStyle name="Percent 2 4 3 2 5 2" xfId="13765" xr:uid="{00000000-0005-0000-0000-0000657C0000}"/>
    <cellStyle name="Percent 2 4 3 2 5 2 2" xfId="33817" xr:uid="{00000000-0005-0000-0000-0000667C0000}"/>
    <cellStyle name="Percent 2 4 3 2 5 3" xfId="24787" xr:uid="{00000000-0005-0000-0000-0000677C0000}"/>
    <cellStyle name="Percent 2 4 3 2 6" xfId="9283" xr:uid="{00000000-0005-0000-0000-0000687C0000}"/>
    <cellStyle name="Percent 2 4 3 2 6 2" xfId="29335" xr:uid="{00000000-0005-0000-0000-0000697C0000}"/>
    <cellStyle name="Percent 2 4 3 2 7" xfId="20305" xr:uid="{00000000-0005-0000-0000-00006A7C0000}"/>
    <cellStyle name="Percent 2 4 3 3" xfId="439" xr:uid="{00000000-0005-0000-0000-00006B7C0000}"/>
    <cellStyle name="Percent 2 4 3 3 2" xfId="1186" xr:uid="{00000000-0005-0000-0000-00006C7C0000}"/>
    <cellStyle name="Percent 2 4 3 3 2 2" xfId="2680" xr:uid="{00000000-0005-0000-0000-00006D7C0000}"/>
    <cellStyle name="Percent 2 4 3 3 2 2 2" xfId="7162" xr:uid="{00000000-0005-0000-0000-00006E7C0000}"/>
    <cellStyle name="Percent 2 4 3 3 2 2 2 2" xfId="16192" xr:uid="{00000000-0005-0000-0000-00006F7C0000}"/>
    <cellStyle name="Percent 2 4 3 3 2 2 2 2 2" xfId="36244" xr:uid="{00000000-0005-0000-0000-0000707C0000}"/>
    <cellStyle name="Percent 2 4 3 3 2 2 2 3" xfId="27214" xr:uid="{00000000-0005-0000-0000-0000717C0000}"/>
    <cellStyle name="Percent 2 4 3 3 2 2 3" xfId="11710" xr:uid="{00000000-0005-0000-0000-0000727C0000}"/>
    <cellStyle name="Percent 2 4 3 3 2 2 3 2" xfId="31762" xr:uid="{00000000-0005-0000-0000-0000737C0000}"/>
    <cellStyle name="Percent 2 4 3 3 2 2 4" xfId="22732" xr:uid="{00000000-0005-0000-0000-0000747C0000}"/>
    <cellStyle name="Percent 2 4 3 3 2 3" xfId="4174" xr:uid="{00000000-0005-0000-0000-0000757C0000}"/>
    <cellStyle name="Percent 2 4 3 3 2 3 2" xfId="8656" xr:uid="{00000000-0005-0000-0000-0000767C0000}"/>
    <cellStyle name="Percent 2 4 3 3 2 3 2 2" xfId="17686" xr:uid="{00000000-0005-0000-0000-0000777C0000}"/>
    <cellStyle name="Percent 2 4 3 3 2 3 2 2 2" xfId="37738" xr:uid="{00000000-0005-0000-0000-0000787C0000}"/>
    <cellStyle name="Percent 2 4 3 3 2 3 2 3" xfId="28708" xr:uid="{00000000-0005-0000-0000-0000797C0000}"/>
    <cellStyle name="Percent 2 4 3 3 2 3 3" xfId="13204" xr:uid="{00000000-0005-0000-0000-00007A7C0000}"/>
    <cellStyle name="Percent 2 4 3 3 2 3 3 2" xfId="33256" xr:uid="{00000000-0005-0000-0000-00007B7C0000}"/>
    <cellStyle name="Percent 2 4 3 3 2 3 4" xfId="24226" xr:uid="{00000000-0005-0000-0000-00007C7C0000}"/>
    <cellStyle name="Percent 2 4 3 3 2 4" xfId="5668" xr:uid="{00000000-0005-0000-0000-00007D7C0000}"/>
    <cellStyle name="Percent 2 4 3 3 2 4 2" xfId="14698" xr:uid="{00000000-0005-0000-0000-00007E7C0000}"/>
    <cellStyle name="Percent 2 4 3 3 2 4 2 2" xfId="34750" xr:uid="{00000000-0005-0000-0000-00007F7C0000}"/>
    <cellStyle name="Percent 2 4 3 3 2 4 3" xfId="25720" xr:uid="{00000000-0005-0000-0000-0000807C0000}"/>
    <cellStyle name="Percent 2 4 3 3 2 5" xfId="10216" xr:uid="{00000000-0005-0000-0000-0000817C0000}"/>
    <cellStyle name="Percent 2 4 3 3 2 5 2" xfId="30268" xr:uid="{00000000-0005-0000-0000-0000827C0000}"/>
    <cellStyle name="Percent 2 4 3 3 2 6" xfId="21238" xr:uid="{00000000-0005-0000-0000-0000837C0000}"/>
    <cellStyle name="Percent 2 4 3 3 3" xfId="1933" xr:uid="{00000000-0005-0000-0000-0000847C0000}"/>
    <cellStyle name="Percent 2 4 3 3 3 2" xfId="6415" xr:uid="{00000000-0005-0000-0000-0000857C0000}"/>
    <cellStyle name="Percent 2 4 3 3 3 2 2" xfId="15445" xr:uid="{00000000-0005-0000-0000-0000867C0000}"/>
    <cellStyle name="Percent 2 4 3 3 3 2 2 2" xfId="35497" xr:uid="{00000000-0005-0000-0000-0000877C0000}"/>
    <cellStyle name="Percent 2 4 3 3 3 2 3" xfId="26467" xr:uid="{00000000-0005-0000-0000-0000887C0000}"/>
    <cellStyle name="Percent 2 4 3 3 3 3" xfId="10963" xr:uid="{00000000-0005-0000-0000-0000897C0000}"/>
    <cellStyle name="Percent 2 4 3 3 3 3 2" xfId="31015" xr:uid="{00000000-0005-0000-0000-00008A7C0000}"/>
    <cellStyle name="Percent 2 4 3 3 3 4" xfId="21985" xr:uid="{00000000-0005-0000-0000-00008B7C0000}"/>
    <cellStyle name="Percent 2 4 3 3 4" xfId="3427" xr:uid="{00000000-0005-0000-0000-00008C7C0000}"/>
    <cellStyle name="Percent 2 4 3 3 4 2" xfId="7909" xr:uid="{00000000-0005-0000-0000-00008D7C0000}"/>
    <cellStyle name="Percent 2 4 3 3 4 2 2" xfId="16939" xr:uid="{00000000-0005-0000-0000-00008E7C0000}"/>
    <cellStyle name="Percent 2 4 3 3 4 2 2 2" xfId="36991" xr:uid="{00000000-0005-0000-0000-00008F7C0000}"/>
    <cellStyle name="Percent 2 4 3 3 4 2 3" xfId="27961" xr:uid="{00000000-0005-0000-0000-0000907C0000}"/>
    <cellStyle name="Percent 2 4 3 3 4 3" xfId="12457" xr:uid="{00000000-0005-0000-0000-0000917C0000}"/>
    <cellStyle name="Percent 2 4 3 3 4 3 2" xfId="32509" xr:uid="{00000000-0005-0000-0000-0000927C0000}"/>
    <cellStyle name="Percent 2 4 3 3 4 4" xfId="23479" xr:uid="{00000000-0005-0000-0000-0000937C0000}"/>
    <cellStyle name="Percent 2 4 3 3 5" xfId="4921" xr:uid="{00000000-0005-0000-0000-0000947C0000}"/>
    <cellStyle name="Percent 2 4 3 3 5 2" xfId="13951" xr:uid="{00000000-0005-0000-0000-0000957C0000}"/>
    <cellStyle name="Percent 2 4 3 3 5 2 2" xfId="34003" xr:uid="{00000000-0005-0000-0000-0000967C0000}"/>
    <cellStyle name="Percent 2 4 3 3 5 3" xfId="24973" xr:uid="{00000000-0005-0000-0000-0000977C0000}"/>
    <cellStyle name="Percent 2 4 3 3 6" xfId="9469" xr:uid="{00000000-0005-0000-0000-0000987C0000}"/>
    <cellStyle name="Percent 2 4 3 3 6 2" xfId="29521" xr:uid="{00000000-0005-0000-0000-0000997C0000}"/>
    <cellStyle name="Percent 2 4 3 3 7" xfId="20491" xr:uid="{00000000-0005-0000-0000-00009A7C0000}"/>
    <cellStyle name="Percent 2 4 3 4" xfId="625" xr:uid="{00000000-0005-0000-0000-00009B7C0000}"/>
    <cellStyle name="Percent 2 4 3 4 2" xfId="1372" xr:uid="{00000000-0005-0000-0000-00009C7C0000}"/>
    <cellStyle name="Percent 2 4 3 4 2 2" xfId="2866" xr:uid="{00000000-0005-0000-0000-00009D7C0000}"/>
    <cellStyle name="Percent 2 4 3 4 2 2 2" xfId="7348" xr:uid="{00000000-0005-0000-0000-00009E7C0000}"/>
    <cellStyle name="Percent 2 4 3 4 2 2 2 2" xfId="16378" xr:uid="{00000000-0005-0000-0000-00009F7C0000}"/>
    <cellStyle name="Percent 2 4 3 4 2 2 2 2 2" xfId="36430" xr:uid="{00000000-0005-0000-0000-0000A07C0000}"/>
    <cellStyle name="Percent 2 4 3 4 2 2 2 3" xfId="27400" xr:uid="{00000000-0005-0000-0000-0000A17C0000}"/>
    <cellStyle name="Percent 2 4 3 4 2 2 3" xfId="11896" xr:uid="{00000000-0005-0000-0000-0000A27C0000}"/>
    <cellStyle name="Percent 2 4 3 4 2 2 3 2" xfId="31948" xr:uid="{00000000-0005-0000-0000-0000A37C0000}"/>
    <cellStyle name="Percent 2 4 3 4 2 2 4" xfId="22918" xr:uid="{00000000-0005-0000-0000-0000A47C0000}"/>
    <cellStyle name="Percent 2 4 3 4 2 3" xfId="4360" xr:uid="{00000000-0005-0000-0000-0000A57C0000}"/>
    <cellStyle name="Percent 2 4 3 4 2 3 2" xfId="8842" xr:uid="{00000000-0005-0000-0000-0000A67C0000}"/>
    <cellStyle name="Percent 2 4 3 4 2 3 2 2" xfId="17872" xr:uid="{00000000-0005-0000-0000-0000A77C0000}"/>
    <cellStyle name="Percent 2 4 3 4 2 3 2 2 2" xfId="37924" xr:uid="{00000000-0005-0000-0000-0000A87C0000}"/>
    <cellStyle name="Percent 2 4 3 4 2 3 2 3" xfId="28894" xr:uid="{00000000-0005-0000-0000-0000A97C0000}"/>
    <cellStyle name="Percent 2 4 3 4 2 3 3" xfId="13390" xr:uid="{00000000-0005-0000-0000-0000AA7C0000}"/>
    <cellStyle name="Percent 2 4 3 4 2 3 3 2" xfId="33442" xr:uid="{00000000-0005-0000-0000-0000AB7C0000}"/>
    <cellStyle name="Percent 2 4 3 4 2 3 4" xfId="24412" xr:uid="{00000000-0005-0000-0000-0000AC7C0000}"/>
    <cellStyle name="Percent 2 4 3 4 2 4" xfId="5854" xr:uid="{00000000-0005-0000-0000-0000AD7C0000}"/>
    <cellStyle name="Percent 2 4 3 4 2 4 2" xfId="14884" xr:uid="{00000000-0005-0000-0000-0000AE7C0000}"/>
    <cellStyle name="Percent 2 4 3 4 2 4 2 2" xfId="34936" xr:uid="{00000000-0005-0000-0000-0000AF7C0000}"/>
    <cellStyle name="Percent 2 4 3 4 2 4 3" xfId="25906" xr:uid="{00000000-0005-0000-0000-0000B07C0000}"/>
    <cellStyle name="Percent 2 4 3 4 2 5" xfId="10402" xr:uid="{00000000-0005-0000-0000-0000B17C0000}"/>
    <cellStyle name="Percent 2 4 3 4 2 5 2" xfId="30454" xr:uid="{00000000-0005-0000-0000-0000B27C0000}"/>
    <cellStyle name="Percent 2 4 3 4 2 6" xfId="21424" xr:uid="{00000000-0005-0000-0000-0000B37C0000}"/>
    <cellStyle name="Percent 2 4 3 4 3" xfId="2119" xr:uid="{00000000-0005-0000-0000-0000B47C0000}"/>
    <cellStyle name="Percent 2 4 3 4 3 2" xfId="6601" xr:uid="{00000000-0005-0000-0000-0000B57C0000}"/>
    <cellStyle name="Percent 2 4 3 4 3 2 2" xfId="15631" xr:uid="{00000000-0005-0000-0000-0000B67C0000}"/>
    <cellStyle name="Percent 2 4 3 4 3 2 2 2" xfId="35683" xr:uid="{00000000-0005-0000-0000-0000B77C0000}"/>
    <cellStyle name="Percent 2 4 3 4 3 2 3" xfId="26653" xr:uid="{00000000-0005-0000-0000-0000B87C0000}"/>
    <cellStyle name="Percent 2 4 3 4 3 3" xfId="11149" xr:uid="{00000000-0005-0000-0000-0000B97C0000}"/>
    <cellStyle name="Percent 2 4 3 4 3 3 2" xfId="31201" xr:uid="{00000000-0005-0000-0000-0000BA7C0000}"/>
    <cellStyle name="Percent 2 4 3 4 3 4" xfId="22171" xr:uid="{00000000-0005-0000-0000-0000BB7C0000}"/>
    <cellStyle name="Percent 2 4 3 4 4" xfId="3613" xr:uid="{00000000-0005-0000-0000-0000BC7C0000}"/>
    <cellStyle name="Percent 2 4 3 4 4 2" xfId="8095" xr:uid="{00000000-0005-0000-0000-0000BD7C0000}"/>
    <cellStyle name="Percent 2 4 3 4 4 2 2" xfId="17125" xr:uid="{00000000-0005-0000-0000-0000BE7C0000}"/>
    <cellStyle name="Percent 2 4 3 4 4 2 2 2" xfId="37177" xr:uid="{00000000-0005-0000-0000-0000BF7C0000}"/>
    <cellStyle name="Percent 2 4 3 4 4 2 3" xfId="28147" xr:uid="{00000000-0005-0000-0000-0000C07C0000}"/>
    <cellStyle name="Percent 2 4 3 4 4 3" xfId="12643" xr:uid="{00000000-0005-0000-0000-0000C17C0000}"/>
    <cellStyle name="Percent 2 4 3 4 4 3 2" xfId="32695" xr:uid="{00000000-0005-0000-0000-0000C27C0000}"/>
    <cellStyle name="Percent 2 4 3 4 4 4" xfId="23665" xr:uid="{00000000-0005-0000-0000-0000C37C0000}"/>
    <cellStyle name="Percent 2 4 3 4 5" xfId="5107" xr:uid="{00000000-0005-0000-0000-0000C47C0000}"/>
    <cellStyle name="Percent 2 4 3 4 5 2" xfId="14137" xr:uid="{00000000-0005-0000-0000-0000C57C0000}"/>
    <cellStyle name="Percent 2 4 3 4 5 2 2" xfId="34189" xr:uid="{00000000-0005-0000-0000-0000C67C0000}"/>
    <cellStyle name="Percent 2 4 3 4 5 3" xfId="25159" xr:uid="{00000000-0005-0000-0000-0000C77C0000}"/>
    <cellStyle name="Percent 2 4 3 4 6" xfId="9655" xr:uid="{00000000-0005-0000-0000-0000C87C0000}"/>
    <cellStyle name="Percent 2 4 3 4 6 2" xfId="29707" xr:uid="{00000000-0005-0000-0000-0000C97C0000}"/>
    <cellStyle name="Percent 2 4 3 4 7" xfId="20677" xr:uid="{00000000-0005-0000-0000-0000CA7C0000}"/>
    <cellStyle name="Percent 2 4 3 5" xfId="812" xr:uid="{00000000-0005-0000-0000-0000CB7C0000}"/>
    <cellStyle name="Percent 2 4 3 5 2" xfId="2306" xr:uid="{00000000-0005-0000-0000-0000CC7C0000}"/>
    <cellStyle name="Percent 2 4 3 5 2 2" xfId="6788" xr:uid="{00000000-0005-0000-0000-0000CD7C0000}"/>
    <cellStyle name="Percent 2 4 3 5 2 2 2" xfId="15818" xr:uid="{00000000-0005-0000-0000-0000CE7C0000}"/>
    <cellStyle name="Percent 2 4 3 5 2 2 2 2" xfId="35870" xr:uid="{00000000-0005-0000-0000-0000CF7C0000}"/>
    <cellStyle name="Percent 2 4 3 5 2 2 3" xfId="26840" xr:uid="{00000000-0005-0000-0000-0000D07C0000}"/>
    <cellStyle name="Percent 2 4 3 5 2 3" xfId="11336" xr:uid="{00000000-0005-0000-0000-0000D17C0000}"/>
    <cellStyle name="Percent 2 4 3 5 2 3 2" xfId="31388" xr:uid="{00000000-0005-0000-0000-0000D27C0000}"/>
    <cellStyle name="Percent 2 4 3 5 2 4" xfId="22358" xr:uid="{00000000-0005-0000-0000-0000D37C0000}"/>
    <cellStyle name="Percent 2 4 3 5 3" xfId="3800" xr:uid="{00000000-0005-0000-0000-0000D47C0000}"/>
    <cellStyle name="Percent 2 4 3 5 3 2" xfId="8282" xr:uid="{00000000-0005-0000-0000-0000D57C0000}"/>
    <cellStyle name="Percent 2 4 3 5 3 2 2" xfId="17312" xr:uid="{00000000-0005-0000-0000-0000D67C0000}"/>
    <cellStyle name="Percent 2 4 3 5 3 2 2 2" xfId="37364" xr:uid="{00000000-0005-0000-0000-0000D77C0000}"/>
    <cellStyle name="Percent 2 4 3 5 3 2 3" xfId="28334" xr:uid="{00000000-0005-0000-0000-0000D87C0000}"/>
    <cellStyle name="Percent 2 4 3 5 3 3" xfId="12830" xr:uid="{00000000-0005-0000-0000-0000D97C0000}"/>
    <cellStyle name="Percent 2 4 3 5 3 3 2" xfId="32882" xr:uid="{00000000-0005-0000-0000-0000DA7C0000}"/>
    <cellStyle name="Percent 2 4 3 5 3 4" xfId="23852" xr:uid="{00000000-0005-0000-0000-0000DB7C0000}"/>
    <cellStyle name="Percent 2 4 3 5 4" xfId="5294" xr:uid="{00000000-0005-0000-0000-0000DC7C0000}"/>
    <cellStyle name="Percent 2 4 3 5 4 2" xfId="14324" xr:uid="{00000000-0005-0000-0000-0000DD7C0000}"/>
    <cellStyle name="Percent 2 4 3 5 4 2 2" xfId="34376" xr:uid="{00000000-0005-0000-0000-0000DE7C0000}"/>
    <cellStyle name="Percent 2 4 3 5 4 3" xfId="25346" xr:uid="{00000000-0005-0000-0000-0000DF7C0000}"/>
    <cellStyle name="Percent 2 4 3 5 5" xfId="9842" xr:uid="{00000000-0005-0000-0000-0000E07C0000}"/>
    <cellStyle name="Percent 2 4 3 5 5 2" xfId="29894" xr:uid="{00000000-0005-0000-0000-0000E17C0000}"/>
    <cellStyle name="Percent 2 4 3 5 6" xfId="20864" xr:uid="{00000000-0005-0000-0000-0000E27C0000}"/>
    <cellStyle name="Percent 2 4 3 6" xfId="1561" xr:uid="{00000000-0005-0000-0000-0000E37C0000}"/>
    <cellStyle name="Percent 2 4 3 6 2" xfId="6043" xr:uid="{00000000-0005-0000-0000-0000E47C0000}"/>
    <cellStyle name="Percent 2 4 3 6 2 2" xfId="15073" xr:uid="{00000000-0005-0000-0000-0000E57C0000}"/>
    <cellStyle name="Percent 2 4 3 6 2 2 2" xfId="35125" xr:uid="{00000000-0005-0000-0000-0000E67C0000}"/>
    <cellStyle name="Percent 2 4 3 6 2 3" xfId="26095" xr:uid="{00000000-0005-0000-0000-0000E77C0000}"/>
    <cellStyle name="Percent 2 4 3 6 3" xfId="10591" xr:uid="{00000000-0005-0000-0000-0000E87C0000}"/>
    <cellStyle name="Percent 2 4 3 6 3 2" xfId="30643" xr:uid="{00000000-0005-0000-0000-0000E97C0000}"/>
    <cellStyle name="Percent 2 4 3 6 4" xfId="21613" xr:uid="{00000000-0005-0000-0000-0000EA7C0000}"/>
    <cellStyle name="Percent 2 4 3 7" xfId="3055" xr:uid="{00000000-0005-0000-0000-0000EB7C0000}"/>
    <cellStyle name="Percent 2 4 3 7 2" xfId="7537" xr:uid="{00000000-0005-0000-0000-0000EC7C0000}"/>
    <cellStyle name="Percent 2 4 3 7 2 2" xfId="16567" xr:uid="{00000000-0005-0000-0000-0000ED7C0000}"/>
    <cellStyle name="Percent 2 4 3 7 2 2 2" xfId="36619" xr:uid="{00000000-0005-0000-0000-0000EE7C0000}"/>
    <cellStyle name="Percent 2 4 3 7 2 3" xfId="27589" xr:uid="{00000000-0005-0000-0000-0000EF7C0000}"/>
    <cellStyle name="Percent 2 4 3 7 3" xfId="12085" xr:uid="{00000000-0005-0000-0000-0000F07C0000}"/>
    <cellStyle name="Percent 2 4 3 7 3 2" xfId="32137" xr:uid="{00000000-0005-0000-0000-0000F17C0000}"/>
    <cellStyle name="Percent 2 4 3 7 4" xfId="23107" xr:uid="{00000000-0005-0000-0000-0000F27C0000}"/>
    <cellStyle name="Percent 2 4 3 8" xfId="4549" xr:uid="{00000000-0005-0000-0000-0000F37C0000}"/>
    <cellStyle name="Percent 2 4 3 8 2" xfId="13579" xr:uid="{00000000-0005-0000-0000-0000F47C0000}"/>
    <cellStyle name="Percent 2 4 3 8 2 2" xfId="33631" xr:uid="{00000000-0005-0000-0000-0000F57C0000}"/>
    <cellStyle name="Percent 2 4 3 8 3" xfId="24601" xr:uid="{00000000-0005-0000-0000-0000F67C0000}"/>
    <cellStyle name="Percent 2 4 3 9" xfId="9097" xr:uid="{00000000-0005-0000-0000-0000F77C0000}"/>
    <cellStyle name="Percent 2 4 3 9 2" xfId="29149" xr:uid="{00000000-0005-0000-0000-0000F87C0000}"/>
    <cellStyle name="Percent 2 4 4" xfId="91" xr:uid="{00000000-0005-0000-0000-0000F97C0000}"/>
    <cellStyle name="Percent 2 4 4 10" xfId="20143" xr:uid="{00000000-0005-0000-0000-0000FA7C0000}"/>
    <cellStyle name="Percent 2 4 4 2" xfId="277" xr:uid="{00000000-0005-0000-0000-0000FB7C0000}"/>
    <cellStyle name="Percent 2 4 4 2 2" xfId="1021" xr:uid="{00000000-0005-0000-0000-0000FC7C0000}"/>
    <cellStyle name="Percent 2 4 4 2 2 2" xfId="2515" xr:uid="{00000000-0005-0000-0000-0000FD7C0000}"/>
    <cellStyle name="Percent 2 4 4 2 2 2 2" xfId="6997" xr:uid="{00000000-0005-0000-0000-0000FE7C0000}"/>
    <cellStyle name="Percent 2 4 4 2 2 2 2 2" xfId="16027" xr:uid="{00000000-0005-0000-0000-0000FF7C0000}"/>
    <cellStyle name="Percent 2 4 4 2 2 2 2 2 2" xfId="36079" xr:uid="{00000000-0005-0000-0000-0000007D0000}"/>
    <cellStyle name="Percent 2 4 4 2 2 2 2 3" xfId="27049" xr:uid="{00000000-0005-0000-0000-0000017D0000}"/>
    <cellStyle name="Percent 2 4 4 2 2 2 3" xfId="11545" xr:uid="{00000000-0005-0000-0000-0000027D0000}"/>
    <cellStyle name="Percent 2 4 4 2 2 2 3 2" xfId="31597" xr:uid="{00000000-0005-0000-0000-0000037D0000}"/>
    <cellStyle name="Percent 2 4 4 2 2 2 4" xfId="22567" xr:uid="{00000000-0005-0000-0000-0000047D0000}"/>
    <cellStyle name="Percent 2 4 4 2 2 3" xfId="4009" xr:uid="{00000000-0005-0000-0000-0000057D0000}"/>
    <cellStyle name="Percent 2 4 4 2 2 3 2" xfId="8491" xr:uid="{00000000-0005-0000-0000-0000067D0000}"/>
    <cellStyle name="Percent 2 4 4 2 2 3 2 2" xfId="17521" xr:uid="{00000000-0005-0000-0000-0000077D0000}"/>
    <cellStyle name="Percent 2 4 4 2 2 3 2 2 2" xfId="37573" xr:uid="{00000000-0005-0000-0000-0000087D0000}"/>
    <cellStyle name="Percent 2 4 4 2 2 3 2 3" xfId="28543" xr:uid="{00000000-0005-0000-0000-0000097D0000}"/>
    <cellStyle name="Percent 2 4 4 2 2 3 3" xfId="13039" xr:uid="{00000000-0005-0000-0000-00000A7D0000}"/>
    <cellStyle name="Percent 2 4 4 2 2 3 3 2" xfId="33091" xr:uid="{00000000-0005-0000-0000-00000B7D0000}"/>
    <cellStyle name="Percent 2 4 4 2 2 3 4" xfId="24061" xr:uid="{00000000-0005-0000-0000-00000C7D0000}"/>
    <cellStyle name="Percent 2 4 4 2 2 4" xfId="5503" xr:uid="{00000000-0005-0000-0000-00000D7D0000}"/>
    <cellStyle name="Percent 2 4 4 2 2 4 2" xfId="14533" xr:uid="{00000000-0005-0000-0000-00000E7D0000}"/>
    <cellStyle name="Percent 2 4 4 2 2 4 2 2" xfId="34585" xr:uid="{00000000-0005-0000-0000-00000F7D0000}"/>
    <cellStyle name="Percent 2 4 4 2 2 4 3" xfId="25555" xr:uid="{00000000-0005-0000-0000-0000107D0000}"/>
    <cellStyle name="Percent 2 4 4 2 2 5" xfId="10051" xr:uid="{00000000-0005-0000-0000-0000117D0000}"/>
    <cellStyle name="Percent 2 4 4 2 2 5 2" xfId="30103" xr:uid="{00000000-0005-0000-0000-0000127D0000}"/>
    <cellStyle name="Percent 2 4 4 2 2 6" xfId="21073" xr:uid="{00000000-0005-0000-0000-0000137D0000}"/>
    <cellStyle name="Percent 2 4 4 2 3" xfId="1771" xr:uid="{00000000-0005-0000-0000-0000147D0000}"/>
    <cellStyle name="Percent 2 4 4 2 3 2" xfId="6253" xr:uid="{00000000-0005-0000-0000-0000157D0000}"/>
    <cellStyle name="Percent 2 4 4 2 3 2 2" xfId="15283" xr:uid="{00000000-0005-0000-0000-0000167D0000}"/>
    <cellStyle name="Percent 2 4 4 2 3 2 2 2" xfId="35335" xr:uid="{00000000-0005-0000-0000-0000177D0000}"/>
    <cellStyle name="Percent 2 4 4 2 3 2 3" xfId="26305" xr:uid="{00000000-0005-0000-0000-0000187D0000}"/>
    <cellStyle name="Percent 2 4 4 2 3 3" xfId="10801" xr:uid="{00000000-0005-0000-0000-0000197D0000}"/>
    <cellStyle name="Percent 2 4 4 2 3 3 2" xfId="30853" xr:uid="{00000000-0005-0000-0000-00001A7D0000}"/>
    <cellStyle name="Percent 2 4 4 2 3 4" xfId="21823" xr:uid="{00000000-0005-0000-0000-00001B7D0000}"/>
    <cellStyle name="Percent 2 4 4 2 4" xfId="3265" xr:uid="{00000000-0005-0000-0000-00001C7D0000}"/>
    <cellStyle name="Percent 2 4 4 2 4 2" xfId="7747" xr:uid="{00000000-0005-0000-0000-00001D7D0000}"/>
    <cellStyle name="Percent 2 4 4 2 4 2 2" xfId="16777" xr:uid="{00000000-0005-0000-0000-00001E7D0000}"/>
    <cellStyle name="Percent 2 4 4 2 4 2 2 2" xfId="36829" xr:uid="{00000000-0005-0000-0000-00001F7D0000}"/>
    <cellStyle name="Percent 2 4 4 2 4 2 3" xfId="27799" xr:uid="{00000000-0005-0000-0000-0000207D0000}"/>
    <cellStyle name="Percent 2 4 4 2 4 3" xfId="12295" xr:uid="{00000000-0005-0000-0000-0000217D0000}"/>
    <cellStyle name="Percent 2 4 4 2 4 3 2" xfId="32347" xr:uid="{00000000-0005-0000-0000-0000227D0000}"/>
    <cellStyle name="Percent 2 4 4 2 4 4" xfId="23317" xr:uid="{00000000-0005-0000-0000-0000237D0000}"/>
    <cellStyle name="Percent 2 4 4 2 5" xfId="4759" xr:uid="{00000000-0005-0000-0000-0000247D0000}"/>
    <cellStyle name="Percent 2 4 4 2 5 2" xfId="13789" xr:uid="{00000000-0005-0000-0000-0000257D0000}"/>
    <cellStyle name="Percent 2 4 4 2 5 2 2" xfId="33841" xr:uid="{00000000-0005-0000-0000-0000267D0000}"/>
    <cellStyle name="Percent 2 4 4 2 5 3" xfId="24811" xr:uid="{00000000-0005-0000-0000-0000277D0000}"/>
    <cellStyle name="Percent 2 4 4 2 6" xfId="9307" xr:uid="{00000000-0005-0000-0000-0000287D0000}"/>
    <cellStyle name="Percent 2 4 4 2 6 2" xfId="29359" xr:uid="{00000000-0005-0000-0000-0000297D0000}"/>
    <cellStyle name="Percent 2 4 4 2 7" xfId="20329" xr:uid="{00000000-0005-0000-0000-00002A7D0000}"/>
    <cellStyle name="Percent 2 4 4 3" xfId="463" xr:uid="{00000000-0005-0000-0000-00002B7D0000}"/>
    <cellStyle name="Percent 2 4 4 3 2" xfId="1210" xr:uid="{00000000-0005-0000-0000-00002C7D0000}"/>
    <cellStyle name="Percent 2 4 4 3 2 2" xfId="2704" xr:uid="{00000000-0005-0000-0000-00002D7D0000}"/>
    <cellStyle name="Percent 2 4 4 3 2 2 2" xfId="7186" xr:uid="{00000000-0005-0000-0000-00002E7D0000}"/>
    <cellStyle name="Percent 2 4 4 3 2 2 2 2" xfId="16216" xr:uid="{00000000-0005-0000-0000-00002F7D0000}"/>
    <cellStyle name="Percent 2 4 4 3 2 2 2 2 2" xfId="36268" xr:uid="{00000000-0005-0000-0000-0000307D0000}"/>
    <cellStyle name="Percent 2 4 4 3 2 2 2 3" xfId="27238" xr:uid="{00000000-0005-0000-0000-0000317D0000}"/>
    <cellStyle name="Percent 2 4 4 3 2 2 3" xfId="11734" xr:uid="{00000000-0005-0000-0000-0000327D0000}"/>
    <cellStyle name="Percent 2 4 4 3 2 2 3 2" xfId="31786" xr:uid="{00000000-0005-0000-0000-0000337D0000}"/>
    <cellStyle name="Percent 2 4 4 3 2 2 4" xfId="22756" xr:uid="{00000000-0005-0000-0000-0000347D0000}"/>
    <cellStyle name="Percent 2 4 4 3 2 3" xfId="4198" xr:uid="{00000000-0005-0000-0000-0000357D0000}"/>
    <cellStyle name="Percent 2 4 4 3 2 3 2" xfId="8680" xr:uid="{00000000-0005-0000-0000-0000367D0000}"/>
    <cellStyle name="Percent 2 4 4 3 2 3 2 2" xfId="17710" xr:uid="{00000000-0005-0000-0000-0000377D0000}"/>
    <cellStyle name="Percent 2 4 4 3 2 3 2 2 2" xfId="37762" xr:uid="{00000000-0005-0000-0000-0000387D0000}"/>
    <cellStyle name="Percent 2 4 4 3 2 3 2 3" xfId="28732" xr:uid="{00000000-0005-0000-0000-0000397D0000}"/>
    <cellStyle name="Percent 2 4 4 3 2 3 3" xfId="13228" xr:uid="{00000000-0005-0000-0000-00003A7D0000}"/>
    <cellStyle name="Percent 2 4 4 3 2 3 3 2" xfId="33280" xr:uid="{00000000-0005-0000-0000-00003B7D0000}"/>
    <cellStyle name="Percent 2 4 4 3 2 3 4" xfId="24250" xr:uid="{00000000-0005-0000-0000-00003C7D0000}"/>
    <cellStyle name="Percent 2 4 4 3 2 4" xfId="5692" xr:uid="{00000000-0005-0000-0000-00003D7D0000}"/>
    <cellStyle name="Percent 2 4 4 3 2 4 2" xfId="14722" xr:uid="{00000000-0005-0000-0000-00003E7D0000}"/>
    <cellStyle name="Percent 2 4 4 3 2 4 2 2" xfId="34774" xr:uid="{00000000-0005-0000-0000-00003F7D0000}"/>
    <cellStyle name="Percent 2 4 4 3 2 4 3" xfId="25744" xr:uid="{00000000-0005-0000-0000-0000407D0000}"/>
    <cellStyle name="Percent 2 4 4 3 2 5" xfId="10240" xr:uid="{00000000-0005-0000-0000-0000417D0000}"/>
    <cellStyle name="Percent 2 4 4 3 2 5 2" xfId="30292" xr:uid="{00000000-0005-0000-0000-0000427D0000}"/>
    <cellStyle name="Percent 2 4 4 3 2 6" xfId="21262" xr:uid="{00000000-0005-0000-0000-0000437D0000}"/>
    <cellStyle name="Percent 2 4 4 3 3" xfId="1957" xr:uid="{00000000-0005-0000-0000-0000447D0000}"/>
    <cellStyle name="Percent 2 4 4 3 3 2" xfId="6439" xr:uid="{00000000-0005-0000-0000-0000457D0000}"/>
    <cellStyle name="Percent 2 4 4 3 3 2 2" xfId="15469" xr:uid="{00000000-0005-0000-0000-0000467D0000}"/>
    <cellStyle name="Percent 2 4 4 3 3 2 2 2" xfId="35521" xr:uid="{00000000-0005-0000-0000-0000477D0000}"/>
    <cellStyle name="Percent 2 4 4 3 3 2 3" xfId="26491" xr:uid="{00000000-0005-0000-0000-0000487D0000}"/>
    <cellStyle name="Percent 2 4 4 3 3 3" xfId="10987" xr:uid="{00000000-0005-0000-0000-0000497D0000}"/>
    <cellStyle name="Percent 2 4 4 3 3 3 2" xfId="31039" xr:uid="{00000000-0005-0000-0000-00004A7D0000}"/>
    <cellStyle name="Percent 2 4 4 3 3 4" xfId="22009" xr:uid="{00000000-0005-0000-0000-00004B7D0000}"/>
    <cellStyle name="Percent 2 4 4 3 4" xfId="3451" xr:uid="{00000000-0005-0000-0000-00004C7D0000}"/>
    <cellStyle name="Percent 2 4 4 3 4 2" xfId="7933" xr:uid="{00000000-0005-0000-0000-00004D7D0000}"/>
    <cellStyle name="Percent 2 4 4 3 4 2 2" xfId="16963" xr:uid="{00000000-0005-0000-0000-00004E7D0000}"/>
    <cellStyle name="Percent 2 4 4 3 4 2 2 2" xfId="37015" xr:uid="{00000000-0005-0000-0000-00004F7D0000}"/>
    <cellStyle name="Percent 2 4 4 3 4 2 3" xfId="27985" xr:uid="{00000000-0005-0000-0000-0000507D0000}"/>
    <cellStyle name="Percent 2 4 4 3 4 3" xfId="12481" xr:uid="{00000000-0005-0000-0000-0000517D0000}"/>
    <cellStyle name="Percent 2 4 4 3 4 3 2" xfId="32533" xr:uid="{00000000-0005-0000-0000-0000527D0000}"/>
    <cellStyle name="Percent 2 4 4 3 4 4" xfId="23503" xr:uid="{00000000-0005-0000-0000-0000537D0000}"/>
    <cellStyle name="Percent 2 4 4 3 5" xfId="4945" xr:uid="{00000000-0005-0000-0000-0000547D0000}"/>
    <cellStyle name="Percent 2 4 4 3 5 2" xfId="13975" xr:uid="{00000000-0005-0000-0000-0000557D0000}"/>
    <cellStyle name="Percent 2 4 4 3 5 2 2" xfId="34027" xr:uid="{00000000-0005-0000-0000-0000567D0000}"/>
    <cellStyle name="Percent 2 4 4 3 5 3" xfId="24997" xr:uid="{00000000-0005-0000-0000-0000577D0000}"/>
    <cellStyle name="Percent 2 4 4 3 6" xfId="9493" xr:uid="{00000000-0005-0000-0000-0000587D0000}"/>
    <cellStyle name="Percent 2 4 4 3 6 2" xfId="29545" xr:uid="{00000000-0005-0000-0000-0000597D0000}"/>
    <cellStyle name="Percent 2 4 4 3 7" xfId="20515" xr:uid="{00000000-0005-0000-0000-00005A7D0000}"/>
    <cellStyle name="Percent 2 4 4 4" xfId="649" xr:uid="{00000000-0005-0000-0000-00005B7D0000}"/>
    <cellStyle name="Percent 2 4 4 4 2" xfId="1396" xr:uid="{00000000-0005-0000-0000-00005C7D0000}"/>
    <cellStyle name="Percent 2 4 4 4 2 2" xfId="2890" xr:uid="{00000000-0005-0000-0000-00005D7D0000}"/>
    <cellStyle name="Percent 2 4 4 4 2 2 2" xfId="7372" xr:uid="{00000000-0005-0000-0000-00005E7D0000}"/>
    <cellStyle name="Percent 2 4 4 4 2 2 2 2" xfId="16402" xr:uid="{00000000-0005-0000-0000-00005F7D0000}"/>
    <cellStyle name="Percent 2 4 4 4 2 2 2 2 2" xfId="36454" xr:uid="{00000000-0005-0000-0000-0000607D0000}"/>
    <cellStyle name="Percent 2 4 4 4 2 2 2 3" xfId="27424" xr:uid="{00000000-0005-0000-0000-0000617D0000}"/>
    <cellStyle name="Percent 2 4 4 4 2 2 3" xfId="11920" xr:uid="{00000000-0005-0000-0000-0000627D0000}"/>
    <cellStyle name="Percent 2 4 4 4 2 2 3 2" xfId="31972" xr:uid="{00000000-0005-0000-0000-0000637D0000}"/>
    <cellStyle name="Percent 2 4 4 4 2 2 4" xfId="22942" xr:uid="{00000000-0005-0000-0000-0000647D0000}"/>
    <cellStyle name="Percent 2 4 4 4 2 3" xfId="4384" xr:uid="{00000000-0005-0000-0000-0000657D0000}"/>
    <cellStyle name="Percent 2 4 4 4 2 3 2" xfId="8866" xr:uid="{00000000-0005-0000-0000-0000667D0000}"/>
    <cellStyle name="Percent 2 4 4 4 2 3 2 2" xfId="17896" xr:uid="{00000000-0005-0000-0000-0000677D0000}"/>
    <cellStyle name="Percent 2 4 4 4 2 3 2 2 2" xfId="37948" xr:uid="{00000000-0005-0000-0000-0000687D0000}"/>
    <cellStyle name="Percent 2 4 4 4 2 3 2 3" xfId="28918" xr:uid="{00000000-0005-0000-0000-0000697D0000}"/>
    <cellStyle name="Percent 2 4 4 4 2 3 3" xfId="13414" xr:uid="{00000000-0005-0000-0000-00006A7D0000}"/>
    <cellStyle name="Percent 2 4 4 4 2 3 3 2" xfId="33466" xr:uid="{00000000-0005-0000-0000-00006B7D0000}"/>
    <cellStyle name="Percent 2 4 4 4 2 3 4" xfId="24436" xr:uid="{00000000-0005-0000-0000-00006C7D0000}"/>
    <cellStyle name="Percent 2 4 4 4 2 4" xfId="5878" xr:uid="{00000000-0005-0000-0000-00006D7D0000}"/>
    <cellStyle name="Percent 2 4 4 4 2 4 2" xfId="14908" xr:uid="{00000000-0005-0000-0000-00006E7D0000}"/>
    <cellStyle name="Percent 2 4 4 4 2 4 2 2" xfId="34960" xr:uid="{00000000-0005-0000-0000-00006F7D0000}"/>
    <cellStyle name="Percent 2 4 4 4 2 4 3" xfId="25930" xr:uid="{00000000-0005-0000-0000-0000707D0000}"/>
    <cellStyle name="Percent 2 4 4 4 2 5" xfId="10426" xr:uid="{00000000-0005-0000-0000-0000717D0000}"/>
    <cellStyle name="Percent 2 4 4 4 2 5 2" xfId="30478" xr:uid="{00000000-0005-0000-0000-0000727D0000}"/>
    <cellStyle name="Percent 2 4 4 4 2 6" xfId="21448" xr:uid="{00000000-0005-0000-0000-0000737D0000}"/>
    <cellStyle name="Percent 2 4 4 4 3" xfId="2143" xr:uid="{00000000-0005-0000-0000-0000747D0000}"/>
    <cellStyle name="Percent 2 4 4 4 3 2" xfId="6625" xr:uid="{00000000-0005-0000-0000-0000757D0000}"/>
    <cellStyle name="Percent 2 4 4 4 3 2 2" xfId="15655" xr:uid="{00000000-0005-0000-0000-0000767D0000}"/>
    <cellStyle name="Percent 2 4 4 4 3 2 2 2" xfId="35707" xr:uid="{00000000-0005-0000-0000-0000777D0000}"/>
    <cellStyle name="Percent 2 4 4 4 3 2 3" xfId="26677" xr:uid="{00000000-0005-0000-0000-0000787D0000}"/>
    <cellStyle name="Percent 2 4 4 4 3 3" xfId="11173" xr:uid="{00000000-0005-0000-0000-0000797D0000}"/>
    <cellStyle name="Percent 2 4 4 4 3 3 2" xfId="31225" xr:uid="{00000000-0005-0000-0000-00007A7D0000}"/>
    <cellStyle name="Percent 2 4 4 4 3 4" xfId="22195" xr:uid="{00000000-0005-0000-0000-00007B7D0000}"/>
    <cellStyle name="Percent 2 4 4 4 4" xfId="3637" xr:uid="{00000000-0005-0000-0000-00007C7D0000}"/>
    <cellStyle name="Percent 2 4 4 4 4 2" xfId="8119" xr:uid="{00000000-0005-0000-0000-00007D7D0000}"/>
    <cellStyle name="Percent 2 4 4 4 4 2 2" xfId="17149" xr:uid="{00000000-0005-0000-0000-00007E7D0000}"/>
    <cellStyle name="Percent 2 4 4 4 4 2 2 2" xfId="37201" xr:uid="{00000000-0005-0000-0000-00007F7D0000}"/>
    <cellStyle name="Percent 2 4 4 4 4 2 3" xfId="28171" xr:uid="{00000000-0005-0000-0000-0000807D0000}"/>
    <cellStyle name="Percent 2 4 4 4 4 3" xfId="12667" xr:uid="{00000000-0005-0000-0000-0000817D0000}"/>
    <cellStyle name="Percent 2 4 4 4 4 3 2" xfId="32719" xr:uid="{00000000-0005-0000-0000-0000827D0000}"/>
    <cellStyle name="Percent 2 4 4 4 4 4" xfId="23689" xr:uid="{00000000-0005-0000-0000-0000837D0000}"/>
    <cellStyle name="Percent 2 4 4 4 5" xfId="5131" xr:uid="{00000000-0005-0000-0000-0000847D0000}"/>
    <cellStyle name="Percent 2 4 4 4 5 2" xfId="14161" xr:uid="{00000000-0005-0000-0000-0000857D0000}"/>
    <cellStyle name="Percent 2 4 4 4 5 2 2" xfId="34213" xr:uid="{00000000-0005-0000-0000-0000867D0000}"/>
    <cellStyle name="Percent 2 4 4 4 5 3" xfId="25183" xr:uid="{00000000-0005-0000-0000-0000877D0000}"/>
    <cellStyle name="Percent 2 4 4 4 6" xfId="9679" xr:uid="{00000000-0005-0000-0000-0000887D0000}"/>
    <cellStyle name="Percent 2 4 4 4 6 2" xfId="29731" xr:uid="{00000000-0005-0000-0000-0000897D0000}"/>
    <cellStyle name="Percent 2 4 4 4 7" xfId="20701" xr:uid="{00000000-0005-0000-0000-00008A7D0000}"/>
    <cellStyle name="Percent 2 4 4 5" xfId="836" xr:uid="{00000000-0005-0000-0000-00008B7D0000}"/>
    <cellStyle name="Percent 2 4 4 5 2" xfId="2330" xr:uid="{00000000-0005-0000-0000-00008C7D0000}"/>
    <cellStyle name="Percent 2 4 4 5 2 2" xfId="6812" xr:uid="{00000000-0005-0000-0000-00008D7D0000}"/>
    <cellStyle name="Percent 2 4 4 5 2 2 2" xfId="15842" xr:uid="{00000000-0005-0000-0000-00008E7D0000}"/>
    <cellStyle name="Percent 2 4 4 5 2 2 2 2" xfId="35894" xr:uid="{00000000-0005-0000-0000-00008F7D0000}"/>
    <cellStyle name="Percent 2 4 4 5 2 2 3" xfId="26864" xr:uid="{00000000-0005-0000-0000-0000907D0000}"/>
    <cellStyle name="Percent 2 4 4 5 2 3" xfId="11360" xr:uid="{00000000-0005-0000-0000-0000917D0000}"/>
    <cellStyle name="Percent 2 4 4 5 2 3 2" xfId="31412" xr:uid="{00000000-0005-0000-0000-0000927D0000}"/>
    <cellStyle name="Percent 2 4 4 5 2 4" xfId="22382" xr:uid="{00000000-0005-0000-0000-0000937D0000}"/>
    <cellStyle name="Percent 2 4 4 5 3" xfId="3824" xr:uid="{00000000-0005-0000-0000-0000947D0000}"/>
    <cellStyle name="Percent 2 4 4 5 3 2" xfId="8306" xr:uid="{00000000-0005-0000-0000-0000957D0000}"/>
    <cellStyle name="Percent 2 4 4 5 3 2 2" xfId="17336" xr:uid="{00000000-0005-0000-0000-0000967D0000}"/>
    <cellStyle name="Percent 2 4 4 5 3 2 2 2" xfId="37388" xr:uid="{00000000-0005-0000-0000-0000977D0000}"/>
    <cellStyle name="Percent 2 4 4 5 3 2 3" xfId="28358" xr:uid="{00000000-0005-0000-0000-0000987D0000}"/>
    <cellStyle name="Percent 2 4 4 5 3 3" xfId="12854" xr:uid="{00000000-0005-0000-0000-0000997D0000}"/>
    <cellStyle name="Percent 2 4 4 5 3 3 2" xfId="32906" xr:uid="{00000000-0005-0000-0000-00009A7D0000}"/>
    <cellStyle name="Percent 2 4 4 5 3 4" xfId="23876" xr:uid="{00000000-0005-0000-0000-00009B7D0000}"/>
    <cellStyle name="Percent 2 4 4 5 4" xfId="5318" xr:uid="{00000000-0005-0000-0000-00009C7D0000}"/>
    <cellStyle name="Percent 2 4 4 5 4 2" xfId="14348" xr:uid="{00000000-0005-0000-0000-00009D7D0000}"/>
    <cellStyle name="Percent 2 4 4 5 4 2 2" xfId="34400" xr:uid="{00000000-0005-0000-0000-00009E7D0000}"/>
    <cellStyle name="Percent 2 4 4 5 4 3" xfId="25370" xr:uid="{00000000-0005-0000-0000-00009F7D0000}"/>
    <cellStyle name="Percent 2 4 4 5 5" xfId="9866" xr:uid="{00000000-0005-0000-0000-0000A07D0000}"/>
    <cellStyle name="Percent 2 4 4 5 5 2" xfId="29918" xr:uid="{00000000-0005-0000-0000-0000A17D0000}"/>
    <cellStyle name="Percent 2 4 4 5 6" xfId="20888" xr:uid="{00000000-0005-0000-0000-0000A27D0000}"/>
    <cellStyle name="Percent 2 4 4 6" xfId="1585" xr:uid="{00000000-0005-0000-0000-0000A37D0000}"/>
    <cellStyle name="Percent 2 4 4 6 2" xfId="6067" xr:uid="{00000000-0005-0000-0000-0000A47D0000}"/>
    <cellStyle name="Percent 2 4 4 6 2 2" xfId="15097" xr:uid="{00000000-0005-0000-0000-0000A57D0000}"/>
    <cellStyle name="Percent 2 4 4 6 2 2 2" xfId="35149" xr:uid="{00000000-0005-0000-0000-0000A67D0000}"/>
    <cellStyle name="Percent 2 4 4 6 2 3" xfId="26119" xr:uid="{00000000-0005-0000-0000-0000A77D0000}"/>
    <cellStyle name="Percent 2 4 4 6 3" xfId="10615" xr:uid="{00000000-0005-0000-0000-0000A87D0000}"/>
    <cellStyle name="Percent 2 4 4 6 3 2" xfId="30667" xr:uid="{00000000-0005-0000-0000-0000A97D0000}"/>
    <cellStyle name="Percent 2 4 4 6 4" xfId="21637" xr:uid="{00000000-0005-0000-0000-0000AA7D0000}"/>
    <cellStyle name="Percent 2 4 4 7" xfId="3079" xr:uid="{00000000-0005-0000-0000-0000AB7D0000}"/>
    <cellStyle name="Percent 2 4 4 7 2" xfId="7561" xr:uid="{00000000-0005-0000-0000-0000AC7D0000}"/>
    <cellStyle name="Percent 2 4 4 7 2 2" xfId="16591" xr:uid="{00000000-0005-0000-0000-0000AD7D0000}"/>
    <cellStyle name="Percent 2 4 4 7 2 2 2" xfId="36643" xr:uid="{00000000-0005-0000-0000-0000AE7D0000}"/>
    <cellStyle name="Percent 2 4 4 7 2 3" xfId="27613" xr:uid="{00000000-0005-0000-0000-0000AF7D0000}"/>
    <cellStyle name="Percent 2 4 4 7 3" xfId="12109" xr:uid="{00000000-0005-0000-0000-0000B07D0000}"/>
    <cellStyle name="Percent 2 4 4 7 3 2" xfId="32161" xr:uid="{00000000-0005-0000-0000-0000B17D0000}"/>
    <cellStyle name="Percent 2 4 4 7 4" xfId="23131" xr:uid="{00000000-0005-0000-0000-0000B27D0000}"/>
    <cellStyle name="Percent 2 4 4 8" xfId="4573" xr:uid="{00000000-0005-0000-0000-0000B37D0000}"/>
    <cellStyle name="Percent 2 4 4 8 2" xfId="13603" xr:uid="{00000000-0005-0000-0000-0000B47D0000}"/>
    <cellStyle name="Percent 2 4 4 8 2 2" xfId="33655" xr:uid="{00000000-0005-0000-0000-0000B57D0000}"/>
    <cellStyle name="Percent 2 4 4 8 3" xfId="24625" xr:uid="{00000000-0005-0000-0000-0000B67D0000}"/>
    <cellStyle name="Percent 2 4 4 9" xfId="9121" xr:uid="{00000000-0005-0000-0000-0000B77D0000}"/>
    <cellStyle name="Percent 2 4 4 9 2" xfId="29173" xr:uid="{00000000-0005-0000-0000-0000B87D0000}"/>
    <cellStyle name="Percent 2 4 5" xfId="120" xr:uid="{00000000-0005-0000-0000-0000B97D0000}"/>
    <cellStyle name="Percent 2 4 5 10" xfId="20172" xr:uid="{00000000-0005-0000-0000-0000BA7D0000}"/>
    <cellStyle name="Percent 2 4 5 2" xfId="306" xr:uid="{00000000-0005-0000-0000-0000BB7D0000}"/>
    <cellStyle name="Percent 2 4 5 2 2" xfId="1049" xr:uid="{00000000-0005-0000-0000-0000BC7D0000}"/>
    <cellStyle name="Percent 2 4 5 2 2 2" xfId="2543" xr:uid="{00000000-0005-0000-0000-0000BD7D0000}"/>
    <cellStyle name="Percent 2 4 5 2 2 2 2" xfId="7025" xr:uid="{00000000-0005-0000-0000-0000BE7D0000}"/>
    <cellStyle name="Percent 2 4 5 2 2 2 2 2" xfId="16055" xr:uid="{00000000-0005-0000-0000-0000BF7D0000}"/>
    <cellStyle name="Percent 2 4 5 2 2 2 2 2 2" xfId="36107" xr:uid="{00000000-0005-0000-0000-0000C07D0000}"/>
    <cellStyle name="Percent 2 4 5 2 2 2 2 3" xfId="27077" xr:uid="{00000000-0005-0000-0000-0000C17D0000}"/>
    <cellStyle name="Percent 2 4 5 2 2 2 3" xfId="11573" xr:uid="{00000000-0005-0000-0000-0000C27D0000}"/>
    <cellStyle name="Percent 2 4 5 2 2 2 3 2" xfId="31625" xr:uid="{00000000-0005-0000-0000-0000C37D0000}"/>
    <cellStyle name="Percent 2 4 5 2 2 2 4" xfId="22595" xr:uid="{00000000-0005-0000-0000-0000C47D0000}"/>
    <cellStyle name="Percent 2 4 5 2 2 3" xfId="4037" xr:uid="{00000000-0005-0000-0000-0000C57D0000}"/>
    <cellStyle name="Percent 2 4 5 2 2 3 2" xfId="8519" xr:uid="{00000000-0005-0000-0000-0000C67D0000}"/>
    <cellStyle name="Percent 2 4 5 2 2 3 2 2" xfId="17549" xr:uid="{00000000-0005-0000-0000-0000C77D0000}"/>
    <cellStyle name="Percent 2 4 5 2 2 3 2 2 2" xfId="37601" xr:uid="{00000000-0005-0000-0000-0000C87D0000}"/>
    <cellStyle name="Percent 2 4 5 2 2 3 2 3" xfId="28571" xr:uid="{00000000-0005-0000-0000-0000C97D0000}"/>
    <cellStyle name="Percent 2 4 5 2 2 3 3" xfId="13067" xr:uid="{00000000-0005-0000-0000-0000CA7D0000}"/>
    <cellStyle name="Percent 2 4 5 2 2 3 3 2" xfId="33119" xr:uid="{00000000-0005-0000-0000-0000CB7D0000}"/>
    <cellStyle name="Percent 2 4 5 2 2 3 4" xfId="24089" xr:uid="{00000000-0005-0000-0000-0000CC7D0000}"/>
    <cellStyle name="Percent 2 4 5 2 2 4" xfId="5531" xr:uid="{00000000-0005-0000-0000-0000CD7D0000}"/>
    <cellStyle name="Percent 2 4 5 2 2 4 2" xfId="14561" xr:uid="{00000000-0005-0000-0000-0000CE7D0000}"/>
    <cellStyle name="Percent 2 4 5 2 2 4 2 2" xfId="34613" xr:uid="{00000000-0005-0000-0000-0000CF7D0000}"/>
    <cellStyle name="Percent 2 4 5 2 2 4 3" xfId="25583" xr:uid="{00000000-0005-0000-0000-0000D07D0000}"/>
    <cellStyle name="Percent 2 4 5 2 2 5" xfId="10079" xr:uid="{00000000-0005-0000-0000-0000D17D0000}"/>
    <cellStyle name="Percent 2 4 5 2 2 5 2" xfId="30131" xr:uid="{00000000-0005-0000-0000-0000D27D0000}"/>
    <cellStyle name="Percent 2 4 5 2 2 6" xfId="21101" xr:uid="{00000000-0005-0000-0000-0000D37D0000}"/>
    <cellStyle name="Percent 2 4 5 2 3" xfId="1800" xr:uid="{00000000-0005-0000-0000-0000D47D0000}"/>
    <cellStyle name="Percent 2 4 5 2 3 2" xfId="6282" xr:uid="{00000000-0005-0000-0000-0000D57D0000}"/>
    <cellStyle name="Percent 2 4 5 2 3 2 2" xfId="15312" xr:uid="{00000000-0005-0000-0000-0000D67D0000}"/>
    <cellStyle name="Percent 2 4 5 2 3 2 2 2" xfId="35364" xr:uid="{00000000-0005-0000-0000-0000D77D0000}"/>
    <cellStyle name="Percent 2 4 5 2 3 2 3" xfId="26334" xr:uid="{00000000-0005-0000-0000-0000D87D0000}"/>
    <cellStyle name="Percent 2 4 5 2 3 3" xfId="10830" xr:uid="{00000000-0005-0000-0000-0000D97D0000}"/>
    <cellStyle name="Percent 2 4 5 2 3 3 2" xfId="30882" xr:uid="{00000000-0005-0000-0000-0000DA7D0000}"/>
    <cellStyle name="Percent 2 4 5 2 3 4" xfId="21852" xr:uid="{00000000-0005-0000-0000-0000DB7D0000}"/>
    <cellStyle name="Percent 2 4 5 2 4" xfId="3294" xr:uid="{00000000-0005-0000-0000-0000DC7D0000}"/>
    <cellStyle name="Percent 2 4 5 2 4 2" xfId="7776" xr:uid="{00000000-0005-0000-0000-0000DD7D0000}"/>
    <cellStyle name="Percent 2 4 5 2 4 2 2" xfId="16806" xr:uid="{00000000-0005-0000-0000-0000DE7D0000}"/>
    <cellStyle name="Percent 2 4 5 2 4 2 2 2" xfId="36858" xr:uid="{00000000-0005-0000-0000-0000DF7D0000}"/>
    <cellStyle name="Percent 2 4 5 2 4 2 3" xfId="27828" xr:uid="{00000000-0005-0000-0000-0000E07D0000}"/>
    <cellStyle name="Percent 2 4 5 2 4 3" xfId="12324" xr:uid="{00000000-0005-0000-0000-0000E17D0000}"/>
    <cellStyle name="Percent 2 4 5 2 4 3 2" xfId="32376" xr:uid="{00000000-0005-0000-0000-0000E27D0000}"/>
    <cellStyle name="Percent 2 4 5 2 4 4" xfId="23346" xr:uid="{00000000-0005-0000-0000-0000E37D0000}"/>
    <cellStyle name="Percent 2 4 5 2 5" xfId="4788" xr:uid="{00000000-0005-0000-0000-0000E47D0000}"/>
    <cellStyle name="Percent 2 4 5 2 5 2" xfId="13818" xr:uid="{00000000-0005-0000-0000-0000E57D0000}"/>
    <cellStyle name="Percent 2 4 5 2 5 2 2" xfId="33870" xr:uid="{00000000-0005-0000-0000-0000E67D0000}"/>
    <cellStyle name="Percent 2 4 5 2 5 3" xfId="24840" xr:uid="{00000000-0005-0000-0000-0000E77D0000}"/>
    <cellStyle name="Percent 2 4 5 2 6" xfId="9336" xr:uid="{00000000-0005-0000-0000-0000E87D0000}"/>
    <cellStyle name="Percent 2 4 5 2 6 2" xfId="29388" xr:uid="{00000000-0005-0000-0000-0000E97D0000}"/>
    <cellStyle name="Percent 2 4 5 2 7" xfId="20358" xr:uid="{00000000-0005-0000-0000-0000EA7D0000}"/>
    <cellStyle name="Percent 2 4 5 3" xfId="492" xr:uid="{00000000-0005-0000-0000-0000EB7D0000}"/>
    <cellStyle name="Percent 2 4 5 3 2" xfId="1239" xr:uid="{00000000-0005-0000-0000-0000EC7D0000}"/>
    <cellStyle name="Percent 2 4 5 3 2 2" xfId="2733" xr:uid="{00000000-0005-0000-0000-0000ED7D0000}"/>
    <cellStyle name="Percent 2 4 5 3 2 2 2" xfId="7215" xr:uid="{00000000-0005-0000-0000-0000EE7D0000}"/>
    <cellStyle name="Percent 2 4 5 3 2 2 2 2" xfId="16245" xr:uid="{00000000-0005-0000-0000-0000EF7D0000}"/>
    <cellStyle name="Percent 2 4 5 3 2 2 2 2 2" xfId="36297" xr:uid="{00000000-0005-0000-0000-0000F07D0000}"/>
    <cellStyle name="Percent 2 4 5 3 2 2 2 3" xfId="27267" xr:uid="{00000000-0005-0000-0000-0000F17D0000}"/>
    <cellStyle name="Percent 2 4 5 3 2 2 3" xfId="11763" xr:uid="{00000000-0005-0000-0000-0000F27D0000}"/>
    <cellStyle name="Percent 2 4 5 3 2 2 3 2" xfId="31815" xr:uid="{00000000-0005-0000-0000-0000F37D0000}"/>
    <cellStyle name="Percent 2 4 5 3 2 2 4" xfId="22785" xr:uid="{00000000-0005-0000-0000-0000F47D0000}"/>
    <cellStyle name="Percent 2 4 5 3 2 3" xfId="4227" xr:uid="{00000000-0005-0000-0000-0000F57D0000}"/>
    <cellStyle name="Percent 2 4 5 3 2 3 2" xfId="8709" xr:uid="{00000000-0005-0000-0000-0000F67D0000}"/>
    <cellStyle name="Percent 2 4 5 3 2 3 2 2" xfId="17739" xr:uid="{00000000-0005-0000-0000-0000F77D0000}"/>
    <cellStyle name="Percent 2 4 5 3 2 3 2 2 2" xfId="37791" xr:uid="{00000000-0005-0000-0000-0000F87D0000}"/>
    <cellStyle name="Percent 2 4 5 3 2 3 2 3" xfId="28761" xr:uid="{00000000-0005-0000-0000-0000F97D0000}"/>
    <cellStyle name="Percent 2 4 5 3 2 3 3" xfId="13257" xr:uid="{00000000-0005-0000-0000-0000FA7D0000}"/>
    <cellStyle name="Percent 2 4 5 3 2 3 3 2" xfId="33309" xr:uid="{00000000-0005-0000-0000-0000FB7D0000}"/>
    <cellStyle name="Percent 2 4 5 3 2 3 4" xfId="24279" xr:uid="{00000000-0005-0000-0000-0000FC7D0000}"/>
    <cellStyle name="Percent 2 4 5 3 2 4" xfId="5721" xr:uid="{00000000-0005-0000-0000-0000FD7D0000}"/>
    <cellStyle name="Percent 2 4 5 3 2 4 2" xfId="14751" xr:uid="{00000000-0005-0000-0000-0000FE7D0000}"/>
    <cellStyle name="Percent 2 4 5 3 2 4 2 2" xfId="34803" xr:uid="{00000000-0005-0000-0000-0000FF7D0000}"/>
    <cellStyle name="Percent 2 4 5 3 2 4 3" xfId="25773" xr:uid="{00000000-0005-0000-0000-0000007E0000}"/>
    <cellStyle name="Percent 2 4 5 3 2 5" xfId="10269" xr:uid="{00000000-0005-0000-0000-0000017E0000}"/>
    <cellStyle name="Percent 2 4 5 3 2 5 2" xfId="30321" xr:uid="{00000000-0005-0000-0000-0000027E0000}"/>
    <cellStyle name="Percent 2 4 5 3 2 6" xfId="21291" xr:uid="{00000000-0005-0000-0000-0000037E0000}"/>
    <cellStyle name="Percent 2 4 5 3 3" xfId="1986" xr:uid="{00000000-0005-0000-0000-0000047E0000}"/>
    <cellStyle name="Percent 2 4 5 3 3 2" xfId="6468" xr:uid="{00000000-0005-0000-0000-0000057E0000}"/>
    <cellStyle name="Percent 2 4 5 3 3 2 2" xfId="15498" xr:uid="{00000000-0005-0000-0000-0000067E0000}"/>
    <cellStyle name="Percent 2 4 5 3 3 2 2 2" xfId="35550" xr:uid="{00000000-0005-0000-0000-0000077E0000}"/>
    <cellStyle name="Percent 2 4 5 3 3 2 3" xfId="26520" xr:uid="{00000000-0005-0000-0000-0000087E0000}"/>
    <cellStyle name="Percent 2 4 5 3 3 3" xfId="11016" xr:uid="{00000000-0005-0000-0000-0000097E0000}"/>
    <cellStyle name="Percent 2 4 5 3 3 3 2" xfId="31068" xr:uid="{00000000-0005-0000-0000-00000A7E0000}"/>
    <cellStyle name="Percent 2 4 5 3 3 4" xfId="22038" xr:uid="{00000000-0005-0000-0000-00000B7E0000}"/>
    <cellStyle name="Percent 2 4 5 3 4" xfId="3480" xr:uid="{00000000-0005-0000-0000-00000C7E0000}"/>
    <cellStyle name="Percent 2 4 5 3 4 2" xfId="7962" xr:uid="{00000000-0005-0000-0000-00000D7E0000}"/>
    <cellStyle name="Percent 2 4 5 3 4 2 2" xfId="16992" xr:uid="{00000000-0005-0000-0000-00000E7E0000}"/>
    <cellStyle name="Percent 2 4 5 3 4 2 2 2" xfId="37044" xr:uid="{00000000-0005-0000-0000-00000F7E0000}"/>
    <cellStyle name="Percent 2 4 5 3 4 2 3" xfId="28014" xr:uid="{00000000-0005-0000-0000-0000107E0000}"/>
    <cellStyle name="Percent 2 4 5 3 4 3" xfId="12510" xr:uid="{00000000-0005-0000-0000-0000117E0000}"/>
    <cellStyle name="Percent 2 4 5 3 4 3 2" xfId="32562" xr:uid="{00000000-0005-0000-0000-0000127E0000}"/>
    <cellStyle name="Percent 2 4 5 3 4 4" xfId="23532" xr:uid="{00000000-0005-0000-0000-0000137E0000}"/>
    <cellStyle name="Percent 2 4 5 3 5" xfId="4974" xr:uid="{00000000-0005-0000-0000-0000147E0000}"/>
    <cellStyle name="Percent 2 4 5 3 5 2" xfId="14004" xr:uid="{00000000-0005-0000-0000-0000157E0000}"/>
    <cellStyle name="Percent 2 4 5 3 5 2 2" xfId="34056" xr:uid="{00000000-0005-0000-0000-0000167E0000}"/>
    <cellStyle name="Percent 2 4 5 3 5 3" xfId="25026" xr:uid="{00000000-0005-0000-0000-0000177E0000}"/>
    <cellStyle name="Percent 2 4 5 3 6" xfId="9522" xr:uid="{00000000-0005-0000-0000-0000187E0000}"/>
    <cellStyle name="Percent 2 4 5 3 6 2" xfId="29574" xr:uid="{00000000-0005-0000-0000-0000197E0000}"/>
    <cellStyle name="Percent 2 4 5 3 7" xfId="20544" xr:uid="{00000000-0005-0000-0000-00001A7E0000}"/>
    <cellStyle name="Percent 2 4 5 4" xfId="678" xr:uid="{00000000-0005-0000-0000-00001B7E0000}"/>
    <cellStyle name="Percent 2 4 5 4 2" xfId="1425" xr:uid="{00000000-0005-0000-0000-00001C7E0000}"/>
    <cellStyle name="Percent 2 4 5 4 2 2" xfId="2919" xr:uid="{00000000-0005-0000-0000-00001D7E0000}"/>
    <cellStyle name="Percent 2 4 5 4 2 2 2" xfId="7401" xr:uid="{00000000-0005-0000-0000-00001E7E0000}"/>
    <cellStyle name="Percent 2 4 5 4 2 2 2 2" xfId="16431" xr:uid="{00000000-0005-0000-0000-00001F7E0000}"/>
    <cellStyle name="Percent 2 4 5 4 2 2 2 2 2" xfId="36483" xr:uid="{00000000-0005-0000-0000-0000207E0000}"/>
    <cellStyle name="Percent 2 4 5 4 2 2 2 3" xfId="27453" xr:uid="{00000000-0005-0000-0000-0000217E0000}"/>
    <cellStyle name="Percent 2 4 5 4 2 2 3" xfId="11949" xr:uid="{00000000-0005-0000-0000-0000227E0000}"/>
    <cellStyle name="Percent 2 4 5 4 2 2 3 2" xfId="32001" xr:uid="{00000000-0005-0000-0000-0000237E0000}"/>
    <cellStyle name="Percent 2 4 5 4 2 2 4" xfId="22971" xr:uid="{00000000-0005-0000-0000-0000247E0000}"/>
    <cellStyle name="Percent 2 4 5 4 2 3" xfId="4413" xr:uid="{00000000-0005-0000-0000-0000257E0000}"/>
    <cellStyle name="Percent 2 4 5 4 2 3 2" xfId="8895" xr:uid="{00000000-0005-0000-0000-0000267E0000}"/>
    <cellStyle name="Percent 2 4 5 4 2 3 2 2" xfId="17925" xr:uid="{00000000-0005-0000-0000-0000277E0000}"/>
    <cellStyle name="Percent 2 4 5 4 2 3 2 2 2" xfId="37977" xr:uid="{00000000-0005-0000-0000-0000287E0000}"/>
    <cellStyle name="Percent 2 4 5 4 2 3 2 3" xfId="28947" xr:uid="{00000000-0005-0000-0000-0000297E0000}"/>
    <cellStyle name="Percent 2 4 5 4 2 3 3" xfId="13443" xr:uid="{00000000-0005-0000-0000-00002A7E0000}"/>
    <cellStyle name="Percent 2 4 5 4 2 3 3 2" xfId="33495" xr:uid="{00000000-0005-0000-0000-00002B7E0000}"/>
    <cellStyle name="Percent 2 4 5 4 2 3 4" xfId="24465" xr:uid="{00000000-0005-0000-0000-00002C7E0000}"/>
    <cellStyle name="Percent 2 4 5 4 2 4" xfId="5907" xr:uid="{00000000-0005-0000-0000-00002D7E0000}"/>
    <cellStyle name="Percent 2 4 5 4 2 4 2" xfId="14937" xr:uid="{00000000-0005-0000-0000-00002E7E0000}"/>
    <cellStyle name="Percent 2 4 5 4 2 4 2 2" xfId="34989" xr:uid="{00000000-0005-0000-0000-00002F7E0000}"/>
    <cellStyle name="Percent 2 4 5 4 2 4 3" xfId="25959" xr:uid="{00000000-0005-0000-0000-0000307E0000}"/>
    <cellStyle name="Percent 2 4 5 4 2 5" xfId="10455" xr:uid="{00000000-0005-0000-0000-0000317E0000}"/>
    <cellStyle name="Percent 2 4 5 4 2 5 2" xfId="30507" xr:uid="{00000000-0005-0000-0000-0000327E0000}"/>
    <cellStyle name="Percent 2 4 5 4 2 6" xfId="21477" xr:uid="{00000000-0005-0000-0000-0000337E0000}"/>
    <cellStyle name="Percent 2 4 5 4 3" xfId="2172" xr:uid="{00000000-0005-0000-0000-0000347E0000}"/>
    <cellStyle name="Percent 2 4 5 4 3 2" xfId="6654" xr:uid="{00000000-0005-0000-0000-0000357E0000}"/>
    <cellStyle name="Percent 2 4 5 4 3 2 2" xfId="15684" xr:uid="{00000000-0005-0000-0000-0000367E0000}"/>
    <cellStyle name="Percent 2 4 5 4 3 2 2 2" xfId="35736" xr:uid="{00000000-0005-0000-0000-0000377E0000}"/>
    <cellStyle name="Percent 2 4 5 4 3 2 3" xfId="26706" xr:uid="{00000000-0005-0000-0000-0000387E0000}"/>
    <cellStyle name="Percent 2 4 5 4 3 3" xfId="11202" xr:uid="{00000000-0005-0000-0000-0000397E0000}"/>
    <cellStyle name="Percent 2 4 5 4 3 3 2" xfId="31254" xr:uid="{00000000-0005-0000-0000-00003A7E0000}"/>
    <cellStyle name="Percent 2 4 5 4 3 4" xfId="22224" xr:uid="{00000000-0005-0000-0000-00003B7E0000}"/>
    <cellStyle name="Percent 2 4 5 4 4" xfId="3666" xr:uid="{00000000-0005-0000-0000-00003C7E0000}"/>
    <cellStyle name="Percent 2 4 5 4 4 2" xfId="8148" xr:uid="{00000000-0005-0000-0000-00003D7E0000}"/>
    <cellStyle name="Percent 2 4 5 4 4 2 2" xfId="17178" xr:uid="{00000000-0005-0000-0000-00003E7E0000}"/>
    <cellStyle name="Percent 2 4 5 4 4 2 2 2" xfId="37230" xr:uid="{00000000-0005-0000-0000-00003F7E0000}"/>
    <cellStyle name="Percent 2 4 5 4 4 2 3" xfId="28200" xr:uid="{00000000-0005-0000-0000-0000407E0000}"/>
    <cellStyle name="Percent 2 4 5 4 4 3" xfId="12696" xr:uid="{00000000-0005-0000-0000-0000417E0000}"/>
    <cellStyle name="Percent 2 4 5 4 4 3 2" xfId="32748" xr:uid="{00000000-0005-0000-0000-0000427E0000}"/>
    <cellStyle name="Percent 2 4 5 4 4 4" xfId="23718" xr:uid="{00000000-0005-0000-0000-0000437E0000}"/>
    <cellStyle name="Percent 2 4 5 4 5" xfId="5160" xr:uid="{00000000-0005-0000-0000-0000447E0000}"/>
    <cellStyle name="Percent 2 4 5 4 5 2" xfId="14190" xr:uid="{00000000-0005-0000-0000-0000457E0000}"/>
    <cellStyle name="Percent 2 4 5 4 5 2 2" xfId="34242" xr:uid="{00000000-0005-0000-0000-0000467E0000}"/>
    <cellStyle name="Percent 2 4 5 4 5 3" xfId="25212" xr:uid="{00000000-0005-0000-0000-0000477E0000}"/>
    <cellStyle name="Percent 2 4 5 4 6" xfId="9708" xr:uid="{00000000-0005-0000-0000-0000487E0000}"/>
    <cellStyle name="Percent 2 4 5 4 6 2" xfId="29760" xr:uid="{00000000-0005-0000-0000-0000497E0000}"/>
    <cellStyle name="Percent 2 4 5 4 7" xfId="20730" xr:uid="{00000000-0005-0000-0000-00004A7E0000}"/>
    <cellStyle name="Percent 2 4 5 5" xfId="865" xr:uid="{00000000-0005-0000-0000-00004B7E0000}"/>
    <cellStyle name="Percent 2 4 5 5 2" xfId="2359" xr:uid="{00000000-0005-0000-0000-00004C7E0000}"/>
    <cellStyle name="Percent 2 4 5 5 2 2" xfId="6841" xr:uid="{00000000-0005-0000-0000-00004D7E0000}"/>
    <cellStyle name="Percent 2 4 5 5 2 2 2" xfId="15871" xr:uid="{00000000-0005-0000-0000-00004E7E0000}"/>
    <cellStyle name="Percent 2 4 5 5 2 2 2 2" xfId="35923" xr:uid="{00000000-0005-0000-0000-00004F7E0000}"/>
    <cellStyle name="Percent 2 4 5 5 2 2 3" xfId="26893" xr:uid="{00000000-0005-0000-0000-0000507E0000}"/>
    <cellStyle name="Percent 2 4 5 5 2 3" xfId="11389" xr:uid="{00000000-0005-0000-0000-0000517E0000}"/>
    <cellStyle name="Percent 2 4 5 5 2 3 2" xfId="31441" xr:uid="{00000000-0005-0000-0000-0000527E0000}"/>
    <cellStyle name="Percent 2 4 5 5 2 4" xfId="22411" xr:uid="{00000000-0005-0000-0000-0000537E0000}"/>
    <cellStyle name="Percent 2 4 5 5 3" xfId="3853" xr:uid="{00000000-0005-0000-0000-0000547E0000}"/>
    <cellStyle name="Percent 2 4 5 5 3 2" xfId="8335" xr:uid="{00000000-0005-0000-0000-0000557E0000}"/>
    <cellStyle name="Percent 2 4 5 5 3 2 2" xfId="17365" xr:uid="{00000000-0005-0000-0000-0000567E0000}"/>
    <cellStyle name="Percent 2 4 5 5 3 2 2 2" xfId="37417" xr:uid="{00000000-0005-0000-0000-0000577E0000}"/>
    <cellStyle name="Percent 2 4 5 5 3 2 3" xfId="28387" xr:uid="{00000000-0005-0000-0000-0000587E0000}"/>
    <cellStyle name="Percent 2 4 5 5 3 3" xfId="12883" xr:uid="{00000000-0005-0000-0000-0000597E0000}"/>
    <cellStyle name="Percent 2 4 5 5 3 3 2" xfId="32935" xr:uid="{00000000-0005-0000-0000-00005A7E0000}"/>
    <cellStyle name="Percent 2 4 5 5 3 4" xfId="23905" xr:uid="{00000000-0005-0000-0000-00005B7E0000}"/>
    <cellStyle name="Percent 2 4 5 5 4" xfId="5347" xr:uid="{00000000-0005-0000-0000-00005C7E0000}"/>
    <cellStyle name="Percent 2 4 5 5 4 2" xfId="14377" xr:uid="{00000000-0005-0000-0000-00005D7E0000}"/>
    <cellStyle name="Percent 2 4 5 5 4 2 2" xfId="34429" xr:uid="{00000000-0005-0000-0000-00005E7E0000}"/>
    <cellStyle name="Percent 2 4 5 5 4 3" xfId="25399" xr:uid="{00000000-0005-0000-0000-00005F7E0000}"/>
    <cellStyle name="Percent 2 4 5 5 5" xfId="9895" xr:uid="{00000000-0005-0000-0000-0000607E0000}"/>
    <cellStyle name="Percent 2 4 5 5 5 2" xfId="29947" xr:uid="{00000000-0005-0000-0000-0000617E0000}"/>
    <cellStyle name="Percent 2 4 5 5 6" xfId="20917" xr:uid="{00000000-0005-0000-0000-0000627E0000}"/>
    <cellStyle name="Percent 2 4 5 6" xfId="1614" xr:uid="{00000000-0005-0000-0000-0000637E0000}"/>
    <cellStyle name="Percent 2 4 5 6 2" xfId="6096" xr:uid="{00000000-0005-0000-0000-0000647E0000}"/>
    <cellStyle name="Percent 2 4 5 6 2 2" xfId="15126" xr:uid="{00000000-0005-0000-0000-0000657E0000}"/>
    <cellStyle name="Percent 2 4 5 6 2 2 2" xfId="35178" xr:uid="{00000000-0005-0000-0000-0000667E0000}"/>
    <cellStyle name="Percent 2 4 5 6 2 3" xfId="26148" xr:uid="{00000000-0005-0000-0000-0000677E0000}"/>
    <cellStyle name="Percent 2 4 5 6 3" xfId="10644" xr:uid="{00000000-0005-0000-0000-0000687E0000}"/>
    <cellStyle name="Percent 2 4 5 6 3 2" xfId="30696" xr:uid="{00000000-0005-0000-0000-0000697E0000}"/>
    <cellStyle name="Percent 2 4 5 6 4" xfId="21666" xr:uid="{00000000-0005-0000-0000-00006A7E0000}"/>
    <cellStyle name="Percent 2 4 5 7" xfId="3108" xr:uid="{00000000-0005-0000-0000-00006B7E0000}"/>
    <cellStyle name="Percent 2 4 5 7 2" xfId="7590" xr:uid="{00000000-0005-0000-0000-00006C7E0000}"/>
    <cellStyle name="Percent 2 4 5 7 2 2" xfId="16620" xr:uid="{00000000-0005-0000-0000-00006D7E0000}"/>
    <cellStyle name="Percent 2 4 5 7 2 2 2" xfId="36672" xr:uid="{00000000-0005-0000-0000-00006E7E0000}"/>
    <cellStyle name="Percent 2 4 5 7 2 3" xfId="27642" xr:uid="{00000000-0005-0000-0000-00006F7E0000}"/>
    <cellStyle name="Percent 2 4 5 7 3" xfId="12138" xr:uid="{00000000-0005-0000-0000-0000707E0000}"/>
    <cellStyle name="Percent 2 4 5 7 3 2" xfId="32190" xr:uid="{00000000-0005-0000-0000-0000717E0000}"/>
    <cellStyle name="Percent 2 4 5 7 4" xfId="23160" xr:uid="{00000000-0005-0000-0000-0000727E0000}"/>
    <cellStyle name="Percent 2 4 5 8" xfId="4602" xr:uid="{00000000-0005-0000-0000-0000737E0000}"/>
    <cellStyle name="Percent 2 4 5 8 2" xfId="13632" xr:uid="{00000000-0005-0000-0000-0000747E0000}"/>
    <cellStyle name="Percent 2 4 5 8 2 2" xfId="33684" xr:uid="{00000000-0005-0000-0000-0000757E0000}"/>
    <cellStyle name="Percent 2 4 5 8 3" xfId="24654" xr:uid="{00000000-0005-0000-0000-0000767E0000}"/>
    <cellStyle name="Percent 2 4 5 9" xfId="9150" xr:uid="{00000000-0005-0000-0000-0000777E0000}"/>
    <cellStyle name="Percent 2 4 5 9 2" xfId="29202" xr:uid="{00000000-0005-0000-0000-0000787E0000}"/>
    <cellStyle name="Percent 2 4 6" xfId="138" xr:uid="{00000000-0005-0000-0000-0000797E0000}"/>
    <cellStyle name="Percent 2 4 6 10" xfId="20190" xr:uid="{00000000-0005-0000-0000-00007A7E0000}"/>
    <cellStyle name="Percent 2 4 6 2" xfId="324" xr:uid="{00000000-0005-0000-0000-00007B7E0000}"/>
    <cellStyle name="Percent 2 4 6 2 2" xfId="1067" xr:uid="{00000000-0005-0000-0000-00007C7E0000}"/>
    <cellStyle name="Percent 2 4 6 2 2 2" xfId="2561" xr:uid="{00000000-0005-0000-0000-00007D7E0000}"/>
    <cellStyle name="Percent 2 4 6 2 2 2 2" xfId="7043" xr:uid="{00000000-0005-0000-0000-00007E7E0000}"/>
    <cellStyle name="Percent 2 4 6 2 2 2 2 2" xfId="16073" xr:uid="{00000000-0005-0000-0000-00007F7E0000}"/>
    <cellStyle name="Percent 2 4 6 2 2 2 2 2 2" xfId="36125" xr:uid="{00000000-0005-0000-0000-0000807E0000}"/>
    <cellStyle name="Percent 2 4 6 2 2 2 2 3" xfId="27095" xr:uid="{00000000-0005-0000-0000-0000817E0000}"/>
    <cellStyle name="Percent 2 4 6 2 2 2 3" xfId="11591" xr:uid="{00000000-0005-0000-0000-0000827E0000}"/>
    <cellStyle name="Percent 2 4 6 2 2 2 3 2" xfId="31643" xr:uid="{00000000-0005-0000-0000-0000837E0000}"/>
    <cellStyle name="Percent 2 4 6 2 2 2 4" xfId="22613" xr:uid="{00000000-0005-0000-0000-0000847E0000}"/>
    <cellStyle name="Percent 2 4 6 2 2 3" xfId="4055" xr:uid="{00000000-0005-0000-0000-0000857E0000}"/>
    <cellStyle name="Percent 2 4 6 2 2 3 2" xfId="8537" xr:uid="{00000000-0005-0000-0000-0000867E0000}"/>
    <cellStyle name="Percent 2 4 6 2 2 3 2 2" xfId="17567" xr:uid="{00000000-0005-0000-0000-0000877E0000}"/>
    <cellStyle name="Percent 2 4 6 2 2 3 2 2 2" xfId="37619" xr:uid="{00000000-0005-0000-0000-0000887E0000}"/>
    <cellStyle name="Percent 2 4 6 2 2 3 2 3" xfId="28589" xr:uid="{00000000-0005-0000-0000-0000897E0000}"/>
    <cellStyle name="Percent 2 4 6 2 2 3 3" xfId="13085" xr:uid="{00000000-0005-0000-0000-00008A7E0000}"/>
    <cellStyle name="Percent 2 4 6 2 2 3 3 2" xfId="33137" xr:uid="{00000000-0005-0000-0000-00008B7E0000}"/>
    <cellStyle name="Percent 2 4 6 2 2 3 4" xfId="24107" xr:uid="{00000000-0005-0000-0000-00008C7E0000}"/>
    <cellStyle name="Percent 2 4 6 2 2 4" xfId="5549" xr:uid="{00000000-0005-0000-0000-00008D7E0000}"/>
    <cellStyle name="Percent 2 4 6 2 2 4 2" xfId="14579" xr:uid="{00000000-0005-0000-0000-00008E7E0000}"/>
    <cellStyle name="Percent 2 4 6 2 2 4 2 2" xfId="34631" xr:uid="{00000000-0005-0000-0000-00008F7E0000}"/>
    <cellStyle name="Percent 2 4 6 2 2 4 3" xfId="25601" xr:uid="{00000000-0005-0000-0000-0000907E0000}"/>
    <cellStyle name="Percent 2 4 6 2 2 5" xfId="10097" xr:uid="{00000000-0005-0000-0000-0000917E0000}"/>
    <cellStyle name="Percent 2 4 6 2 2 5 2" xfId="30149" xr:uid="{00000000-0005-0000-0000-0000927E0000}"/>
    <cellStyle name="Percent 2 4 6 2 2 6" xfId="21119" xr:uid="{00000000-0005-0000-0000-0000937E0000}"/>
    <cellStyle name="Percent 2 4 6 2 3" xfId="1818" xr:uid="{00000000-0005-0000-0000-0000947E0000}"/>
    <cellStyle name="Percent 2 4 6 2 3 2" xfId="6300" xr:uid="{00000000-0005-0000-0000-0000957E0000}"/>
    <cellStyle name="Percent 2 4 6 2 3 2 2" xfId="15330" xr:uid="{00000000-0005-0000-0000-0000967E0000}"/>
    <cellStyle name="Percent 2 4 6 2 3 2 2 2" xfId="35382" xr:uid="{00000000-0005-0000-0000-0000977E0000}"/>
    <cellStyle name="Percent 2 4 6 2 3 2 3" xfId="26352" xr:uid="{00000000-0005-0000-0000-0000987E0000}"/>
    <cellStyle name="Percent 2 4 6 2 3 3" xfId="10848" xr:uid="{00000000-0005-0000-0000-0000997E0000}"/>
    <cellStyle name="Percent 2 4 6 2 3 3 2" xfId="30900" xr:uid="{00000000-0005-0000-0000-00009A7E0000}"/>
    <cellStyle name="Percent 2 4 6 2 3 4" xfId="21870" xr:uid="{00000000-0005-0000-0000-00009B7E0000}"/>
    <cellStyle name="Percent 2 4 6 2 4" xfId="3312" xr:uid="{00000000-0005-0000-0000-00009C7E0000}"/>
    <cellStyle name="Percent 2 4 6 2 4 2" xfId="7794" xr:uid="{00000000-0005-0000-0000-00009D7E0000}"/>
    <cellStyle name="Percent 2 4 6 2 4 2 2" xfId="16824" xr:uid="{00000000-0005-0000-0000-00009E7E0000}"/>
    <cellStyle name="Percent 2 4 6 2 4 2 2 2" xfId="36876" xr:uid="{00000000-0005-0000-0000-00009F7E0000}"/>
    <cellStyle name="Percent 2 4 6 2 4 2 3" xfId="27846" xr:uid="{00000000-0005-0000-0000-0000A07E0000}"/>
    <cellStyle name="Percent 2 4 6 2 4 3" xfId="12342" xr:uid="{00000000-0005-0000-0000-0000A17E0000}"/>
    <cellStyle name="Percent 2 4 6 2 4 3 2" xfId="32394" xr:uid="{00000000-0005-0000-0000-0000A27E0000}"/>
    <cellStyle name="Percent 2 4 6 2 4 4" xfId="23364" xr:uid="{00000000-0005-0000-0000-0000A37E0000}"/>
    <cellStyle name="Percent 2 4 6 2 5" xfId="4806" xr:uid="{00000000-0005-0000-0000-0000A47E0000}"/>
    <cellStyle name="Percent 2 4 6 2 5 2" xfId="13836" xr:uid="{00000000-0005-0000-0000-0000A57E0000}"/>
    <cellStyle name="Percent 2 4 6 2 5 2 2" xfId="33888" xr:uid="{00000000-0005-0000-0000-0000A67E0000}"/>
    <cellStyle name="Percent 2 4 6 2 5 3" xfId="24858" xr:uid="{00000000-0005-0000-0000-0000A77E0000}"/>
    <cellStyle name="Percent 2 4 6 2 6" xfId="9354" xr:uid="{00000000-0005-0000-0000-0000A87E0000}"/>
    <cellStyle name="Percent 2 4 6 2 6 2" xfId="29406" xr:uid="{00000000-0005-0000-0000-0000A97E0000}"/>
    <cellStyle name="Percent 2 4 6 2 7" xfId="20376" xr:uid="{00000000-0005-0000-0000-0000AA7E0000}"/>
    <cellStyle name="Percent 2 4 6 3" xfId="510" xr:uid="{00000000-0005-0000-0000-0000AB7E0000}"/>
    <cellStyle name="Percent 2 4 6 3 2" xfId="1257" xr:uid="{00000000-0005-0000-0000-0000AC7E0000}"/>
    <cellStyle name="Percent 2 4 6 3 2 2" xfId="2751" xr:uid="{00000000-0005-0000-0000-0000AD7E0000}"/>
    <cellStyle name="Percent 2 4 6 3 2 2 2" xfId="7233" xr:uid="{00000000-0005-0000-0000-0000AE7E0000}"/>
    <cellStyle name="Percent 2 4 6 3 2 2 2 2" xfId="16263" xr:uid="{00000000-0005-0000-0000-0000AF7E0000}"/>
    <cellStyle name="Percent 2 4 6 3 2 2 2 2 2" xfId="36315" xr:uid="{00000000-0005-0000-0000-0000B07E0000}"/>
    <cellStyle name="Percent 2 4 6 3 2 2 2 3" xfId="27285" xr:uid="{00000000-0005-0000-0000-0000B17E0000}"/>
    <cellStyle name="Percent 2 4 6 3 2 2 3" xfId="11781" xr:uid="{00000000-0005-0000-0000-0000B27E0000}"/>
    <cellStyle name="Percent 2 4 6 3 2 2 3 2" xfId="31833" xr:uid="{00000000-0005-0000-0000-0000B37E0000}"/>
    <cellStyle name="Percent 2 4 6 3 2 2 4" xfId="22803" xr:uid="{00000000-0005-0000-0000-0000B47E0000}"/>
    <cellStyle name="Percent 2 4 6 3 2 3" xfId="4245" xr:uid="{00000000-0005-0000-0000-0000B57E0000}"/>
    <cellStyle name="Percent 2 4 6 3 2 3 2" xfId="8727" xr:uid="{00000000-0005-0000-0000-0000B67E0000}"/>
    <cellStyle name="Percent 2 4 6 3 2 3 2 2" xfId="17757" xr:uid="{00000000-0005-0000-0000-0000B77E0000}"/>
    <cellStyle name="Percent 2 4 6 3 2 3 2 2 2" xfId="37809" xr:uid="{00000000-0005-0000-0000-0000B87E0000}"/>
    <cellStyle name="Percent 2 4 6 3 2 3 2 3" xfId="28779" xr:uid="{00000000-0005-0000-0000-0000B97E0000}"/>
    <cellStyle name="Percent 2 4 6 3 2 3 3" xfId="13275" xr:uid="{00000000-0005-0000-0000-0000BA7E0000}"/>
    <cellStyle name="Percent 2 4 6 3 2 3 3 2" xfId="33327" xr:uid="{00000000-0005-0000-0000-0000BB7E0000}"/>
    <cellStyle name="Percent 2 4 6 3 2 3 4" xfId="24297" xr:uid="{00000000-0005-0000-0000-0000BC7E0000}"/>
    <cellStyle name="Percent 2 4 6 3 2 4" xfId="5739" xr:uid="{00000000-0005-0000-0000-0000BD7E0000}"/>
    <cellStyle name="Percent 2 4 6 3 2 4 2" xfId="14769" xr:uid="{00000000-0005-0000-0000-0000BE7E0000}"/>
    <cellStyle name="Percent 2 4 6 3 2 4 2 2" xfId="34821" xr:uid="{00000000-0005-0000-0000-0000BF7E0000}"/>
    <cellStyle name="Percent 2 4 6 3 2 4 3" xfId="25791" xr:uid="{00000000-0005-0000-0000-0000C07E0000}"/>
    <cellStyle name="Percent 2 4 6 3 2 5" xfId="10287" xr:uid="{00000000-0005-0000-0000-0000C17E0000}"/>
    <cellStyle name="Percent 2 4 6 3 2 5 2" xfId="30339" xr:uid="{00000000-0005-0000-0000-0000C27E0000}"/>
    <cellStyle name="Percent 2 4 6 3 2 6" xfId="21309" xr:uid="{00000000-0005-0000-0000-0000C37E0000}"/>
    <cellStyle name="Percent 2 4 6 3 3" xfId="2004" xr:uid="{00000000-0005-0000-0000-0000C47E0000}"/>
    <cellStyle name="Percent 2 4 6 3 3 2" xfId="6486" xr:uid="{00000000-0005-0000-0000-0000C57E0000}"/>
    <cellStyle name="Percent 2 4 6 3 3 2 2" xfId="15516" xr:uid="{00000000-0005-0000-0000-0000C67E0000}"/>
    <cellStyle name="Percent 2 4 6 3 3 2 2 2" xfId="35568" xr:uid="{00000000-0005-0000-0000-0000C77E0000}"/>
    <cellStyle name="Percent 2 4 6 3 3 2 3" xfId="26538" xr:uid="{00000000-0005-0000-0000-0000C87E0000}"/>
    <cellStyle name="Percent 2 4 6 3 3 3" xfId="11034" xr:uid="{00000000-0005-0000-0000-0000C97E0000}"/>
    <cellStyle name="Percent 2 4 6 3 3 3 2" xfId="31086" xr:uid="{00000000-0005-0000-0000-0000CA7E0000}"/>
    <cellStyle name="Percent 2 4 6 3 3 4" xfId="22056" xr:uid="{00000000-0005-0000-0000-0000CB7E0000}"/>
    <cellStyle name="Percent 2 4 6 3 4" xfId="3498" xr:uid="{00000000-0005-0000-0000-0000CC7E0000}"/>
    <cellStyle name="Percent 2 4 6 3 4 2" xfId="7980" xr:uid="{00000000-0005-0000-0000-0000CD7E0000}"/>
    <cellStyle name="Percent 2 4 6 3 4 2 2" xfId="17010" xr:uid="{00000000-0005-0000-0000-0000CE7E0000}"/>
    <cellStyle name="Percent 2 4 6 3 4 2 2 2" xfId="37062" xr:uid="{00000000-0005-0000-0000-0000CF7E0000}"/>
    <cellStyle name="Percent 2 4 6 3 4 2 3" xfId="28032" xr:uid="{00000000-0005-0000-0000-0000D07E0000}"/>
    <cellStyle name="Percent 2 4 6 3 4 3" xfId="12528" xr:uid="{00000000-0005-0000-0000-0000D17E0000}"/>
    <cellStyle name="Percent 2 4 6 3 4 3 2" xfId="32580" xr:uid="{00000000-0005-0000-0000-0000D27E0000}"/>
    <cellStyle name="Percent 2 4 6 3 4 4" xfId="23550" xr:uid="{00000000-0005-0000-0000-0000D37E0000}"/>
    <cellStyle name="Percent 2 4 6 3 5" xfId="4992" xr:uid="{00000000-0005-0000-0000-0000D47E0000}"/>
    <cellStyle name="Percent 2 4 6 3 5 2" xfId="14022" xr:uid="{00000000-0005-0000-0000-0000D57E0000}"/>
    <cellStyle name="Percent 2 4 6 3 5 2 2" xfId="34074" xr:uid="{00000000-0005-0000-0000-0000D67E0000}"/>
    <cellStyle name="Percent 2 4 6 3 5 3" xfId="25044" xr:uid="{00000000-0005-0000-0000-0000D77E0000}"/>
    <cellStyle name="Percent 2 4 6 3 6" xfId="9540" xr:uid="{00000000-0005-0000-0000-0000D87E0000}"/>
    <cellStyle name="Percent 2 4 6 3 6 2" xfId="29592" xr:uid="{00000000-0005-0000-0000-0000D97E0000}"/>
    <cellStyle name="Percent 2 4 6 3 7" xfId="20562" xr:uid="{00000000-0005-0000-0000-0000DA7E0000}"/>
    <cellStyle name="Percent 2 4 6 4" xfId="696" xr:uid="{00000000-0005-0000-0000-0000DB7E0000}"/>
    <cellStyle name="Percent 2 4 6 4 2" xfId="1443" xr:uid="{00000000-0005-0000-0000-0000DC7E0000}"/>
    <cellStyle name="Percent 2 4 6 4 2 2" xfId="2937" xr:uid="{00000000-0005-0000-0000-0000DD7E0000}"/>
    <cellStyle name="Percent 2 4 6 4 2 2 2" xfId="7419" xr:uid="{00000000-0005-0000-0000-0000DE7E0000}"/>
    <cellStyle name="Percent 2 4 6 4 2 2 2 2" xfId="16449" xr:uid="{00000000-0005-0000-0000-0000DF7E0000}"/>
    <cellStyle name="Percent 2 4 6 4 2 2 2 2 2" xfId="36501" xr:uid="{00000000-0005-0000-0000-0000E07E0000}"/>
    <cellStyle name="Percent 2 4 6 4 2 2 2 3" xfId="27471" xr:uid="{00000000-0005-0000-0000-0000E17E0000}"/>
    <cellStyle name="Percent 2 4 6 4 2 2 3" xfId="11967" xr:uid="{00000000-0005-0000-0000-0000E27E0000}"/>
    <cellStyle name="Percent 2 4 6 4 2 2 3 2" xfId="32019" xr:uid="{00000000-0005-0000-0000-0000E37E0000}"/>
    <cellStyle name="Percent 2 4 6 4 2 2 4" xfId="22989" xr:uid="{00000000-0005-0000-0000-0000E47E0000}"/>
    <cellStyle name="Percent 2 4 6 4 2 3" xfId="4431" xr:uid="{00000000-0005-0000-0000-0000E57E0000}"/>
    <cellStyle name="Percent 2 4 6 4 2 3 2" xfId="8913" xr:uid="{00000000-0005-0000-0000-0000E67E0000}"/>
    <cellStyle name="Percent 2 4 6 4 2 3 2 2" xfId="17943" xr:uid="{00000000-0005-0000-0000-0000E77E0000}"/>
    <cellStyle name="Percent 2 4 6 4 2 3 2 2 2" xfId="37995" xr:uid="{00000000-0005-0000-0000-0000E87E0000}"/>
    <cellStyle name="Percent 2 4 6 4 2 3 2 3" xfId="28965" xr:uid="{00000000-0005-0000-0000-0000E97E0000}"/>
    <cellStyle name="Percent 2 4 6 4 2 3 3" xfId="13461" xr:uid="{00000000-0005-0000-0000-0000EA7E0000}"/>
    <cellStyle name="Percent 2 4 6 4 2 3 3 2" xfId="33513" xr:uid="{00000000-0005-0000-0000-0000EB7E0000}"/>
    <cellStyle name="Percent 2 4 6 4 2 3 4" xfId="24483" xr:uid="{00000000-0005-0000-0000-0000EC7E0000}"/>
    <cellStyle name="Percent 2 4 6 4 2 4" xfId="5925" xr:uid="{00000000-0005-0000-0000-0000ED7E0000}"/>
    <cellStyle name="Percent 2 4 6 4 2 4 2" xfId="14955" xr:uid="{00000000-0005-0000-0000-0000EE7E0000}"/>
    <cellStyle name="Percent 2 4 6 4 2 4 2 2" xfId="35007" xr:uid="{00000000-0005-0000-0000-0000EF7E0000}"/>
    <cellStyle name="Percent 2 4 6 4 2 4 3" xfId="25977" xr:uid="{00000000-0005-0000-0000-0000F07E0000}"/>
    <cellStyle name="Percent 2 4 6 4 2 5" xfId="10473" xr:uid="{00000000-0005-0000-0000-0000F17E0000}"/>
    <cellStyle name="Percent 2 4 6 4 2 5 2" xfId="30525" xr:uid="{00000000-0005-0000-0000-0000F27E0000}"/>
    <cellStyle name="Percent 2 4 6 4 2 6" xfId="21495" xr:uid="{00000000-0005-0000-0000-0000F37E0000}"/>
    <cellStyle name="Percent 2 4 6 4 3" xfId="2190" xr:uid="{00000000-0005-0000-0000-0000F47E0000}"/>
    <cellStyle name="Percent 2 4 6 4 3 2" xfId="6672" xr:uid="{00000000-0005-0000-0000-0000F57E0000}"/>
    <cellStyle name="Percent 2 4 6 4 3 2 2" xfId="15702" xr:uid="{00000000-0005-0000-0000-0000F67E0000}"/>
    <cellStyle name="Percent 2 4 6 4 3 2 2 2" xfId="35754" xr:uid="{00000000-0005-0000-0000-0000F77E0000}"/>
    <cellStyle name="Percent 2 4 6 4 3 2 3" xfId="26724" xr:uid="{00000000-0005-0000-0000-0000F87E0000}"/>
    <cellStyle name="Percent 2 4 6 4 3 3" xfId="11220" xr:uid="{00000000-0005-0000-0000-0000F97E0000}"/>
    <cellStyle name="Percent 2 4 6 4 3 3 2" xfId="31272" xr:uid="{00000000-0005-0000-0000-0000FA7E0000}"/>
    <cellStyle name="Percent 2 4 6 4 3 4" xfId="22242" xr:uid="{00000000-0005-0000-0000-0000FB7E0000}"/>
    <cellStyle name="Percent 2 4 6 4 4" xfId="3684" xr:uid="{00000000-0005-0000-0000-0000FC7E0000}"/>
    <cellStyle name="Percent 2 4 6 4 4 2" xfId="8166" xr:uid="{00000000-0005-0000-0000-0000FD7E0000}"/>
    <cellStyle name="Percent 2 4 6 4 4 2 2" xfId="17196" xr:uid="{00000000-0005-0000-0000-0000FE7E0000}"/>
    <cellStyle name="Percent 2 4 6 4 4 2 2 2" xfId="37248" xr:uid="{00000000-0005-0000-0000-0000FF7E0000}"/>
    <cellStyle name="Percent 2 4 6 4 4 2 3" xfId="28218" xr:uid="{00000000-0005-0000-0000-0000007F0000}"/>
    <cellStyle name="Percent 2 4 6 4 4 3" xfId="12714" xr:uid="{00000000-0005-0000-0000-0000017F0000}"/>
    <cellStyle name="Percent 2 4 6 4 4 3 2" xfId="32766" xr:uid="{00000000-0005-0000-0000-0000027F0000}"/>
    <cellStyle name="Percent 2 4 6 4 4 4" xfId="23736" xr:uid="{00000000-0005-0000-0000-0000037F0000}"/>
    <cellStyle name="Percent 2 4 6 4 5" xfId="5178" xr:uid="{00000000-0005-0000-0000-0000047F0000}"/>
    <cellStyle name="Percent 2 4 6 4 5 2" xfId="14208" xr:uid="{00000000-0005-0000-0000-0000057F0000}"/>
    <cellStyle name="Percent 2 4 6 4 5 2 2" xfId="34260" xr:uid="{00000000-0005-0000-0000-0000067F0000}"/>
    <cellStyle name="Percent 2 4 6 4 5 3" xfId="25230" xr:uid="{00000000-0005-0000-0000-0000077F0000}"/>
    <cellStyle name="Percent 2 4 6 4 6" xfId="9726" xr:uid="{00000000-0005-0000-0000-0000087F0000}"/>
    <cellStyle name="Percent 2 4 6 4 6 2" xfId="29778" xr:uid="{00000000-0005-0000-0000-0000097F0000}"/>
    <cellStyle name="Percent 2 4 6 4 7" xfId="20748" xr:uid="{00000000-0005-0000-0000-00000A7F0000}"/>
    <cellStyle name="Percent 2 4 6 5" xfId="883" xr:uid="{00000000-0005-0000-0000-00000B7F0000}"/>
    <cellStyle name="Percent 2 4 6 5 2" xfId="2377" xr:uid="{00000000-0005-0000-0000-00000C7F0000}"/>
    <cellStyle name="Percent 2 4 6 5 2 2" xfId="6859" xr:uid="{00000000-0005-0000-0000-00000D7F0000}"/>
    <cellStyle name="Percent 2 4 6 5 2 2 2" xfId="15889" xr:uid="{00000000-0005-0000-0000-00000E7F0000}"/>
    <cellStyle name="Percent 2 4 6 5 2 2 2 2" xfId="35941" xr:uid="{00000000-0005-0000-0000-00000F7F0000}"/>
    <cellStyle name="Percent 2 4 6 5 2 2 3" xfId="26911" xr:uid="{00000000-0005-0000-0000-0000107F0000}"/>
    <cellStyle name="Percent 2 4 6 5 2 3" xfId="11407" xr:uid="{00000000-0005-0000-0000-0000117F0000}"/>
    <cellStyle name="Percent 2 4 6 5 2 3 2" xfId="31459" xr:uid="{00000000-0005-0000-0000-0000127F0000}"/>
    <cellStyle name="Percent 2 4 6 5 2 4" xfId="22429" xr:uid="{00000000-0005-0000-0000-0000137F0000}"/>
    <cellStyle name="Percent 2 4 6 5 3" xfId="3871" xr:uid="{00000000-0005-0000-0000-0000147F0000}"/>
    <cellStyle name="Percent 2 4 6 5 3 2" xfId="8353" xr:uid="{00000000-0005-0000-0000-0000157F0000}"/>
    <cellStyle name="Percent 2 4 6 5 3 2 2" xfId="17383" xr:uid="{00000000-0005-0000-0000-0000167F0000}"/>
    <cellStyle name="Percent 2 4 6 5 3 2 2 2" xfId="37435" xr:uid="{00000000-0005-0000-0000-0000177F0000}"/>
    <cellStyle name="Percent 2 4 6 5 3 2 3" xfId="28405" xr:uid="{00000000-0005-0000-0000-0000187F0000}"/>
    <cellStyle name="Percent 2 4 6 5 3 3" xfId="12901" xr:uid="{00000000-0005-0000-0000-0000197F0000}"/>
    <cellStyle name="Percent 2 4 6 5 3 3 2" xfId="32953" xr:uid="{00000000-0005-0000-0000-00001A7F0000}"/>
    <cellStyle name="Percent 2 4 6 5 3 4" xfId="23923" xr:uid="{00000000-0005-0000-0000-00001B7F0000}"/>
    <cellStyle name="Percent 2 4 6 5 4" xfId="5365" xr:uid="{00000000-0005-0000-0000-00001C7F0000}"/>
    <cellStyle name="Percent 2 4 6 5 4 2" xfId="14395" xr:uid="{00000000-0005-0000-0000-00001D7F0000}"/>
    <cellStyle name="Percent 2 4 6 5 4 2 2" xfId="34447" xr:uid="{00000000-0005-0000-0000-00001E7F0000}"/>
    <cellStyle name="Percent 2 4 6 5 4 3" xfId="25417" xr:uid="{00000000-0005-0000-0000-00001F7F0000}"/>
    <cellStyle name="Percent 2 4 6 5 5" xfId="9913" xr:uid="{00000000-0005-0000-0000-0000207F0000}"/>
    <cellStyle name="Percent 2 4 6 5 5 2" xfId="29965" xr:uid="{00000000-0005-0000-0000-0000217F0000}"/>
    <cellStyle name="Percent 2 4 6 5 6" xfId="20935" xr:uid="{00000000-0005-0000-0000-0000227F0000}"/>
    <cellStyle name="Percent 2 4 6 6" xfId="1632" xr:uid="{00000000-0005-0000-0000-0000237F0000}"/>
    <cellStyle name="Percent 2 4 6 6 2" xfId="6114" xr:uid="{00000000-0005-0000-0000-0000247F0000}"/>
    <cellStyle name="Percent 2 4 6 6 2 2" xfId="15144" xr:uid="{00000000-0005-0000-0000-0000257F0000}"/>
    <cellStyle name="Percent 2 4 6 6 2 2 2" xfId="35196" xr:uid="{00000000-0005-0000-0000-0000267F0000}"/>
    <cellStyle name="Percent 2 4 6 6 2 3" xfId="26166" xr:uid="{00000000-0005-0000-0000-0000277F0000}"/>
    <cellStyle name="Percent 2 4 6 6 3" xfId="10662" xr:uid="{00000000-0005-0000-0000-0000287F0000}"/>
    <cellStyle name="Percent 2 4 6 6 3 2" xfId="30714" xr:uid="{00000000-0005-0000-0000-0000297F0000}"/>
    <cellStyle name="Percent 2 4 6 6 4" xfId="21684" xr:uid="{00000000-0005-0000-0000-00002A7F0000}"/>
    <cellStyle name="Percent 2 4 6 7" xfId="3126" xr:uid="{00000000-0005-0000-0000-00002B7F0000}"/>
    <cellStyle name="Percent 2 4 6 7 2" xfId="7608" xr:uid="{00000000-0005-0000-0000-00002C7F0000}"/>
    <cellStyle name="Percent 2 4 6 7 2 2" xfId="16638" xr:uid="{00000000-0005-0000-0000-00002D7F0000}"/>
    <cellStyle name="Percent 2 4 6 7 2 2 2" xfId="36690" xr:uid="{00000000-0005-0000-0000-00002E7F0000}"/>
    <cellStyle name="Percent 2 4 6 7 2 3" xfId="27660" xr:uid="{00000000-0005-0000-0000-00002F7F0000}"/>
    <cellStyle name="Percent 2 4 6 7 3" xfId="12156" xr:uid="{00000000-0005-0000-0000-0000307F0000}"/>
    <cellStyle name="Percent 2 4 6 7 3 2" xfId="32208" xr:uid="{00000000-0005-0000-0000-0000317F0000}"/>
    <cellStyle name="Percent 2 4 6 7 4" xfId="23178" xr:uid="{00000000-0005-0000-0000-0000327F0000}"/>
    <cellStyle name="Percent 2 4 6 8" xfId="4620" xr:uid="{00000000-0005-0000-0000-0000337F0000}"/>
    <cellStyle name="Percent 2 4 6 8 2" xfId="13650" xr:uid="{00000000-0005-0000-0000-0000347F0000}"/>
    <cellStyle name="Percent 2 4 6 8 2 2" xfId="33702" xr:uid="{00000000-0005-0000-0000-0000357F0000}"/>
    <cellStyle name="Percent 2 4 6 8 3" xfId="24672" xr:uid="{00000000-0005-0000-0000-0000367F0000}"/>
    <cellStyle name="Percent 2 4 6 9" xfId="9168" xr:uid="{00000000-0005-0000-0000-0000377F0000}"/>
    <cellStyle name="Percent 2 4 6 9 2" xfId="29220" xr:uid="{00000000-0005-0000-0000-0000387F0000}"/>
    <cellStyle name="Percent 2 4 7" xfId="161" xr:uid="{00000000-0005-0000-0000-0000397F0000}"/>
    <cellStyle name="Percent 2 4 7 10" xfId="20213" xr:uid="{00000000-0005-0000-0000-00003A7F0000}"/>
    <cellStyle name="Percent 2 4 7 2" xfId="347" xr:uid="{00000000-0005-0000-0000-00003B7F0000}"/>
    <cellStyle name="Percent 2 4 7 2 2" xfId="1090" xr:uid="{00000000-0005-0000-0000-00003C7F0000}"/>
    <cellStyle name="Percent 2 4 7 2 2 2" xfId="2584" xr:uid="{00000000-0005-0000-0000-00003D7F0000}"/>
    <cellStyle name="Percent 2 4 7 2 2 2 2" xfId="7066" xr:uid="{00000000-0005-0000-0000-00003E7F0000}"/>
    <cellStyle name="Percent 2 4 7 2 2 2 2 2" xfId="16096" xr:uid="{00000000-0005-0000-0000-00003F7F0000}"/>
    <cellStyle name="Percent 2 4 7 2 2 2 2 2 2" xfId="36148" xr:uid="{00000000-0005-0000-0000-0000407F0000}"/>
    <cellStyle name="Percent 2 4 7 2 2 2 2 3" xfId="27118" xr:uid="{00000000-0005-0000-0000-0000417F0000}"/>
    <cellStyle name="Percent 2 4 7 2 2 2 3" xfId="11614" xr:uid="{00000000-0005-0000-0000-0000427F0000}"/>
    <cellStyle name="Percent 2 4 7 2 2 2 3 2" xfId="31666" xr:uid="{00000000-0005-0000-0000-0000437F0000}"/>
    <cellStyle name="Percent 2 4 7 2 2 2 4" xfId="22636" xr:uid="{00000000-0005-0000-0000-0000447F0000}"/>
    <cellStyle name="Percent 2 4 7 2 2 3" xfId="4078" xr:uid="{00000000-0005-0000-0000-0000457F0000}"/>
    <cellStyle name="Percent 2 4 7 2 2 3 2" xfId="8560" xr:uid="{00000000-0005-0000-0000-0000467F0000}"/>
    <cellStyle name="Percent 2 4 7 2 2 3 2 2" xfId="17590" xr:uid="{00000000-0005-0000-0000-0000477F0000}"/>
    <cellStyle name="Percent 2 4 7 2 2 3 2 2 2" xfId="37642" xr:uid="{00000000-0005-0000-0000-0000487F0000}"/>
    <cellStyle name="Percent 2 4 7 2 2 3 2 3" xfId="28612" xr:uid="{00000000-0005-0000-0000-0000497F0000}"/>
    <cellStyle name="Percent 2 4 7 2 2 3 3" xfId="13108" xr:uid="{00000000-0005-0000-0000-00004A7F0000}"/>
    <cellStyle name="Percent 2 4 7 2 2 3 3 2" xfId="33160" xr:uid="{00000000-0005-0000-0000-00004B7F0000}"/>
    <cellStyle name="Percent 2 4 7 2 2 3 4" xfId="24130" xr:uid="{00000000-0005-0000-0000-00004C7F0000}"/>
    <cellStyle name="Percent 2 4 7 2 2 4" xfId="5572" xr:uid="{00000000-0005-0000-0000-00004D7F0000}"/>
    <cellStyle name="Percent 2 4 7 2 2 4 2" xfId="14602" xr:uid="{00000000-0005-0000-0000-00004E7F0000}"/>
    <cellStyle name="Percent 2 4 7 2 2 4 2 2" xfId="34654" xr:uid="{00000000-0005-0000-0000-00004F7F0000}"/>
    <cellStyle name="Percent 2 4 7 2 2 4 3" xfId="25624" xr:uid="{00000000-0005-0000-0000-0000507F0000}"/>
    <cellStyle name="Percent 2 4 7 2 2 5" xfId="10120" xr:uid="{00000000-0005-0000-0000-0000517F0000}"/>
    <cellStyle name="Percent 2 4 7 2 2 5 2" xfId="30172" xr:uid="{00000000-0005-0000-0000-0000527F0000}"/>
    <cellStyle name="Percent 2 4 7 2 2 6" xfId="21142" xr:uid="{00000000-0005-0000-0000-0000537F0000}"/>
    <cellStyle name="Percent 2 4 7 2 3" xfId="1841" xr:uid="{00000000-0005-0000-0000-0000547F0000}"/>
    <cellStyle name="Percent 2 4 7 2 3 2" xfId="6323" xr:uid="{00000000-0005-0000-0000-0000557F0000}"/>
    <cellStyle name="Percent 2 4 7 2 3 2 2" xfId="15353" xr:uid="{00000000-0005-0000-0000-0000567F0000}"/>
    <cellStyle name="Percent 2 4 7 2 3 2 2 2" xfId="35405" xr:uid="{00000000-0005-0000-0000-0000577F0000}"/>
    <cellStyle name="Percent 2 4 7 2 3 2 3" xfId="26375" xr:uid="{00000000-0005-0000-0000-0000587F0000}"/>
    <cellStyle name="Percent 2 4 7 2 3 3" xfId="10871" xr:uid="{00000000-0005-0000-0000-0000597F0000}"/>
    <cellStyle name="Percent 2 4 7 2 3 3 2" xfId="30923" xr:uid="{00000000-0005-0000-0000-00005A7F0000}"/>
    <cellStyle name="Percent 2 4 7 2 3 4" xfId="21893" xr:uid="{00000000-0005-0000-0000-00005B7F0000}"/>
    <cellStyle name="Percent 2 4 7 2 4" xfId="3335" xr:uid="{00000000-0005-0000-0000-00005C7F0000}"/>
    <cellStyle name="Percent 2 4 7 2 4 2" xfId="7817" xr:uid="{00000000-0005-0000-0000-00005D7F0000}"/>
    <cellStyle name="Percent 2 4 7 2 4 2 2" xfId="16847" xr:uid="{00000000-0005-0000-0000-00005E7F0000}"/>
    <cellStyle name="Percent 2 4 7 2 4 2 2 2" xfId="36899" xr:uid="{00000000-0005-0000-0000-00005F7F0000}"/>
    <cellStyle name="Percent 2 4 7 2 4 2 3" xfId="27869" xr:uid="{00000000-0005-0000-0000-0000607F0000}"/>
    <cellStyle name="Percent 2 4 7 2 4 3" xfId="12365" xr:uid="{00000000-0005-0000-0000-0000617F0000}"/>
    <cellStyle name="Percent 2 4 7 2 4 3 2" xfId="32417" xr:uid="{00000000-0005-0000-0000-0000627F0000}"/>
    <cellStyle name="Percent 2 4 7 2 4 4" xfId="23387" xr:uid="{00000000-0005-0000-0000-0000637F0000}"/>
    <cellStyle name="Percent 2 4 7 2 5" xfId="4829" xr:uid="{00000000-0005-0000-0000-0000647F0000}"/>
    <cellStyle name="Percent 2 4 7 2 5 2" xfId="13859" xr:uid="{00000000-0005-0000-0000-0000657F0000}"/>
    <cellStyle name="Percent 2 4 7 2 5 2 2" xfId="33911" xr:uid="{00000000-0005-0000-0000-0000667F0000}"/>
    <cellStyle name="Percent 2 4 7 2 5 3" xfId="24881" xr:uid="{00000000-0005-0000-0000-0000677F0000}"/>
    <cellStyle name="Percent 2 4 7 2 6" xfId="9377" xr:uid="{00000000-0005-0000-0000-0000687F0000}"/>
    <cellStyle name="Percent 2 4 7 2 6 2" xfId="29429" xr:uid="{00000000-0005-0000-0000-0000697F0000}"/>
    <cellStyle name="Percent 2 4 7 2 7" xfId="20399" xr:uid="{00000000-0005-0000-0000-00006A7F0000}"/>
    <cellStyle name="Percent 2 4 7 3" xfId="533" xr:uid="{00000000-0005-0000-0000-00006B7F0000}"/>
    <cellStyle name="Percent 2 4 7 3 2" xfId="1280" xr:uid="{00000000-0005-0000-0000-00006C7F0000}"/>
    <cellStyle name="Percent 2 4 7 3 2 2" xfId="2774" xr:uid="{00000000-0005-0000-0000-00006D7F0000}"/>
    <cellStyle name="Percent 2 4 7 3 2 2 2" xfId="7256" xr:uid="{00000000-0005-0000-0000-00006E7F0000}"/>
    <cellStyle name="Percent 2 4 7 3 2 2 2 2" xfId="16286" xr:uid="{00000000-0005-0000-0000-00006F7F0000}"/>
    <cellStyle name="Percent 2 4 7 3 2 2 2 2 2" xfId="36338" xr:uid="{00000000-0005-0000-0000-0000707F0000}"/>
    <cellStyle name="Percent 2 4 7 3 2 2 2 3" xfId="27308" xr:uid="{00000000-0005-0000-0000-0000717F0000}"/>
    <cellStyle name="Percent 2 4 7 3 2 2 3" xfId="11804" xr:uid="{00000000-0005-0000-0000-0000727F0000}"/>
    <cellStyle name="Percent 2 4 7 3 2 2 3 2" xfId="31856" xr:uid="{00000000-0005-0000-0000-0000737F0000}"/>
    <cellStyle name="Percent 2 4 7 3 2 2 4" xfId="22826" xr:uid="{00000000-0005-0000-0000-0000747F0000}"/>
    <cellStyle name="Percent 2 4 7 3 2 3" xfId="4268" xr:uid="{00000000-0005-0000-0000-0000757F0000}"/>
    <cellStyle name="Percent 2 4 7 3 2 3 2" xfId="8750" xr:uid="{00000000-0005-0000-0000-0000767F0000}"/>
    <cellStyle name="Percent 2 4 7 3 2 3 2 2" xfId="17780" xr:uid="{00000000-0005-0000-0000-0000777F0000}"/>
    <cellStyle name="Percent 2 4 7 3 2 3 2 2 2" xfId="37832" xr:uid="{00000000-0005-0000-0000-0000787F0000}"/>
    <cellStyle name="Percent 2 4 7 3 2 3 2 3" xfId="28802" xr:uid="{00000000-0005-0000-0000-0000797F0000}"/>
    <cellStyle name="Percent 2 4 7 3 2 3 3" xfId="13298" xr:uid="{00000000-0005-0000-0000-00007A7F0000}"/>
    <cellStyle name="Percent 2 4 7 3 2 3 3 2" xfId="33350" xr:uid="{00000000-0005-0000-0000-00007B7F0000}"/>
    <cellStyle name="Percent 2 4 7 3 2 3 4" xfId="24320" xr:uid="{00000000-0005-0000-0000-00007C7F0000}"/>
    <cellStyle name="Percent 2 4 7 3 2 4" xfId="5762" xr:uid="{00000000-0005-0000-0000-00007D7F0000}"/>
    <cellStyle name="Percent 2 4 7 3 2 4 2" xfId="14792" xr:uid="{00000000-0005-0000-0000-00007E7F0000}"/>
    <cellStyle name="Percent 2 4 7 3 2 4 2 2" xfId="34844" xr:uid="{00000000-0005-0000-0000-00007F7F0000}"/>
    <cellStyle name="Percent 2 4 7 3 2 4 3" xfId="25814" xr:uid="{00000000-0005-0000-0000-0000807F0000}"/>
    <cellStyle name="Percent 2 4 7 3 2 5" xfId="10310" xr:uid="{00000000-0005-0000-0000-0000817F0000}"/>
    <cellStyle name="Percent 2 4 7 3 2 5 2" xfId="30362" xr:uid="{00000000-0005-0000-0000-0000827F0000}"/>
    <cellStyle name="Percent 2 4 7 3 2 6" xfId="21332" xr:uid="{00000000-0005-0000-0000-0000837F0000}"/>
    <cellStyle name="Percent 2 4 7 3 3" xfId="2027" xr:uid="{00000000-0005-0000-0000-0000847F0000}"/>
    <cellStyle name="Percent 2 4 7 3 3 2" xfId="6509" xr:uid="{00000000-0005-0000-0000-0000857F0000}"/>
    <cellStyle name="Percent 2 4 7 3 3 2 2" xfId="15539" xr:uid="{00000000-0005-0000-0000-0000867F0000}"/>
    <cellStyle name="Percent 2 4 7 3 3 2 2 2" xfId="35591" xr:uid="{00000000-0005-0000-0000-0000877F0000}"/>
    <cellStyle name="Percent 2 4 7 3 3 2 3" xfId="26561" xr:uid="{00000000-0005-0000-0000-0000887F0000}"/>
    <cellStyle name="Percent 2 4 7 3 3 3" xfId="11057" xr:uid="{00000000-0005-0000-0000-0000897F0000}"/>
    <cellStyle name="Percent 2 4 7 3 3 3 2" xfId="31109" xr:uid="{00000000-0005-0000-0000-00008A7F0000}"/>
    <cellStyle name="Percent 2 4 7 3 3 4" xfId="22079" xr:uid="{00000000-0005-0000-0000-00008B7F0000}"/>
    <cellStyle name="Percent 2 4 7 3 4" xfId="3521" xr:uid="{00000000-0005-0000-0000-00008C7F0000}"/>
    <cellStyle name="Percent 2 4 7 3 4 2" xfId="8003" xr:uid="{00000000-0005-0000-0000-00008D7F0000}"/>
    <cellStyle name="Percent 2 4 7 3 4 2 2" xfId="17033" xr:uid="{00000000-0005-0000-0000-00008E7F0000}"/>
    <cellStyle name="Percent 2 4 7 3 4 2 2 2" xfId="37085" xr:uid="{00000000-0005-0000-0000-00008F7F0000}"/>
    <cellStyle name="Percent 2 4 7 3 4 2 3" xfId="28055" xr:uid="{00000000-0005-0000-0000-0000907F0000}"/>
    <cellStyle name="Percent 2 4 7 3 4 3" xfId="12551" xr:uid="{00000000-0005-0000-0000-0000917F0000}"/>
    <cellStyle name="Percent 2 4 7 3 4 3 2" xfId="32603" xr:uid="{00000000-0005-0000-0000-0000927F0000}"/>
    <cellStyle name="Percent 2 4 7 3 4 4" xfId="23573" xr:uid="{00000000-0005-0000-0000-0000937F0000}"/>
    <cellStyle name="Percent 2 4 7 3 5" xfId="5015" xr:uid="{00000000-0005-0000-0000-0000947F0000}"/>
    <cellStyle name="Percent 2 4 7 3 5 2" xfId="14045" xr:uid="{00000000-0005-0000-0000-0000957F0000}"/>
    <cellStyle name="Percent 2 4 7 3 5 2 2" xfId="34097" xr:uid="{00000000-0005-0000-0000-0000967F0000}"/>
    <cellStyle name="Percent 2 4 7 3 5 3" xfId="25067" xr:uid="{00000000-0005-0000-0000-0000977F0000}"/>
    <cellStyle name="Percent 2 4 7 3 6" xfId="9563" xr:uid="{00000000-0005-0000-0000-0000987F0000}"/>
    <cellStyle name="Percent 2 4 7 3 6 2" xfId="29615" xr:uid="{00000000-0005-0000-0000-0000997F0000}"/>
    <cellStyle name="Percent 2 4 7 3 7" xfId="20585" xr:uid="{00000000-0005-0000-0000-00009A7F0000}"/>
    <cellStyle name="Percent 2 4 7 4" xfId="719" xr:uid="{00000000-0005-0000-0000-00009B7F0000}"/>
    <cellStyle name="Percent 2 4 7 4 2" xfId="1466" xr:uid="{00000000-0005-0000-0000-00009C7F0000}"/>
    <cellStyle name="Percent 2 4 7 4 2 2" xfId="2960" xr:uid="{00000000-0005-0000-0000-00009D7F0000}"/>
    <cellStyle name="Percent 2 4 7 4 2 2 2" xfId="7442" xr:uid="{00000000-0005-0000-0000-00009E7F0000}"/>
    <cellStyle name="Percent 2 4 7 4 2 2 2 2" xfId="16472" xr:uid="{00000000-0005-0000-0000-00009F7F0000}"/>
    <cellStyle name="Percent 2 4 7 4 2 2 2 2 2" xfId="36524" xr:uid="{00000000-0005-0000-0000-0000A07F0000}"/>
    <cellStyle name="Percent 2 4 7 4 2 2 2 3" xfId="27494" xr:uid="{00000000-0005-0000-0000-0000A17F0000}"/>
    <cellStyle name="Percent 2 4 7 4 2 2 3" xfId="11990" xr:uid="{00000000-0005-0000-0000-0000A27F0000}"/>
    <cellStyle name="Percent 2 4 7 4 2 2 3 2" xfId="32042" xr:uid="{00000000-0005-0000-0000-0000A37F0000}"/>
    <cellStyle name="Percent 2 4 7 4 2 2 4" xfId="23012" xr:uid="{00000000-0005-0000-0000-0000A47F0000}"/>
    <cellStyle name="Percent 2 4 7 4 2 3" xfId="4454" xr:uid="{00000000-0005-0000-0000-0000A57F0000}"/>
    <cellStyle name="Percent 2 4 7 4 2 3 2" xfId="8936" xr:uid="{00000000-0005-0000-0000-0000A67F0000}"/>
    <cellStyle name="Percent 2 4 7 4 2 3 2 2" xfId="17966" xr:uid="{00000000-0005-0000-0000-0000A77F0000}"/>
    <cellStyle name="Percent 2 4 7 4 2 3 2 2 2" xfId="38018" xr:uid="{00000000-0005-0000-0000-0000A87F0000}"/>
    <cellStyle name="Percent 2 4 7 4 2 3 2 3" xfId="28988" xr:uid="{00000000-0005-0000-0000-0000A97F0000}"/>
    <cellStyle name="Percent 2 4 7 4 2 3 3" xfId="13484" xr:uid="{00000000-0005-0000-0000-0000AA7F0000}"/>
    <cellStyle name="Percent 2 4 7 4 2 3 3 2" xfId="33536" xr:uid="{00000000-0005-0000-0000-0000AB7F0000}"/>
    <cellStyle name="Percent 2 4 7 4 2 3 4" xfId="24506" xr:uid="{00000000-0005-0000-0000-0000AC7F0000}"/>
    <cellStyle name="Percent 2 4 7 4 2 4" xfId="5948" xr:uid="{00000000-0005-0000-0000-0000AD7F0000}"/>
    <cellStyle name="Percent 2 4 7 4 2 4 2" xfId="14978" xr:uid="{00000000-0005-0000-0000-0000AE7F0000}"/>
    <cellStyle name="Percent 2 4 7 4 2 4 2 2" xfId="35030" xr:uid="{00000000-0005-0000-0000-0000AF7F0000}"/>
    <cellStyle name="Percent 2 4 7 4 2 4 3" xfId="26000" xr:uid="{00000000-0005-0000-0000-0000B07F0000}"/>
    <cellStyle name="Percent 2 4 7 4 2 5" xfId="10496" xr:uid="{00000000-0005-0000-0000-0000B17F0000}"/>
    <cellStyle name="Percent 2 4 7 4 2 5 2" xfId="30548" xr:uid="{00000000-0005-0000-0000-0000B27F0000}"/>
    <cellStyle name="Percent 2 4 7 4 2 6" xfId="21518" xr:uid="{00000000-0005-0000-0000-0000B37F0000}"/>
    <cellStyle name="Percent 2 4 7 4 3" xfId="2213" xr:uid="{00000000-0005-0000-0000-0000B47F0000}"/>
    <cellStyle name="Percent 2 4 7 4 3 2" xfId="6695" xr:uid="{00000000-0005-0000-0000-0000B57F0000}"/>
    <cellStyle name="Percent 2 4 7 4 3 2 2" xfId="15725" xr:uid="{00000000-0005-0000-0000-0000B67F0000}"/>
    <cellStyle name="Percent 2 4 7 4 3 2 2 2" xfId="35777" xr:uid="{00000000-0005-0000-0000-0000B77F0000}"/>
    <cellStyle name="Percent 2 4 7 4 3 2 3" xfId="26747" xr:uid="{00000000-0005-0000-0000-0000B87F0000}"/>
    <cellStyle name="Percent 2 4 7 4 3 3" xfId="11243" xr:uid="{00000000-0005-0000-0000-0000B97F0000}"/>
    <cellStyle name="Percent 2 4 7 4 3 3 2" xfId="31295" xr:uid="{00000000-0005-0000-0000-0000BA7F0000}"/>
    <cellStyle name="Percent 2 4 7 4 3 4" xfId="22265" xr:uid="{00000000-0005-0000-0000-0000BB7F0000}"/>
    <cellStyle name="Percent 2 4 7 4 4" xfId="3707" xr:uid="{00000000-0005-0000-0000-0000BC7F0000}"/>
    <cellStyle name="Percent 2 4 7 4 4 2" xfId="8189" xr:uid="{00000000-0005-0000-0000-0000BD7F0000}"/>
    <cellStyle name="Percent 2 4 7 4 4 2 2" xfId="17219" xr:uid="{00000000-0005-0000-0000-0000BE7F0000}"/>
    <cellStyle name="Percent 2 4 7 4 4 2 2 2" xfId="37271" xr:uid="{00000000-0005-0000-0000-0000BF7F0000}"/>
    <cellStyle name="Percent 2 4 7 4 4 2 3" xfId="28241" xr:uid="{00000000-0005-0000-0000-0000C07F0000}"/>
    <cellStyle name="Percent 2 4 7 4 4 3" xfId="12737" xr:uid="{00000000-0005-0000-0000-0000C17F0000}"/>
    <cellStyle name="Percent 2 4 7 4 4 3 2" xfId="32789" xr:uid="{00000000-0005-0000-0000-0000C27F0000}"/>
    <cellStyle name="Percent 2 4 7 4 4 4" xfId="23759" xr:uid="{00000000-0005-0000-0000-0000C37F0000}"/>
    <cellStyle name="Percent 2 4 7 4 5" xfId="5201" xr:uid="{00000000-0005-0000-0000-0000C47F0000}"/>
    <cellStyle name="Percent 2 4 7 4 5 2" xfId="14231" xr:uid="{00000000-0005-0000-0000-0000C57F0000}"/>
    <cellStyle name="Percent 2 4 7 4 5 2 2" xfId="34283" xr:uid="{00000000-0005-0000-0000-0000C67F0000}"/>
    <cellStyle name="Percent 2 4 7 4 5 3" xfId="25253" xr:uid="{00000000-0005-0000-0000-0000C77F0000}"/>
    <cellStyle name="Percent 2 4 7 4 6" xfId="9749" xr:uid="{00000000-0005-0000-0000-0000C87F0000}"/>
    <cellStyle name="Percent 2 4 7 4 6 2" xfId="29801" xr:uid="{00000000-0005-0000-0000-0000C97F0000}"/>
    <cellStyle name="Percent 2 4 7 4 7" xfId="20771" xr:uid="{00000000-0005-0000-0000-0000CA7F0000}"/>
    <cellStyle name="Percent 2 4 7 5" xfId="906" xr:uid="{00000000-0005-0000-0000-0000CB7F0000}"/>
    <cellStyle name="Percent 2 4 7 5 2" xfId="2400" xr:uid="{00000000-0005-0000-0000-0000CC7F0000}"/>
    <cellStyle name="Percent 2 4 7 5 2 2" xfId="6882" xr:uid="{00000000-0005-0000-0000-0000CD7F0000}"/>
    <cellStyle name="Percent 2 4 7 5 2 2 2" xfId="15912" xr:uid="{00000000-0005-0000-0000-0000CE7F0000}"/>
    <cellStyle name="Percent 2 4 7 5 2 2 2 2" xfId="35964" xr:uid="{00000000-0005-0000-0000-0000CF7F0000}"/>
    <cellStyle name="Percent 2 4 7 5 2 2 3" xfId="26934" xr:uid="{00000000-0005-0000-0000-0000D07F0000}"/>
    <cellStyle name="Percent 2 4 7 5 2 3" xfId="11430" xr:uid="{00000000-0005-0000-0000-0000D17F0000}"/>
    <cellStyle name="Percent 2 4 7 5 2 3 2" xfId="31482" xr:uid="{00000000-0005-0000-0000-0000D27F0000}"/>
    <cellStyle name="Percent 2 4 7 5 2 4" xfId="22452" xr:uid="{00000000-0005-0000-0000-0000D37F0000}"/>
    <cellStyle name="Percent 2 4 7 5 3" xfId="3894" xr:uid="{00000000-0005-0000-0000-0000D47F0000}"/>
    <cellStyle name="Percent 2 4 7 5 3 2" xfId="8376" xr:uid="{00000000-0005-0000-0000-0000D57F0000}"/>
    <cellStyle name="Percent 2 4 7 5 3 2 2" xfId="17406" xr:uid="{00000000-0005-0000-0000-0000D67F0000}"/>
    <cellStyle name="Percent 2 4 7 5 3 2 2 2" xfId="37458" xr:uid="{00000000-0005-0000-0000-0000D77F0000}"/>
    <cellStyle name="Percent 2 4 7 5 3 2 3" xfId="28428" xr:uid="{00000000-0005-0000-0000-0000D87F0000}"/>
    <cellStyle name="Percent 2 4 7 5 3 3" xfId="12924" xr:uid="{00000000-0005-0000-0000-0000D97F0000}"/>
    <cellStyle name="Percent 2 4 7 5 3 3 2" xfId="32976" xr:uid="{00000000-0005-0000-0000-0000DA7F0000}"/>
    <cellStyle name="Percent 2 4 7 5 3 4" xfId="23946" xr:uid="{00000000-0005-0000-0000-0000DB7F0000}"/>
    <cellStyle name="Percent 2 4 7 5 4" xfId="5388" xr:uid="{00000000-0005-0000-0000-0000DC7F0000}"/>
    <cellStyle name="Percent 2 4 7 5 4 2" xfId="14418" xr:uid="{00000000-0005-0000-0000-0000DD7F0000}"/>
    <cellStyle name="Percent 2 4 7 5 4 2 2" xfId="34470" xr:uid="{00000000-0005-0000-0000-0000DE7F0000}"/>
    <cellStyle name="Percent 2 4 7 5 4 3" xfId="25440" xr:uid="{00000000-0005-0000-0000-0000DF7F0000}"/>
    <cellStyle name="Percent 2 4 7 5 5" xfId="9936" xr:uid="{00000000-0005-0000-0000-0000E07F0000}"/>
    <cellStyle name="Percent 2 4 7 5 5 2" xfId="29988" xr:uid="{00000000-0005-0000-0000-0000E17F0000}"/>
    <cellStyle name="Percent 2 4 7 5 6" xfId="20958" xr:uid="{00000000-0005-0000-0000-0000E27F0000}"/>
    <cellStyle name="Percent 2 4 7 6" xfId="1655" xr:uid="{00000000-0005-0000-0000-0000E37F0000}"/>
    <cellStyle name="Percent 2 4 7 6 2" xfId="6137" xr:uid="{00000000-0005-0000-0000-0000E47F0000}"/>
    <cellStyle name="Percent 2 4 7 6 2 2" xfId="15167" xr:uid="{00000000-0005-0000-0000-0000E57F0000}"/>
    <cellStyle name="Percent 2 4 7 6 2 2 2" xfId="35219" xr:uid="{00000000-0005-0000-0000-0000E67F0000}"/>
    <cellStyle name="Percent 2 4 7 6 2 3" xfId="26189" xr:uid="{00000000-0005-0000-0000-0000E77F0000}"/>
    <cellStyle name="Percent 2 4 7 6 3" xfId="10685" xr:uid="{00000000-0005-0000-0000-0000E87F0000}"/>
    <cellStyle name="Percent 2 4 7 6 3 2" xfId="30737" xr:uid="{00000000-0005-0000-0000-0000E97F0000}"/>
    <cellStyle name="Percent 2 4 7 6 4" xfId="21707" xr:uid="{00000000-0005-0000-0000-0000EA7F0000}"/>
    <cellStyle name="Percent 2 4 7 7" xfId="3149" xr:uid="{00000000-0005-0000-0000-0000EB7F0000}"/>
    <cellStyle name="Percent 2 4 7 7 2" xfId="7631" xr:uid="{00000000-0005-0000-0000-0000EC7F0000}"/>
    <cellStyle name="Percent 2 4 7 7 2 2" xfId="16661" xr:uid="{00000000-0005-0000-0000-0000ED7F0000}"/>
    <cellStyle name="Percent 2 4 7 7 2 2 2" xfId="36713" xr:uid="{00000000-0005-0000-0000-0000EE7F0000}"/>
    <cellStyle name="Percent 2 4 7 7 2 3" xfId="27683" xr:uid="{00000000-0005-0000-0000-0000EF7F0000}"/>
    <cellStyle name="Percent 2 4 7 7 3" xfId="12179" xr:uid="{00000000-0005-0000-0000-0000F07F0000}"/>
    <cellStyle name="Percent 2 4 7 7 3 2" xfId="32231" xr:uid="{00000000-0005-0000-0000-0000F17F0000}"/>
    <cellStyle name="Percent 2 4 7 7 4" xfId="23201" xr:uid="{00000000-0005-0000-0000-0000F27F0000}"/>
    <cellStyle name="Percent 2 4 7 8" xfId="4643" xr:uid="{00000000-0005-0000-0000-0000F37F0000}"/>
    <cellStyle name="Percent 2 4 7 8 2" xfId="13673" xr:uid="{00000000-0005-0000-0000-0000F47F0000}"/>
    <cellStyle name="Percent 2 4 7 8 2 2" xfId="33725" xr:uid="{00000000-0005-0000-0000-0000F57F0000}"/>
    <cellStyle name="Percent 2 4 7 8 3" xfId="24695" xr:uid="{00000000-0005-0000-0000-0000F67F0000}"/>
    <cellStyle name="Percent 2 4 7 9" xfId="9191" xr:uid="{00000000-0005-0000-0000-0000F77F0000}"/>
    <cellStyle name="Percent 2 4 7 9 2" xfId="29243" xr:uid="{00000000-0005-0000-0000-0000F87F0000}"/>
    <cellStyle name="Percent 2 4 8" xfId="184" xr:uid="{00000000-0005-0000-0000-0000F97F0000}"/>
    <cellStyle name="Percent 2 4 8 10" xfId="20236" xr:uid="{00000000-0005-0000-0000-0000FA7F0000}"/>
    <cellStyle name="Percent 2 4 8 2" xfId="370" xr:uid="{00000000-0005-0000-0000-0000FB7F0000}"/>
    <cellStyle name="Percent 2 4 8 2 2" xfId="1113" xr:uid="{00000000-0005-0000-0000-0000FC7F0000}"/>
    <cellStyle name="Percent 2 4 8 2 2 2" xfId="2607" xr:uid="{00000000-0005-0000-0000-0000FD7F0000}"/>
    <cellStyle name="Percent 2 4 8 2 2 2 2" xfId="7089" xr:uid="{00000000-0005-0000-0000-0000FE7F0000}"/>
    <cellStyle name="Percent 2 4 8 2 2 2 2 2" xfId="16119" xr:uid="{00000000-0005-0000-0000-0000FF7F0000}"/>
    <cellStyle name="Percent 2 4 8 2 2 2 2 2 2" xfId="36171" xr:uid="{00000000-0005-0000-0000-000000800000}"/>
    <cellStyle name="Percent 2 4 8 2 2 2 2 3" xfId="27141" xr:uid="{00000000-0005-0000-0000-000001800000}"/>
    <cellStyle name="Percent 2 4 8 2 2 2 3" xfId="11637" xr:uid="{00000000-0005-0000-0000-000002800000}"/>
    <cellStyle name="Percent 2 4 8 2 2 2 3 2" xfId="31689" xr:uid="{00000000-0005-0000-0000-000003800000}"/>
    <cellStyle name="Percent 2 4 8 2 2 2 4" xfId="22659" xr:uid="{00000000-0005-0000-0000-000004800000}"/>
    <cellStyle name="Percent 2 4 8 2 2 3" xfId="4101" xr:uid="{00000000-0005-0000-0000-000005800000}"/>
    <cellStyle name="Percent 2 4 8 2 2 3 2" xfId="8583" xr:uid="{00000000-0005-0000-0000-000006800000}"/>
    <cellStyle name="Percent 2 4 8 2 2 3 2 2" xfId="17613" xr:uid="{00000000-0005-0000-0000-000007800000}"/>
    <cellStyle name="Percent 2 4 8 2 2 3 2 2 2" xfId="37665" xr:uid="{00000000-0005-0000-0000-000008800000}"/>
    <cellStyle name="Percent 2 4 8 2 2 3 2 3" xfId="28635" xr:uid="{00000000-0005-0000-0000-000009800000}"/>
    <cellStyle name="Percent 2 4 8 2 2 3 3" xfId="13131" xr:uid="{00000000-0005-0000-0000-00000A800000}"/>
    <cellStyle name="Percent 2 4 8 2 2 3 3 2" xfId="33183" xr:uid="{00000000-0005-0000-0000-00000B800000}"/>
    <cellStyle name="Percent 2 4 8 2 2 3 4" xfId="24153" xr:uid="{00000000-0005-0000-0000-00000C800000}"/>
    <cellStyle name="Percent 2 4 8 2 2 4" xfId="5595" xr:uid="{00000000-0005-0000-0000-00000D800000}"/>
    <cellStyle name="Percent 2 4 8 2 2 4 2" xfId="14625" xr:uid="{00000000-0005-0000-0000-00000E800000}"/>
    <cellStyle name="Percent 2 4 8 2 2 4 2 2" xfId="34677" xr:uid="{00000000-0005-0000-0000-00000F800000}"/>
    <cellStyle name="Percent 2 4 8 2 2 4 3" xfId="25647" xr:uid="{00000000-0005-0000-0000-000010800000}"/>
    <cellStyle name="Percent 2 4 8 2 2 5" xfId="10143" xr:uid="{00000000-0005-0000-0000-000011800000}"/>
    <cellStyle name="Percent 2 4 8 2 2 5 2" xfId="30195" xr:uid="{00000000-0005-0000-0000-000012800000}"/>
    <cellStyle name="Percent 2 4 8 2 2 6" xfId="21165" xr:uid="{00000000-0005-0000-0000-000013800000}"/>
    <cellStyle name="Percent 2 4 8 2 3" xfId="1864" xr:uid="{00000000-0005-0000-0000-000014800000}"/>
    <cellStyle name="Percent 2 4 8 2 3 2" xfId="6346" xr:uid="{00000000-0005-0000-0000-000015800000}"/>
    <cellStyle name="Percent 2 4 8 2 3 2 2" xfId="15376" xr:uid="{00000000-0005-0000-0000-000016800000}"/>
    <cellStyle name="Percent 2 4 8 2 3 2 2 2" xfId="35428" xr:uid="{00000000-0005-0000-0000-000017800000}"/>
    <cellStyle name="Percent 2 4 8 2 3 2 3" xfId="26398" xr:uid="{00000000-0005-0000-0000-000018800000}"/>
    <cellStyle name="Percent 2 4 8 2 3 3" xfId="10894" xr:uid="{00000000-0005-0000-0000-000019800000}"/>
    <cellStyle name="Percent 2 4 8 2 3 3 2" xfId="30946" xr:uid="{00000000-0005-0000-0000-00001A800000}"/>
    <cellStyle name="Percent 2 4 8 2 3 4" xfId="21916" xr:uid="{00000000-0005-0000-0000-00001B800000}"/>
    <cellStyle name="Percent 2 4 8 2 4" xfId="3358" xr:uid="{00000000-0005-0000-0000-00001C800000}"/>
    <cellStyle name="Percent 2 4 8 2 4 2" xfId="7840" xr:uid="{00000000-0005-0000-0000-00001D800000}"/>
    <cellStyle name="Percent 2 4 8 2 4 2 2" xfId="16870" xr:uid="{00000000-0005-0000-0000-00001E800000}"/>
    <cellStyle name="Percent 2 4 8 2 4 2 2 2" xfId="36922" xr:uid="{00000000-0005-0000-0000-00001F800000}"/>
    <cellStyle name="Percent 2 4 8 2 4 2 3" xfId="27892" xr:uid="{00000000-0005-0000-0000-000020800000}"/>
    <cellStyle name="Percent 2 4 8 2 4 3" xfId="12388" xr:uid="{00000000-0005-0000-0000-000021800000}"/>
    <cellStyle name="Percent 2 4 8 2 4 3 2" xfId="32440" xr:uid="{00000000-0005-0000-0000-000022800000}"/>
    <cellStyle name="Percent 2 4 8 2 4 4" xfId="23410" xr:uid="{00000000-0005-0000-0000-000023800000}"/>
    <cellStyle name="Percent 2 4 8 2 5" xfId="4852" xr:uid="{00000000-0005-0000-0000-000024800000}"/>
    <cellStyle name="Percent 2 4 8 2 5 2" xfId="13882" xr:uid="{00000000-0005-0000-0000-000025800000}"/>
    <cellStyle name="Percent 2 4 8 2 5 2 2" xfId="33934" xr:uid="{00000000-0005-0000-0000-000026800000}"/>
    <cellStyle name="Percent 2 4 8 2 5 3" xfId="24904" xr:uid="{00000000-0005-0000-0000-000027800000}"/>
    <cellStyle name="Percent 2 4 8 2 6" xfId="9400" xr:uid="{00000000-0005-0000-0000-000028800000}"/>
    <cellStyle name="Percent 2 4 8 2 6 2" xfId="29452" xr:uid="{00000000-0005-0000-0000-000029800000}"/>
    <cellStyle name="Percent 2 4 8 2 7" xfId="20422" xr:uid="{00000000-0005-0000-0000-00002A800000}"/>
    <cellStyle name="Percent 2 4 8 3" xfId="556" xr:uid="{00000000-0005-0000-0000-00002B800000}"/>
    <cellStyle name="Percent 2 4 8 3 2" xfId="1303" xr:uid="{00000000-0005-0000-0000-00002C800000}"/>
    <cellStyle name="Percent 2 4 8 3 2 2" xfId="2797" xr:uid="{00000000-0005-0000-0000-00002D800000}"/>
    <cellStyle name="Percent 2 4 8 3 2 2 2" xfId="7279" xr:uid="{00000000-0005-0000-0000-00002E800000}"/>
    <cellStyle name="Percent 2 4 8 3 2 2 2 2" xfId="16309" xr:uid="{00000000-0005-0000-0000-00002F800000}"/>
    <cellStyle name="Percent 2 4 8 3 2 2 2 2 2" xfId="36361" xr:uid="{00000000-0005-0000-0000-000030800000}"/>
    <cellStyle name="Percent 2 4 8 3 2 2 2 3" xfId="27331" xr:uid="{00000000-0005-0000-0000-000031800000}"/>
    <cellStyle name="Percent 2 4 8 3 2 2 3" xfId="11827" xr:uid="{00000000-0005-0000-0000-000032800000}"/>
    <cellStyle name="Percent 2 4 8 3 2 2 3 2" xfId="31879" xr:uid="{00000000-0005-0000-0000-000033800000}"/>
    <cellStyle name="Percent 2 4 8 3 2 2 4" xfId="22849" xr:uid="{00000000-0005-0000-0000-000034800000}"/>
    <cellStyle name="Percent 2 4 8 3 2 3" xfId="4291" xr:uid="{00000000-0005-0000-0000-000035800000}"/>
    <cellStyle name="Percent 2 4 8 3 2 3 2" xfId="8773" xr:uid="{00000000-0005-0000-0000-000036800000}"/>
    <cellStyle name="Percent 2 4 8 3 2 3 2 2" xfId="17803" xr:uid="{00000000-0005-0000-0000-000037800000}"/>
    <cellStyle name="Percent 2 4 8 3 2 3 2 2 2" xfId="37855" xr:uid="{00000000-0005-0000-0000-000038800000}"/>
    <cellStyle name="Percent 2 4 8 3 2 3 2 3" xfId="28825" xr:uid="{00000000-0005-0000-0000-000039800000}"/>
    <cellStyle name="Percent 2 4 8 3 2 3 3" xfId="13321" xr:uid="{00000000-0005-0000-0000-00003A800000}"/>
    <cellStyle name="Percent 2 4 8 3 2 3 3 2" xfId="33373" xr:uid="{00000000-0005-0000-0000-00003B800000}"/>
    <cellStyle name="Percent 2 4 8 3 2 3 4" xfId="24343" xr:uid="{00000000-0005-0000-0000-00003C800000}"/>
    <cellStyle name="Percent 2 4 8 3 2 4" xfId="5785" xr:uid="{00000000-0005-0000-0000-00003D800000}"/>
    <cellStyle name="Percent 2 4 8 3 2 4 2" xfId="14815" xr:uid="{00000000-0005-0000-0000-00003E800000}"/>
    <cellStyle name="Percent 2 4 8 3 2 4 2 2" xfId="34867" xr:uid="{00000000-0005-0000-0000-00003F800000}"/>
    <cellStyle name="Percent 2 4 8 3 2 4 3" xfId="25837" xr:uid="{00000000-0005-0000-0000-000040800000}"/>
    <cellStyle name="Percent 2 4 8 3 2 5" xfId="10333" xr:uid="{00000000-0005-0000-0000-000041800000}"/>
    <cellStyle name="Percent 2 4 8 3 2 5 2" xfId="30385" xr:uid="{00000000-0005-0000-0000-000042800000}"/>
    <cellStyle name="Percent 2 4 8 3 2 6" xfId="21355" xr:uid="{00000000-0005-0000-0000-000043800000}"/>
    <cellStyle name="Percent 2 4 8 3 3" xfId="2050" xr:uid="{00000000-0005-0000-0000-000044800000}"/>
    <cellStyle name="Percent 2 4 8 3 3 2" xfId="6532" xr:uid="{00000000-0005-0000-0000-000045800000}"/>
    <cellStyle name="Percent 2 4 8 3 3 2 2" xfId="15562" xr:uid="{00000000-0005-0000-0000-000046800000}"/>
    <cellStyle name="Percent 2 4 8 3 3 2 2 2" xfId="35614" xr:uid="{00000000-0005-0000-0000-000047800000}"/>
    <cellStyle name="Percent 2 4 8 3 3 2 3" xfId="26584" xr:uid="{00000000-0005-0000-0000-000048800000}"/>
    <cellStyle name="Percent 2 4 8 3 3 3" xfId="11080" xr:uid="{00000000-0005-0000-0000-000049800000}"/>
    <cellStyle name="Percent 2 4 8 3 3 3 2" xfId="31132" xr:uid="{00000000-0005-0000-0000-00004A800000}"/>
    <cellStyle name="Percent 2 4 8 3 3 4" xfId="22102" xr:uid="{00000000-0005-0000-0000-00004B800000}"/>
    <cellStyle name="Percent 2 4 8 3 4" xfId="3544" xr:uid="{00000000-0005-0000-0000-00004C800000}"/>
    <cellStyle name="Percent 2 4 8 3 4 2" xfId="8026" xr:uid="{00000000-0005-0000-0000-00004D800000}"/>
    <cellStyle name="Percent 2 4 8 3 4 2 2" xfId="17056" xr:uid="{00000000-0005-0000-0000-00004E800000}"/>
    <cellStyle name="Percent 2 4 8 3 4 2 2 2" xfId="37108" xr:uid="{00000000-0005-0000-0000-00004F800000}"/>
    <cellStyle name="Percent 2 4 8 3 4 2 3" xfId="28078" xr:uid="{00000000-0005-0000-0000-000050800000}"/>
    <cellStyle name="Percent 2 4 8 3 4 3" xfId="12574" xr:uid="{00000000-0005-0000-0000-000051800000}"/>
    <cellStyle name="Percent 2 4 8 3 4 3 2" xfId="32626" xr:uid="{00000000-0005-0000-0000-000052800000}"/>
    <cellStyle name="Percent 2 4 8 3 4 4" xfId="23596" xr:uid="{00000000-0005-0000-0000-000053800000}"/>
    <cellStyle name="Percent 2 4 8 3 5" xfId="5038" xr:uid="{00000000-0005-0000-0000-000054800000}"/>
    <cellStyle name="Percent 2 4 8 3 5 2" xfId="14068" xr:uid="{00000000-0005-0000-0000-000055800000}"/>
    <cellStyle name="Percent 2 4 8 3 5 2 2" xfId="34120" xr:uid="{00000000-0005-0000-0000-000056800000}"/>
    <cellStyle name="Percent 2 4 8 3 5 3" xfId="25090" xr:uid="{00000000-0005-0000-0000-000057800000}"/>
    <cellStyle name="Percent 2 4 8 3 6" xfId="9586" xr:uid="{00000000-0005-0000-0000-000058800000}"/>
    <cellStyle name="Percent 2 4 8 3 6 2" xfId="29638" xr:uid="{00000000-0005-0000-0000-000059800000}"/>
    <cellStyle name="Percent 2 4 8 3 7" xfId="20608" xr:uid="{00000000-0005-0000-0000-00005A800000}"/>
    <cellStyle name="Percent 2 4 8 4" xfId="742" xr:uid="{00000000-0005-0000-0000-00005B800000}"/>
    <cellStyle name="Percent 2 4 8 4 2" xfId="1489" xr:uid="{00000000-0005-0000-0000-00005C800000}"/>
    <cellStyle name="Percent 2 4 8 4 2 2" xfId="2983" xr:uid="{00000000-0005-0000-0000-00005D800000}"/>
    <cellStyle name="Percent 2 4 8 4 2 2 2" xfId="7465" xr:uid="{00000000-0005-0000-0000-00005E800000}"/>
    <cellStyle name="Percent 2 4 8 4 2 2 2 2" xfId="16495" xr:uid="{00000000-0005-0000-0000-00005F800000}"/>
    <cellStyle name="Percent 2 4 8 4 2 2 2 2 2" xfId="36547" xr:uid="{00000000-0005-0000-0000-000060800000}"/>
    <cellStyle name="Percent 2 4 8 4 2 2 2 3" xfId="27517" xr:uid="{00000000-0005-0000-0000-000061800000}"/>
    <cellStyle name="Percent 2 4 8 4 2 2 3" xfId="12013" xr:uid="{00000000-0005-0000-0000-000062800000}"/>
    <cellStyle name="Percent 2 4 8 4 2 2 3 2" xfId="32065" xr:uid="{00000000-0005-0000-0000-000063800000}"/>
    <cellStyle name="Percent 2 4 8 4 2 2 4" xfId="23035" xr:uid="{00000000-0005-0000-0000-000064800000}"/>
    <cellStyle name="Percent 2 4 8 4 2 3" xfId="4477" xr:uid="{00000000-0005-0000-0000-000065800000}"/>
    <cellStyle name="Percent 2 4 8 4 2 3 2" xfId="8959" xr:uid="{00000000-0005-0000-0000-000066800000}"/>
    <cellStyle name="Percent 2 4 8 4 2 3 2 2" xfId="17989" xr:uid="{00000000-0005-0000-0000-000067800000}"/>
    <cellStyle name="Percent 2 4 8 4 2 3 2 2 2" xfId="38041" xr:uid="{00000000-0005-0000-0000-000068800000}"/>
    <cellStyle name="Percent 2 4 8 4 2 3 2 3" xfId="29011" xr:uid="{00000000-0005-0000-0000-000069800000}"/>
    <cellStyle name="Percent 2 4 8 4 2 3 3" xfId="13507" xr:uid="{00000000-0005-0000-0000-00006A800000}"/>
    <cellStyle name="Percent 2 4 8 4 2 3 3 2" xfId="33559" xr:uid="{00000000-0005-0000-0000-00006B800000}"/>
    <cellStyle name="Percent 2 4 8 4 2 3 4" xfId="24529" xr:uid="{00000000-0005-0000-0000-00006C800000}"/>
    <cellStyle name="Percent 2 4 8 4 2 4" xfId="5971" xr:uid="{00000000-0005-0000-0000-00006D800000}"/>
    <cellStyle name="Percent 2 4 8 4 2 4 2" xfId="15001" xr:uid="{00000000-0005-0000-0000-00006E800000}"/>
    <cellStyle name="Percent 2 4 8 4 2 4 2 2" xfId="35053" xr:uid="{00000000-0005-0000-0000-00006F800000}"/>
    <cellStyle name="Percent 2 4 8 4 2 4 3" xfId="26023" xr:uid="{00000000-0005-0000-0000-000070800000}"/>
    <cellStyle name="Percent 2 4 8 4 2 5" xfId="10519" xr:uid="{00000000-0005-0000-0000-000071800000}"/>
    <cellStyle name="Percent 2 4 8 4 2 5 2" xfId="30571" xr:uid="{00000000-0005-0000-0000-000072800000}"/>
    <cellStyle name="Percent 2 4 8 4 2 6" xfId="21541" xr:uid="{00000000-0005-0000-0000-000073800000}"/>
    <cellStyle name="Percent 2 4 8 4 3" xfId="2236" xr:uid="{00000000-0005-0000-0000-000074800000}"/>
    <cellStyle name="Percent 2 4 8 4 3 2" xfId="6718" xr:uid="{00000000-0005-0000-0000-000075800000}"/>
    <cellStyle name="Percent 2 4 8 4 3 2 2" xfId="15748" xr:uid="{00000000-0005-0000-0000-000076800000}"/>
    <cellStyle name="Percent 2 4 8 4 3 2 2 2" xfId="35800" xr:uid="{00000000-0005-0000-0000-000077800000}"/>
    <cellStyle name="Percent 2 4 8 4 3 2 3" xfId="26770" xr:uid="{00000000-0005-0000-0000-000078800000}"/>
    <cellStyle name="Percent 2 4 8 4 3 3" xfId="11266" xr:uid="{00000000-0005-0000-0000-000079800000}"/>
    <cellStyle name="Percent 2 4 8 4 3 3 2" xfId="31318" xr:uid="{00000000-0005-0000-0000-00007A800000}"/>
    <cellStyle name="Percent 2 4 8 4 3 4" xfId="22288" xr:uid="{00000000-0005-0000-0000-00007B800000}"/>
    <cellStyle name="Percent 2 4 8 4 4" xfId="3730" xr:uid="{00000000-0005-0000-0000-00007C800000}"/>
    <cellStyle name="Percent 2 4 8 4 4 2" xfId="8212" xr:uid="{00000000-0005-0000-0000-00007D800000}"/>
    <cellStyle name="Percent 2 4 8 4 4 2 2" xfId="17242" xr:uid="{00000000-0005-0000-0000-00007E800000}"/>
    <cellStyle name="Percent 2 4 8 4 4 2 2 2" xfId="37294" xr:uid="{00000000-0005-0000-0000-00007F800000}"/>
    <cellStyle name="Percent 2 4 8 4 4 2 3" xfId="28264" xr:uid="{00000000-0005-0000-0000-000080800000}"/>
    <cellStyle name="Percent 2 4 8 4 4 3" xfId="12760" xr:uid="{00000000-0005-0000-0000-000081800000}"/>
    <cellStyle name="Percent 2 4 8 4 4 3 2" xfId="32812" xr:uid="{00000000-0005-0000-0000-000082800000}"/>
    <cellStyle name="Percent 2 4 8 4 4 4" xfId="23782" xr:uid="{00000000-0005-0000-0000-000083800000}"/>
    <cellStyle name="Percent 2 4 8 4 5" xfId="5224" xr:uid="{00000000-0005-0000-0000-000084800000}"/>
    <cellStyle name="Percent 2 4 8 4 5 2" xfId="14254" xr:uid="{00000000-0005-0000-0000-000085800000}"/>
    <cellStyle name="Percent 2 4 8 4 5 2 2" xfId="34306" xr:uid="{00000000-0005-0000-0000-000086800000}"/>
    <cellStyle name="Percent 2 4 8 4 5 3" xfId="25276" xr:uid="{00000000-0005-0000-0000-000087800000}"/>
    <cellStyle name="Percent 2 4 8 4 6" xfId="9772" xr:uid="{00000000-0005-0000-0000-000088800000}"/>
    <cellStyle name="Percent 2 4 8 4 6 2" xfId="29824" xr:uid="{00000000-0005-0000-0000-000089800000}"/>
    <cellStyle name="Percent 2 4 8 4 7" xfId="20794" xr:uid="{00000000-0005-0000-0000-00008A800000}"/>
    <cellStyle name="Percent 2 4 8 5" xfId="929" xr:uid="{00000000-0005-0000-0000-00008B800000}"/>
    <cellStyle name="Percent 2 4 8 5 2" xfId="2423" xr:uid="{00000000-0005-0000-0000-00008C800000}"/>
    <cellStyle name="Percent 2 4 8 5 2 2" xfId="6905" xr:uid="{00000000-0005-0000-0000-00008D800000}"/>
    <cellStyle name="Percent 2 4 8 5 2 2 2" xfId="15935" xr:uid="{00000000-0005-0000-0000-00008E800000}"/>
    <cellStyle name="Percent 2 4 8 5 2 2 2 2" xfId="35987" xr:uid="{00000000-0005-0000-0000-00008F800000}"/>
    <cellStyle name="Percent 2 4 8 5 2 2 3" xfId="26957" xr:uid="{00000000-0005-0000-0000-000090800000}"/>
    <cellStyle name="Percent 2 4 8 5 2 3" xfId="11453" xr:uid="{00000000-0005-0000-0000-000091800000}"/>
    <cellStyle name="Percent 2 4 8 5 2 3 2" xfId="31505" xr:uid="{00000000-0005-0000-0000-000092800000}"/>
    <cellStyle name="Percent 2 4 8 5 2 4" xfId="22475" xr:uid="{00000000-0005-0000-0000-000093800000}"/>
    <cellStyle name="Percent 2 4 8 5 3" xfId="3917" xr:uid="{00000000-0005-0000-0000-000094800000}"/>
    <cellStyle name="Percent 2 4 8 5 3 2" xfId="8399" xr:uid="{00000000-0005-0000-0000-000095800000}"/>
    <cellStyle name="Percent 2 4 8 5 3 2 2" xfId="17429" xr:uid="{00000000-0005-0000-0000-000096800000}"/>
    <cellStyle name="Percent 2 4 8 5 3 2 2 2" xfId="37481" xr:uid="{00000000-0005-0000-0000-000097800000}"/>
    <cellStyle name="Percent 2 4 8 5 3 2 3" xfId="28451" xr:uid="{00000000-0005-0000-0000-000098800000}"/>
    <cellStyle name="Percent 2 4 8 5 3 3" xfId="12947" xr:uid="{00000000-0005-0000-0000-000099800000}"/>
    <cellStyle name="Percent 2 4 8 5 3 3 2" xfId="32999" xr:uid="{00000000-0005-0000-0000-00009A800000}"/>
    <cellStyle name="Percent 2 4 8 5 3 4" xfId="23969" xr:uid="{00000000-0005-0000-0000-00009B800000}"/>
    <cellStyle name="Percent 2 4 8 5 4" xfId="5411" xr:uid="{00000000-0005-0000-0000-00009C800000}"/>
    <cellStyle name="Percent 2 4 8 5 4 2" xfId="14441" xr:uid="{00000000-0005-0000-0000-00009D800000}"/>
    <cellStyle name="Percent 2 4 8 5 4 2 2" xfId="34493" xr:uid="{00000000-0005-0000-0000-00009E800000}"/>
    <cellStyle name="Percent 2 4 8 5 4 3" xfId="25463" xr:uid="{00000000-0005-0000-0000-00009F800000}"/>
    <cellStyle name="Percent 2 4 8 5 5" xfId="9959" xr:uid="{00000000-0005-0000-0000-0000A0800000}"/>
    <cellStyle name="Percent 2 4 8 5 5 2" xfId="30011" xr:uid="{00000000-0005-0000-0000-0000A1800000}"/>
    <cellStyle name="Percent 2 4 8 5 6" xfId="20981" xr:uid="{00000000-0005-0000-0000-0000A2800000}"/>
    <cellStyle name="Percent 2 4 8 6" xfId="1678" xr:uid="{00000000-0005-0000-0000-0000A3800000}"/>
    <cellStyle name="Percent 2 4 8 6 2" xfId="6160" xr:uid="{00000000-0005-0000-0000-0000A4800000}"/>
    <cellStyle name="Percent 2 4 8 6 2 2" xfId="15190" xr:uid="{00000000-0005-0000-0000-0000A5800000}"/>
    <cellStyle name="Percent 2 4 8 6 2 2 2" xfId="35242" xr:uid="{00000000-0005-0000-0000-0000A6800000}"/>
    <cellStyle name="Percent 2 4 8 6 2 3" xfId="26212" xr:uid="{00000000-0005-0000-0000-0000A7800000}"/>
    <cellStyle name="Percent 2 4 8 6 3" xfId="10708" xr:uid="{00000000-0005-0000-0000-0000A8800000}"/>
    <cellStyle name="Percent 2 4 8 6 3 2" xfId="30760" xr:uid="{00000000-0005-0000-0000-0000A9800000}"/>
    <cellStyle name="Percent 2 4 8 6 4" xfId="21730" xr:uid="{00000000-0005-0000-0000-0000AA800000}"/>
    <cellStyle name="Percent 2 4 8 7" xfId="3172" xr:uid="{00000000-0005-0000-0000-0000AB800000}"/>
    <cellStyle name="Percent 2 4 8 7 2" xfId="7654" xr:uid="{00000000-0005-0000-0000-0000AC800000}"/>
    <cellStyle name="Percent 2 4 8 7 2 2" xfId="16684" xr:uid="{00000000-0005-0000-0000-0000AD800000}"/>
    <cellStyle name="Percent 2 4 8 7 2 2 2" xfId="36736" xr:uid="{00000000-0005-0000-0000-0000AE800000}"/>
    <cellStyle name="Percent 2 4 8 7 2 3" xfId="27706" xr:uid="{00000000-0005-0000-0000-0000AF800000}"/>
    <cellStyle name="Percent 2 4 8 7 3" xfId="12202" xr:uid="{00000000-0005-0000-0000-0000B0800000}"/>
    <cellStyle name="Percent 2 4 8 7 3 2" xfId="32254" xr:uid="{00000000-0005-0000-0000-0000B1800000}"/>
    <cellStyle name="Percent 2 4 8 7 4" xfId="23224" xr:uid="{00000000-0005-0000-0000-0000B2800000}"/>
    <cellStyle name="Percent 2 4 8 8" xfId="4666" xr:uid="{00000000-0005-0000-0000-0000B3800000}"/>
    <cellStyle name="Percent 2 4 8 8 2" xfId="13696" xr:uid="{00000000-0005-0000-0000-0000B4800000}"/>
    <cellStyle name="Percent 2 4 8 8 2 2" xfId="33748" xr:uid="{00000000-0005-0000-0000-0000B5800000}"/>
    <cellStyle name="Percent 2 4 8 8 3" xfId="24718" xr:uid="{00000000-0005-0000-0000-0000B6800000}"/>
    <cellStyle name="Percent 2 4 8 9" xfId="9214" xr:uid="{00000000-0005-0000-0000-0000B7800000}"/>
    <cellStyle name="Percent 2 4 8 9 2" xfId="29266" xr:uid="{00000000-0005-0000-0000-0000B8800000}"/>
    <cellStyle name="Percent 2 4 9" xfId="207" xr:uid="{00000000-0005-0000-0000-0000B9800000}"/>
    <cellStyle name="Percent 2 4 9 2" xfId="952" xr:uid="{00000000-0005-0000-0000-0000BA800000}"/>
    <cellStyle name="Percent 2 4 9 2 2" xfId="2446" xr:uid="{00000000-0005-0000-0000-0000BB800000}"/>
    <cellStyle name="Percent 2 4 9 2 2 2" xfId="6928" xr:uid="{00000000-0005-0000-0000-0000BC800000}"/>
    <cellStyle name="Percent 2 4 9 2 2 2 2" xfId="15958" xr:uid="{00000000-0005-0000-0000-0000BD800000}"/>
    <cellStyle name="Percent 2 4 9 2 2 2 2 2" xfId="36010" xr:uid="{00000000-0005-0000-0000-0000BE800000}"/>
    <cellStyle name="Percent 2 4 9 2 2 2 3" xfId="26980" xr:uid="{00000000-0005-0000-0000-0000BF800000}"/>
    <cellStyle name="Percent 2 4 9 2 2 3" xfId="11476" xr:uid="{00000000-0005-0000-0000-0000C0800000}"/>
    <cellStyle name="Percent 2 4 9 2 2 3 2" xfId="31528" xr:uid="{00000000-0005-0000-0000-0000C1800000}"/>
    <cellStyle name="Percent 2 4 9 2 2 4" xfId="22498" xr:uid="{00000000-0005-0000-0000-0000C2800000}"/>
    <cellStyle name="Percent 2 4 9 2 3" xfId="3940" xr:uid="{00000000-0005-0000-0000-0000C3800000}"/>
    <cellStyle name="Percent 2 4 9 2 3 2" xfId="8422" xr:uid="{00000000-0005-0000-0000-0000C4800000}"/>
    <cellStyle name="Percent 2 4 9 2 3 2 2" xfId="17452" xr:uid="{00000000-0005-0000-0000-0000C5800000}"/>
    <cellStyle name="Percent 2 4 9 2 3 2 2 2" xfId="37504" xr:uid="{00000000-0005-0000-0000-0000C6800000}"/>
    <cellStyle name="Percent 2 4 9 2 3 2 3" xfId="28474" xr:uid="{00000000-0005-0000-0000-0000C7800000}"/>
    <cellStyle name="Percent 2 4 9 2 3 3" xfId="12970" xr:uid="{00000000-0005-0000-0000-0000C8800000}"/>
    <cellStyle name="Percent 2 4 9 2 3 3 2" xfId="33022" xr:uid="{00000000-0005-0000-0000-0000C9800000}"/>
    <cellStyle name="Percent 2 4 9 2 3 4" xfId="23992" xr:uid="{00000000-0005-0000-0000-0000CA800000}"/>
    <cellStyle name="Percent 2 4 9 2 4" xfId="5434" xr:uid="{00000000-0005-0000-0000-0000CB800000}"/>
    <cellStyle name="Percent 2 4 9 2 4 2" xfId="14464" xr:uid="{00000000-0005-0000-0000-0000CC800000}"/>
    <cellStyle name="Percent 2 4 9 2 4 2 2" xfId="34516" xr:uid="{00000000-0005-0000-0000-0000CD800000}"/>
    <cellStyle name="Percent 2 4 9 2 4 3" xfId="25486" xr:uid="{00000000-0005-0000-0000-0000CE800000}"/>
    <cellStyle name="Percent 2 4 9 2 5" xfId="9982" xr:uid="{00000000-0005-0000-0000-0000CF800000}"/>
    <cellStyle name="Percent 2 4 9 2 5 2" xfId="30034" xr:uid="{00000000-0005-0000-0000-0000D0800000}"/>
    <cellStyle name="Percent 2 4 9 2 6" xfId="21004" xr:uid="{00000000-0005-0000-0000-0000D1800000}"/>
    <cellStyle name="Percent 2 4 9 3" xfId="1701" xr:uid="{00000000-0005-0000-0000-0000D2800000}"/>
    <cellStyle name="Percent 2 4 9 3 2" xfId="6183" xr:uid="{00000000-0005-0000-0000-0000D3800000}"/>
    <cellStyle name="Percent 2 4 9 3 2 2" xfId="15213" xr:uid="{00000000-0005-0000-0000-0000D4800000}"/>
    <cellStyle name="Percent 2 4 9 3 2 2 2" xfId="35265" xr:uid="{00000000-0005-0000-0000-0000D5800000}"/>
    <cellStyle name="Percent 2 4 9 3 2 3" xfId="26235" xr:uid="{00000000-0005-0000-0000-0000D6800000}"/>
    <cellStyle name="Percent 2 4 9 3 3" xfId="10731" xr:uid="{00000000-0005-0000-0000-0000D7800000}"/>
    <cellStyle name="Percent 2 4 9 3 3 2" xfId="30783" xr:uid="{00000000-0005-0000-0000-0000D8800000}"/>
    <cellStyle name="Percent 2 4 9 3 4" xfId="21753" xr:uid="{00000000-0005-0000-0000-0000D9800000}"/>
    <cellStyle name="Percent 2 4 9 4" xfId="3195" xr:uid="{00000000-0005-0000-0000-0000DA800000}"/>
    <cellStyle name="Percent 2 4 9 4 2" xfId="7677" xr:uid="{00000000-0005-0000-0000-0000DB800000}"/>
    <cellStyle name="Percent 2 4 9 4 2 2" xfId="16707" xr:uid="{00000000-0005-0000-0000-0000DC800000}"/>
    <cellStyle name="Percent 2 4 9 4 2 2 2" xfId="36759" xr:uid="{00000000-0005-0000-0000-0000DD800000}"/>
    <cellStyle name="Percent 2 4 9 4 2 3" xfId="27729" xr:uid="{00000000-0005-0000-0000-0000DE800000}"/>
    <cellStyle name="Percent 2 4 9 4 3" xfId="12225" xr:uid="{00000000-0005-0000-0000-0000DF800000}"/>
    <cellStyle name="Percent 2 4 9 4 3 2" xfId="32277" xr:uid="{00000000-0005-0000-0000-0000E0800000}"/>
    <cellStyle name="Percent 2 4 9 4 4" xfId="23247" xr:uid="{00000000-0005-0000-0000-0000E1800000}"/>
    <cellStyle name="Percent 2 4 9 5" xfId="4689" xr:uid="{00000000-0005-0000-0000-0000E2800000}"/>
    <cellStyle name="Percent 2 4 9 5 2" xfId="13719" xr:uid="{00000000-0005-0000-0000-0000E3800000}"/>
    <cellStyle name="Percent 2 4 9 5 2 2" xfId="33771" xr:uid="{00000000-0005-0000-0000-0000E4800000}"/>
    <cellStyle name="Percent 2 4 9 5 3" xfId="24741" xr:uid="{00000000-0005-0000-0000-0000E5800000}"/>
    <cellStyle name="Percent 2 4 9 6" xfId="9237" xr:uid="{00000000-0005-0000-0000-0000E6800000}"/>
    <cellStyle name="Percent 2 4 9 6 2" xfId="29289" xr:uid="{00000000-0005-0000-0000-0000E7800000}"/>
    <cellStyle name="Percent 2 4 9 7" xfId="20259" xr:uid="{00000000-0005-0000-0000-0000E8800000}"/>
    <cellStyle name="Percent 2 5" xfId="34" xr:uid="{00000000-0005-0000-0000-0000E9800000}"/>
    <cellStyle name="Percent 2 5 10" xfId="20086" xr:uid="{00000000-0005-0000-0000-0000EA800000}"/>
    <cellStyle name="Percent 2 5 2" xfId="220" xr:uid="{00000000-0005-0000-0000-0000EB800000}"/>
    <cellStyle name="Percent 2 5 2 2" xfId="965" xr:uid="{00000000-0005-0000-0000-0000EC800000}"/>
    <cellStyle name="Percent 2 5 2 2 2" xfId="2459" xr:uid="{00000000-0005-0000-0000-0000ED800000}"/>
    <cellStyle name="Percent 2 5 2 2 2 2" xfId="6941" xr:uid="{00000000-0005-0000-0000-0000EE800000}"/>
    <cellStyle name="Percent 2 5 2 2 2 2 2" xfId="15971" xr:uid="{00000000-0005-0000-0000-0000EF800000}"/>
    <cellStyle name="Percent 2 5 2 2 2 2 2 2" xfId="36023" xr:uid="{00000000-0005-0000-0000-0000F0800000}"/>
    <cellStyle name="Percent 2 5 2 2 2 2 3" xfId="26993" xr:uid="{00000000-0005-0000-0000-0000F1800000}"/>
    <cellStyle name="Percent 2 5 2 2 2 3" xfId="11489" xr:uid="{00000000-0005-0000-0000-0000F2800000}"/>
    <cellStyle name="Percent 2 5 2 2 2 3 2" xfId="31541" xr:uid="{00000000-0005-0000-0000-0000F3800000}"/>
    <cellStyle name="Percent 2 5 2 2 2 4" xfId="22511" xr:uid="{00000000-0005-0000-0000-0000F4800000}"/>
    <cellStyle name="Percent 2 5 2 2 3" xfId="3953" xr:uid="{00000000-0005-0000-0000-0000F5800000}"/>
    <cellStyle name="Percent 2 5 2 2 3 2" xfId="8435" xr:uid="{00000000-0005-0000-0000-0000F6800000}"/>
    <cellStyle name="Percent 2 5 2 2 3 2 2" xfId="17465" xr:uid="{00000000-0005-0000-0000-0000F7800000}"/>
    <cellStyle name="Percent 2 5 2 2 3 2 2 2" xfId="37517" xr:uid="{00000000-0005-0000-0000-0000F8800000}"/>
    <cellStyle name="Percent 2 5 2 2 3 2 3" xfId="28487" xr:uid="{00000000-0005-0000-0000-0000F9800000}"/>
    <cellStyle name="Percent 2 5 2 2 3 3" xfId="12983" xr:uid="{00000000-0005-0000-0000-0000FA800000}"/>
    <cellStyle name="Percent 2 5 2 2 3 3 2" xfId="33035" xr:uid="{00000000-0005-0000-0000-0000FB800000}"/>
    <cellStyle name="Percent 2 5 2 2 3 4" xfId="24005" xr:uid="{00000000-0005-0000-0000-0000FC800000}"/>
    <cellStyle name="Percent 2 5 2 2 4" xfId="5447" xr:uid="{00000000-0005-0000-0000-0000FD800000}"/>
    <cellStyle name="Percent 2 5 2 2 4 2" xfId="14477" xr:uid="{00000000-0005-0000-0000-0000FE800000}"/>
    <cellStyle name="Percent 2 5 2 2 4 2 2" xfId="34529" xr:uid="{00000000-0005-0000-0000-0000FF800000}"/>
    <cellStyle name="Percent 2 5 2 2 4 3" xfId="25499" xr:uid="{00000000-0005-0000-0000-000000810000}"/>
    <cellStyle name="Percent 2 5 2 2 5" xfId="9995" xr:uid="{00000000-0005-0000-0000-000001810000}"/>
    <cellStyle name="Percent 2 5 2 2 5 2" xfId="30047" xr:uid="{00000000-0005-0000-0000-000002810000}"/>
    <cellStyle name="Percent 2 5 2 2 6" xfId="21017" xr:uid="{00000000-0005-0000-0000-000003810000}"/>
    <cellStyle name="Percent 2 5 2 3" xfId="1714" xr:uid="{00000000-0005-0000-0000-000004810000}"/>
    <cellStyle name="Percent 2 5 2 3 2" xfId="6196" xr:uid="{00000000-0005-0000-0000-000005810000}"/>
    <cellStyle name="Percent 2 5 2 3 2 2" xfId="15226" xr:uid="{00000000-0005-0000-0000-000006810000}"/>
    <cellStyle name="Percent 2 5 2 3 2 2 2" xfId="35278" xr:uid="{00000000-0005-0000-0000-000007810000}"/>
    <cellStyle name="Percent 2 5 2 3 2 3" xfId="26248" xr:uid="{00000000-0005-0000-0000-000008810000}"/>
    <cellStyle name="Percent 2 5 2 3 3" xfId="10744" xr:uid="{00000000-0005-0000-0000-000009810000}"/>
    <cellStyle name="Percent 2 5 2 3 3 2" xfId="30796" xr:uid="{00000000-0005-0000-0000-00000A810000}"/>
    <cellStyle name="Percent 2 5 2 3 4" xfId="21766" xr:uid="{00000000-0005-0000-0000-00000B810000}"/>
    <cellStyle name="Percent 2 5 2 4" xfId="3208" xr:uid="{00000000-0005-0000-0000-00000C810000}"/>
    <cellStyle name="Percent 2 5 2 4 2" xfId="7690" xr:uid="{00000000-0005-0000-0000-00000D810000}"/>
    <cellStyle name="Percent 2 5 2 4 2 2" xfId="16720" xr:uid="{00000000-0005-0000-0000-00000E810000}"/>
    <cellStyle name="Percent 2 5 2 4 2 2 2" xfId="36772" xr:uid="{00000000-0005-0000-0000-00000F810000}"/>
    <cellStyle name="Percent 2 5 2 4 2 3" xfId="27742" xr:uid="{00000000-0005-0000-0000-000010810000}"/>
    <cellStyle name="Percent 2 5 2 4 3" xfId="12238" xr:uid="{00000000-0005-0000-0000-000011810000}"/>
    <cellStyle name="Percent 2 5 2 4 3 2" xfId="32290" xr:uid="{00000000-0005-0000-0000-000012810000}"/>
    <cellStyle name="Percent 2 5 2 4 4" xfId="23260" xr:uid="{00000000-0005-0000-0000-000013810000}"/>
    <cellStyle name="Percent 2 5 2 5" xfId="4702" xr:uid="{00000000-0005-0000-0000-000014810000}"/>
    <cellStyle name="Percent 2 5 2 5 2" xfId="13732" xr:uid="{00000000-0005-0000-0000-000015810000}"/>
    <cellStyle name="Percent 2 5 2 5 2 2" xfId="33784" xr:uid="{00000000-0005-0000-0000-000016810000}"/>
    <cellStyle name="Percent 2 5 2 5 3" xfId="24754" xr:uid="{00000000-0005-0000-0000-000017810000}"/>
    <cellStyle name="Percent 2 5 2 6" xfId="9250" xr:uid="{00000000-0005-0000-0000-000018810000}"/>
    <cellStyle name="Percent 2 5 2 6 2" xfId="29302" xr:uid="{00000000-0005-0000-0000-000019810000}"/>
    <cellStyle name="Percent 2 5 2 7" xfId="20272" xr:uid="{00000000-0005-0000-0000-00001A810000}"/>
    <cellStyle name="Percent 2 5 3" xfId="406" xr:uid="{00000000-0005-0000-0000-00001B810000}"/>
    <cellStyle name="Percent 2 5 3 2" xfId="1153" xr:uid="{00000000-0005-0000-0000-00001C810000}"/>
    <cellStyle name="Percent 2 5 3 2 2" xfId="2647" xr:uid="{00000000-0005-0000-0000-00001D810000}"/>
    <cellStyle name="Percent 2 5 3 2 2 2" xfId="7129" xr:uid="{00000000-0005-0000-0000-00001E810000}"/>
    <cellStyle name="Percent 2 5 3 2 2 2 2" xfId="16159" xr:uid="{00000000-0005-0000-0000-00001F810000}"/>
    <cellStyle name="Percent 2 5 3 2 2 2 2 2" xfId="36211" xr:uid="{00000000-0005-0000-0000-000020810000}"/>
    <cellStyle name="Percent 2 5 3 2 2 2 3" xfId="27181" xr:uid="{00000000-0005-0000-0000-000021810000}"/>
    <cellStyle name="Percent 2 5 3 2 2 3" xfId="11677" xr:uid="{00000000-0005-0000-0000-000022810000}"/>
    <cellStyle name="Percent 2 5 3 2 2 3 2" xfId="31729" xr:uid="{00000000-0005-0000-0000-000023810000}"/>
    <cellStyle name="Percent 2 5 3 2 2 4" xfId="22699" xr:uid="{00000000-0005-0000-0000-000024810000}"/>
    <cellStyle name="Percent 2 5 3 2 3" xfId="4141" xr:uid="{00000000-0005-0000-0000-000025810000}"/>
    <cellStyle name="Percent 2 5 3 2 3 2" xfId="8623" xr:uid="{00000000-0005-0000-0000-000026810000}"/>
    <cellStyle name="Percent 2 5 3 2 3 2 2" xfId="17653" xr:uid="{00000000-0005-0000-0000-000027810000}"/>
    <cellStyle name="Percent 2 5 3 2 3 2 2 2" xfId="37705" xr:uid="{00000000-0005-0000-0000-000028810000}"/>
    <cellStyle name="Percent 2 5 3 2 3 2 3" xfId="28675" xr:uid="{00000000-0005-0000-0000-000029810000}"/>
    <cellStyle name="Percent 2 5 3 2 3 3" xfId="13171" xr:uid="{00000000-0005-0000-0000-00002A810000}"/>
    <cellStyle name="Percent 2 5 3 2 3 3 2" xfId="33223" xr:uid="{00000000-0005-0000-0000-00002B810000}"/>
    <cellStyle name="Percent 2 5 3 2 3 4" xfId="24193" xr:uid="{00000000-0005-0000-0000-00002C810000}"/>
    <cellStyle name="Percent 2 5 3 2 4" xfId="5635" xr:uid="{00000000-0005-0000-0000-00002D810000}"/>
    <cellStyle name="Percent 2 5 3 2 4 2" xfId="14665" xr:uid="{00000000-0005-0000-0000-00002E810000}"/>
    <cellStyle name="Percent 2 5 3 2 4 2 2" xfId="34717" xr:uid="{00000000-0005-0000-0000-00002F810000}"/>
    <cellStyle name="Percent 2 5 3 2 4 3" xfId="25687" xr:uid="{00000000-0005-0000-0000-000030810000}"/>
    <cellStyle name="Percent 2 5 3 2 5" xfId="10183" xr:uid="{00000000-0005-0000-0000-000031810000}"/>
    <cellStyle name="Percent 2 5 3 2 5 2" xfId="30235" xr:uid="{00000000-0005-0000-0000-000032810000}"/>
    <cellStyle name="Percent 2 5 3 2 6" xfId="21205" xr:uid="{00000000-0005-0000-0000-000033810000}"/>
    <cellStyle name="Percent 2 5 3 3" xfId="1900" xr:uid="{00000000-0005-0000-0000-000034810000}"/>
    <cellStyle name="Percent 2 5 3 3 2" xfId="6382" xr:uid="{00000000-0005-0000-0000-000035810000}"/>
    <cellStyle name="Percent 2 5 3 3 2 2" xfId="15412" xr:uid="{00000000-0005-0000-0000-000036810000}"/>
    <cellStyle name="Percent 2 5 3 3 2 2 2" xfId="35464" xr:uid="{00000000-0005-0000-0000-000037810000}"/>
    <cellStyle name="Percent 2 5 3 3 2 3" xfId="26434" xr:uid="{00000000-0005-0000-0000-000038810000}"/>
    <cellStyle name="Percent 2 5 3 3 3" xfId="10930" xr:uid="{00000000-0005-0000-0000-000039810000}"/>
    <cellStyle name="Percent 2 5 3 3 3 2" xfId="30982" xr:uid="{00000000-0005-0000-0000-00003A810000}"/>
    <cellStyle name="Percent 2 5 3 3 4" xfId="21952" xr:uid="{00000000-0005-0000-0000-00003B810000}"/>
    <cellStyle name="Percent 2 5 3 4" xfId="3394" xr:uid="{00000000-0005-0000-0000-00003C810000}"/>
    <cellStyle name="Percent 2 5 3 4 2" xfId="7876" xr:uid="{00000000-0005-0000-0000-00003D810000}"/>
    <cellStyle name="Percent 2 5 3 4 2 2" xfId="16906" xr:uid="{00000000-0005-0000-0000-00003E810000}"/>
    <cellStyle name="Percent 2 5 3 4 2 2 2" xfId="36958" xr:uid="{00000000-0005-0000-0000-00003F810000}"/>
    <cellStyle name="Percent 2 5 3 4 2 3" xfId="27928" xr:uid="{00000000-0005-0000-0000-000040810000}"/>
    <cellStyle name="Percent 2 5 3 4 3" xfId="12424" xr:uid="{00000000-0005-0000-0000-000041810000}"/>
    <cellStyle name="Percent 2 5 3 4 3 2" xfId="32476" xr:uid="{00000000-0005-0000-0000-000042810000}"/>
    <cellStyle name="Percent 2 5 3 4 4" xfId="23446" xr:uid="{00000000-0005-0000-0000-000043810000}"/>
    <cellStyle name="Percent 2 5 3 5" xfId="4888" xr:uid="{00000000-0005-0000-0000-000044810000}"/>
    <cellStyle name="Percent 2 5 3 5 2" xfId="13918" xr:uid="{00000000-0005-0000-0000-000045810000}"/>
    <cellStyle name="Percent 2 5 3 5 2 2" xfId="33970" xr:uid="{00000000-0005-0000-0000-000046810000}"/>
    <cellStyle name="Percent 2 5 3 5 3" xfId="24940" xr:uid="{00000000-0005-0000-0000-000047810000}"/>
    <cellStyle name="Percent 2 5 3 6" xfId="9436" xr:uid="{00000000-0005-0000-0000-000048810000}"/>
    <cellStyle name="Percent 2 5 3 6 2" xfId="29488" xr:uid="{00000000-0005-0000-0000-000049810000}"/>
    <cellStyle name="Percent 2 5 3 7" xfId="20458" xr:uid="{00000000-0005-0000-0000-00004A810000}"/>
    <cellStyle name="Percent 2 5 4" xfId="592" xr:uid="{00000000-0005-0000-0000-00004B810000}"/>
    <cellStyle name="Percent 2 5 4 2" xfId="1339" xr:uid="{00000000-0005-0000-0000-00004C810000}"/>
    <cellStyle name="Percent 2 5 4 2 2" xfId="2833" xr:uid="{00000000-0005-0000-0000-00004D810000}"/>
    <cellStyle name="Percent 2 5 4 2 2 2" xfId="7315" xr:uid="{00000000-0005-0000-0000-00004E810000}"/>
    <cellStyle name="Percent 2 5 4 2 2 2 2" xfId="16345" xr:uid="{00000000-0005-0000-0000-00004F810000}"/>
    <cellStyle name="Percent 2 5 4 2 2 2 2 2" xfId="36397" xr:uid="{00000000-0005-0000-0000-000050810000}"/>
    <cellStyle name="Percent 2 5 4 2 2 2 3" xfId="27367" xr:uid="{00000000-0005-0000-0000-000051810000}"/>
    <cellStyle name="Percent 2 5 4 2 2 3" xfId="11863" xr:uid="{00000000-0005-0000-0000-000052810000}"/>
    <cellStyle name="Percent 2 5 4 2 2 3 2" xfId="31915" xr:uid="{00000000-0005-0000-0000-000053810000}"/>
    <cellStyle name="Percent 2 5 4 2 2 4" xfId="22885" xr:uid="{00000000-0005-0000-0000-000054810000}"/>
    <cellStyle name="Percent 2 5 4 2 3" xfId="4327" xr:uid="{00000000-0005-0000-0000-000055810000}"/>
    <cellStyle name="Percent 2 5 4 2 3 2" xfId="8809" xr:uid="{00000000-0005-0000-0000-000056810000}"/>
    <cellStyle name="Percent 2 5 4 2 3 2 2" xfId="17839" xr:uid="{00000000-0005-0000-0000-000057810000}"/>
    <cellStyle name="Percent 2 5 4 2 3 2 2 2" xfId="37891" xr:uid="{00000000-0005-0000-0000-000058810000}"/>
    <cellStyle name="Percent 2 5 4 2 3 2 3" xfId="28861" xr:uid="{00000000-0005-0000-0000-000059810000}"/>
    <cellStyle name="Percent 2 5 4 2 3 3" xfId="13357" xr:uid="{00000000-0005-0000-0000-00005A810000}"/>
    <cellStyle name="Percent 2 5 4 2 3 3 2" xfId="33409" xr:uid="{00000000-0005-0000-0000-00005B810000}"/>
    <cellStyle name="Percent 2 5 4 2 3 4" xfId="24379" xr:uid="{00000000-0005-0000-0000-00005C810000}"/>
    <cellStyle name="Percent 2 5 4 2 4" xfId="5821" xr:uid="{00000000-0005-0000-0000-00005D810000}"/>
    <cellStyle name="Percent 2 5 4 2 4 2" xfId="14851" xr:uid="{00000000-0005-0000-0000-00005E810000}"/>
    <cellStyle name="Percent 2 5 4 2 4 2 2" xfId="34903" xr:uid="{00000000-0005-0000-0000-00005F810000}"/>
    <cellStyle name="Percent 2 5 4 2 4 3" xfId="25873" xr:uid="{00000000-0005-0000-0000-000060810000}"/>
    <cellStyle name="Percent 2 5 4 2 5" xfId="10369" xr:uid="{00000000-0005-0000-0000-000061810000}"/>
    <cellStyle name="Percent 2 5 4 2 5 2" xfId="30421" xr:uid="{00000000-0005-0000-0000-000062810000}"/>
    <cellStyle name="Percent 2 5 4 2 6" xfId="21391" xr:uid="{00000000-0005-0000-0000-000063810000}"/>
    <cellStyle name="Percent 2 5 4 3" xfId="2086" xr:uid="{00000000-0005-0000-0000-000064810000}"/>
    <cellStyle name="Percent 2 5 4 3 2" xfId="6568" xr:uid="{00000000-0005-0000-0000-000065810000}"/>
    <cellStyle name="Percent 2 5 4 3 2 2" xfId="15598" xr:uid="{00000000-0005-0000-0000-000066810000}"/>
    <cellStyle name="Percent 2 5 4 3 2 2 2" xfId="35650" xr:uid="{00000000-0005-0000-0000-000067810000}"/>
    <cellStyle name="Percent 2 5 4 3 2 3" xfId="26620" xr:uid="{00000000-0005-0000-0000-000068810000}"/>
    <cellStyle name="Percent 2 5 4 3 3" xfId="11116" xr:uid="{00000000-0005-0000-0000-000069810000}"/>
    <cellStyle name="Percent 2 5 4 3 3 2" xfId="31168" xr:uid="{00000000-0005-0000-0000-00006A810000}"/>
    <cellStyle name="Percent 2 5 4 3 4" xfId="22138" xr:uid="{00000000-0005-0000-0000-00006B810000}"/>
    <cellStyle name="Percent 2 5 4 4" xfId="3580" xr:uid="{00000000-0005-0000-0000-00006C810000}"/>
    <cellStyle name="Percent 2 5 4 4 2" xfId="8062" xr:uid="{00000000-0005-0000-0000-00006D810000}"/>
    <cellStyle name="Percent 2 5 4 4 2 2" xfId="17092" xr:uid="{00000000-0005-0000-0000-00006E810000}"/>
    <cellStyle name="Percent 2 5 4 4 2 2 2" xfId="37144" xr:uid="{00000000-0005-0000-0000-00006F810000}"/>
    <cellStyle name="Percent 2 5 4 4 2 3" xfId="28114" xr:uid="{00000000-0005-0000-0000-000070810000}"/>
    <cellStyle name="Percent 2 5 4 4 3" xfId="12610" xr:uid="{00000000-0005-0000-0000-000071810000}"/>
    <cellStyle name="Percent 2 5 4 4 3 2" xfId="32662" xr:uid="{00000000-0005-0000-0000-000072810000}"/>
    <cellStyle name="Percent 2 5 4 4 4" xfId="23632" xr:uid="{00000000-0005-0000-0000-000073810000}"/>
    <cellStyle name="Percent 2 5 4 5" xfId="5074" xr:uid="{00000000-0005-0000-0000-000074810000}"/>
    <cellStyle name="Percent 2 5 4 5 2" xfId="14104" xr:uid="{00000000-0005-0000-0000-000075810000}"/>
    <cellStyle name="Percent 2 5 4 5 2 2" xfId="34156" xr:uid="{00000000-0005-0000-0000-000076810000}"/>
    <cellStyle name="Percent 2 5 4 5 3" xfId="25126" xr:uid="{00000000-0005-0000-0000-000077810000}"/>
    <cellStyle name="Percent 2 5 4 6" xfId="9622" xr:uid="{00000000-0005-0000-0000-000078810000}"/>
    <cellStyle name="Percent 2 5 4 6 2" xfId="29674" xr:uid="{00000000-0005-0000-0000-000079810000}"/>
    <cellStyle name="Percent 2 5 4 7" xfId="20644" xr:uid="{00000000-0005-0000-0000-00007A810000}"/>
    <cellStyle name="Percent 2 5 5" xfId="779" xr:uid="{00000000-0005-0000-0000-00007B810000}"/>
    <cellStyle name="Percent 2 5 5 2" xfId="2273" xr:uid="{00000000-0005-0000-0000-00007C810000}"/>
    <cellStyle name="Percent 2 5 5 2 2" xfId="6755" xr:uid="{00000000-0005-0000-0000-00007D810000}"/>
    <cellStyle name="Percent 2 5 5 2 2 2" xfId="15785" xr:uid="{00000000-0005-0000-0000-00007E810000}"/>
    <cellStyle name="Percent 2 5 5 2 2 2 2" xfId="35837" xr:uid="{00000000-0005-0000-0000-00007F810000}"/>
    <cellStyle name="Percent 2 5 5 2 2 3" xfId="26807" xr:uid="{00000000-0005-0000-0000-000080810000}"/>
    <cellStyle name="Percent 2 5 5 2 3" xfId="11303" xr:uid="{00000000-0005-0000-0000-000081810000}"/>
    <cellStyle name="Percent 2 5 5 2 3 2" xfId="31355" xr:uid="{00000000-0005-0000-0000-000082810000}"/>
    <cellStyle name="Percent 2 5 5 2 4" xfId="22325" xr:uid="{00000000-0005-0000-0000-000083810000}"/>
    <cellStyle name="Percent 2 5 5 3" xfId="3767" xr:uid="{00000000-0005-0000-0000-000084810000}"/>
    <cellStyle name="Percent 2 5 5 3 2" xfId="8249" xr:uid="{00000000-0005-0000-0000-000085810000}"/>
    <cellStyle name="Percent 2 5 5 3 2 2" xfId="17279" xr:uid="{00000000-0005-0000-0000-000086810000}"/>
    <cellStyle name="Percent 2 5 5 3 2 2 2" xfId="37331" xr:uid="{00000000-0005-0000-0000-000087810000}"/>
    <cellStyle name="Percent 2 5 5 3 2 3" xfId="28301" xr:uid="{00000000-0005-0000-0000-000088810000}"/>
    <cellStyle name="Percent 2 5 5 3 3" xfId="12797" xr:uid="{00000000-0005-0000-0000-000089810000}"/>
    <cellStyle name="Percent 2 5 5 3 3 2" xfId="32849" xr:uid="{00000000-0005-0000-0000-00008A810000}"/>
    <cellStyle name="Percent 2 5 5 3 4" xfId="23819" xr:uid="{00000000-0005-0000-0000-00008B810000}"/>
    <cellStyle name="Percent 2 5 5 4" xfId="5261" xr:uid="{00000000-0005-0000-0000-00008C810000}"/>
    <cellStyle name="Percent 2 5 5 4 2" xfId="14291" xr:uid="{00000000-0005-0000-0000-00008D810000}"/>
    <cellStyle name="Percent 2 5 5 4 2 2" xfId="34343" xr:uid="{00000000-0005-0000-0000-00008E810000}"/>
    <cellStyle name="Percent 2 5 5 4 3" xfId="25313" xr:uid="{00000000-0005-0000-0000-00008F810000}"/>
    <cellStyle name="Percent 2 5 5 5" xfId="9809" xr:uid="{00000000-0005-0000-0000-000090810000}"/>
    <cellStyle name="Percent 2 5 5 5 2" xfId="29861" xr:uid="{00000000-0005-0000-0000-000091810000}"/>
    <cellStyle name="Percent 2 5 5 6" xfId="20831" xr:uid="{00000000-0005-0000-0000-000092810000}"/>
    <cellStyle name="Percent 2 5 6" xfId="1528" xr:uid="{00000000-0005-0000-0000-000093810000}"/>
    <cellStyle name="Percent 2 5 6 2" xfId="6010" xr:uid="{00000000-0005-0000-0000-000094810000}"/>
    <cellStyle name="Percent 2 5 6 2 2" xfId="15040" xr:uid="{00000000-0005-0000-0000-000095810000}"/>
    <cellStyle name="Percent 2 5 6 2 2 2" xfId="35092" xr:uid="{00000000-0005-0000-0000-000096810000}"/>
    <cellStyle name="Percent 2 5 6 2 3" xfId="26062" xr:uid="{00000000-0005-0000-0000-000097810000}"/>
    <cellStyle name="Percent 2 5 6 3" xfId="10558" xr:uid="{00000000-0005-0000-0000-000098810000}"/>
    <cellStyle name="Percent 2 5 6 3 2" xfId="30610" xr:uid="{00000000-0005-0000-0000-000099810000}"/>
    <cellStyle name="Percent 2 5 6 4" xfId="21580" xr:uid="{00000000-0005-0000-0000-00009A810000}"/>
    <cellStyle name="Percent 2 5 7" xfId="3022" xr:uid="{00000000-0005-0000-0000-00009B810000}"/>
    <cellStyle name="Percent 2 5 7 2" xfId="7504" xr:uid="{00000000-0005-0000-0000-00009C810000}"/>
    <cellStyle name="Percent 2 5 7 2 2" xfId="16534" xr:uid="{00000000-0005-0000-0000-00009D810000}"/>
    <cellStyle name="Percent 2 5 7 2 2 2" xfId="36586" xr:uid="{00000000-0005-0000-0000-00009E810000}"/>
    <cellStyle name="Percent 2 5 7 2 3" xfId="27556" xr:uid="{00000000-0005-0000-0000-00009F810000}"/>
    <cellStyle name="Percent 2 5 7 3" xfId="12052" xr:uid="{00000000-0005-0000-0000-0000A0810000}"/>
    <cellStyle name="Percent 2 5 7 3 2" xfId="32104" xr:uid="{00000000-0005-0000-0000-0000A1810000}"/>
    <cellStyle name="Percent 2 5 7 4" xfId="23074" xr:uid="{00000000-0005-0000-0000-0000A2810000}"/>
    <cellStyle name="Percent 2 5 8" xfId="4516" xr:uid="{00000000-0005-0000-0000-0000A3810000}"/>
    <cellStyle name="Percent 2 5 8 2" xfId="13546" xr:uid="{00000000-0005-0000-0000-0000A4810000}"/>
    <cellStyle name="Percent 2 5 8 2 2" xfId="33598" xr:uid="{00000000-0005-0000-0000-0000A5810000}"/>
    <cellStyle name="Percent 2 5 8 3" xfId="24568" xr:uid="{00000000-0005-0000-0000-0000A6810000}"/>
    <cellStyle name="Percent 2 5 9" xfId="9064" xr:uid="{00000000-0005-0000-0000-0000A7810000}"/>
    <cellStyle name="Percent 2 5 9 2" xfId="29116" xr:uid="{00000000-0005-0000-0000-0000A8810000}"/>
    <cellStyle name="Percent 2 6" xfId="57" xr:uid="{00000000-0005-0000-0000-0000A9810000}"/>
    <cellStyle name="Percent 2 6 10" xfId="20109" xr:uid="{00000000-0005-0000-0000-0000AA810000}"/>
    <cellStyle name="Percent 2 6 2" xfId="243" xr:uid="{00000000-0005-0000-0000-0000AB810000}"/>
    <cellStyle name="Percent 2 6 2 2" xfId="988" xr:uid="{00000000-0005-0000-0000-0000AC810000}"/>
    <cellStyle name="Percent 2 6 2 2 2" xfId="2482" xr:uid="{00000000-0005-0000-0000-0000AD810000}"/>
    <cellStyle name="Percent 2 6 2 2 2 2" xfId="6964" xr:uid="{00000000-0005-0000-0000-0000AE810000}"/>
    <cellStyle name="Percent 2 6 2 2 2 2 2" xfId="15994" xr:uid="{00000000-0005-0000-0000-0000AF810000}"/>
    <cellStyle name="Percent 2 6 2 2 2 2 2 2" xfId="36046" xr:uid="{00000000-0005-0000-0000-0000B0810000}"/>
    <cellStyle name="Percent 2 6 2 2 2 2 3" xfId="27016" xr:uid="{00000000-0005-0000-0000-0000B1810000}"/>
    <cellStyle name="Percent 2 6 2 2 2 3" xfId="11512" xr:uid="{00000000-0005-0000-0000-0000B2810000}"/>
    <cellStyle name="Percent 2 6 2 2 2 3 2" xfId="31564" xr:uid="{00000000-0005-0000-0000-0000B3810000}"/>
    <cellStyle name="Percent 2 6 2 2 2 4" xfId="22534" xr:uid="{00000000-0005-0000-0000-0000B4810000}"/>
    <cellStyle name="Percent 2 6 2 2 3" xfId="3976" xr:uid="{00000000-0005-0000-0000-0000B5810000}"/>
    <cellStyle name="Percent 2 6 2 2 3 2" xfId="8458" xr:uid="{00000000-0005-0000-0000-0000B6810000}"/>
    <cellStyle name="Percent 2 6 2 2 3 2 2" xfId="17488" xr:uid="{00000000-0005-0000-0000-0000B7810000}"/>
    <cellStyle name="Percent 2 6 2 2 3 2 2 2" xfId="37540" xr:uid="{00000000-0005-0000-0000-0000B8810000}"/>
    <cellStyle name="Percent 2 6 2 2 3 2 3" xfId="28510" xr:uid="{00000000-0005-0000-0000-0000B9810000}"/>
    <cellStyle name="Percent 2 6 2 2 3 3" xfId="13006" xr:uid="{00000000-0005-0000-0000-0000BA810000}"/>
    <cellStyle name="Percent 2 6 2 2 3 3 2" xfId="33058" xr:uid="{00000000-0005-0000-0000-0000BB810000}"/>
    <cellStyle name="Percent 2 6 2 2 3 4" xfId="24028" xr:uid="{00000000-0005-0000-0000-0000BC810000}"/>
    <cellStyle name="Percent 2 6 2 2 4" xfId="5470" xr:uid="{00000000-0005-0000-0000-0000BD810000}"/>
    <cellStyle name="Percent 2 6 2 2 4 2" xfId="14500" xr:uid="{00000000-0005-0000-0000-0000BE810000}"/>
    <cellStyle name="Percent 2 6 2 2 4 2 2" xfId="34552" xr:uid="{00000000-0005-0000-0000-0000BF810000}"/>
    <cellStyle name="Percent 2 6 2 2 4 3" xfId="25522" xr:uid="{00000000-0005-0000-0000-0000C0810000}"/>
    <cellStyle name="Percent 2 6 2 2 5" xfId="10018" xr:uid="{00000000-0005-0000-0000-0000C1810000}"/>
    <cellStyle name="Percent 2 6 2 2 5 2" xfId="30070" xr:uid="{00000000-0005-0000-0000-0000C2810000}"/>
    <cellStyle name="Percent 2 6 2 2 6" xfId="21040" xr:uid="{00000000-0005-0000-0000-0000C3810000}"/>
    <cellStyle name="Percent 2 6 2 3" xfId="1737" xr:uid="{00000000-0005-0000-0000-0000C4810000}"/>
    <cellStyle name="Percent 2 6 2 3 2" xfId="6219" xr:uid="{00000000-0005-0000-0000-0000C5810000}"/>
    <cellStyle name="Percent 2 6 2 3 2 2" xfId="15249" xr:uid="{00000000-0005-0000-0000-0000C6810000}"/>
    <cellStyle name="Percent 2 6 2 3 2 2 2" xfId="35301" xr:uid="{00000000-0005-0000-0000-0000C7810000}"/>
    <cellStyle name="Percent 2 6 2 3 2 3" xfId="26271" xr:uid="{00000000-0005-0000-0000-0000C8810000}"/>
    <cellStyle name="Percent 2 6 2 3 3" xfId="10767" xr:uid="{00000000-0005-0000-0000-0000C9810000}"/>
    <cellStyle name="Percent 2 6 2 3 3 2" xfId="30819" xr:uid="{00000000-0005-0000-0000-0000CA810000}"/>
    <cellStyle name="Percent 2 6 2 3 4" xfId="21789" xr:uid="{00000000-0005-0000-0000-0000CB810000}"/>
    <cellStyle name="Percent 2 6 2 4" xfId="3231" xr:uid="{00000000-0005-0000-0000-0000CC810000}"/>
    <cellStyle name="Percent 2 6 2 4 2" xfId="7713" xr:uid="{00000000-0005-0000-0000-0000CD810000}"/>
    <cellStyle name="Percent 2 6 2 4 2 2" xfId="16743" xr:uid="{00000000-0005-0000-0000-0000CE810000}"/>
    <cellStyle name="Percent 2 6 2 4 2 2 2" xfId="36795" xr:uid="{00000000-0005-0000-0000-0000CF810000}"/>
    <cellStyle name="Percent 2 6 2 4 2 3" xfId="27765" xr:uid="{00000000-0005-0000-0000-0000D0810000}"/>
    <cellStyle name="Percent 2 6 2 4 3" xfId="12261" xr:uid="{00000000-0005-0000-0000-0000D1810000}"/>
    <cellStyle name="Percent 2 6 2 4 3 2" xfId="32313" xr:uid="{00000000-0005-0000-0000-0000D2810000}"/>
    <cellStyle name="Percent 2 6 2 4 4" xfId="23283" xr:uid="{00000000-0005-0000-0000-0000D3810000}"/>
    <cellStyle name="Percent 2 6 2 5" xfId="4725" xr:uid="{00000000-0005-0000-0000-0000D4810000}"/>
    <cellStyle name="Percent 2 6 2 5 2" xfId="13755" xr:uid="{00000000-0005-0000-0000-0000D5810000}"/>
    <cellStyle name="Percent 2 6 2 5 2 2" xfId="33807" xr:uid="{00000000-0005-0000-0000-0000D6810000}"/>
    <cellStyle name="Percent 2 6 2 5 3" xfId="24777" xr:uid="{00000000-0005-0000-0000-0000D7810000}"/>
    <cellStyle name="Percent 2 6 2 6" xfId="9273" xr:uid="{00000000-0005-0000-0000-0000D8810000}"/>
    <cellStyle name="Percent 2 6 2 6 2" xfId="29325" xr:uid="{00000000-0005-0000-0000-0000D9810000}"/>
    <cellStyle name="Percent 2 6 2 7" xfId="20295" xr:uid="{00000000-0005-0000-0000-0000DA810000}"/>
    <cellStyle name="Percent 2 6 3" xfId="429" xr:uid="{00000000-0005-0000-0000-0000DB810000}"/>
    <cellStyle name="Percent 2 6 3 2" xfId="1176" xr:uid="{00000000-0005-0000-0000-0000DC810000}"/>
    <cellStyle name="Percent 2 6 3 2 2" xfId="2670" xr:uid="{00000000-0005-0000-0000-0000DD810000}"/>
    <cellStyle name="Percent 2 6 3 2 2 2" xfId="7152" xr:uid="{00000000-0005-0000-0000-0000DE810000}"/>
    <cellStyle name="Percent 2 6 3 2 2 2 2" xfId="16182" xr:uid="{00000000-0005-0000-0000-0000DF810000}"/>
    <cellStyle name="Percent 2 6 3 2 2 2 2 2" xfId="36234" xr:uid="{00000000-0005-0000-0000-0000E0810000}"/>
    <cellStyle name="Percent 2 6 3 2 2 2 3" xfId="27204" xr:uid="{00000000-0005-0000-0000-0000E1810000}"/>
    <cellStyle name="Percent 2 6 3 2 2 3" xfId="11700" xr:uid="{00000000-0005-0000-0000-0000E2810000}"/>
    <cellStyle name="Percent 2 6 3 2 2 3 2" xfId="31752" xr:uid="{00000000-0005-0000-0000-0000E3810000}"/>
    <cellStyle name="Percent 2 6 3 2 2 4" xfId="22722" xr:uid="{00000000-0005-0000-0000-0000E4810000}"/>
    <cellStyle name="Percent 2 6 3 2 3" xfId="4164" xr:uid="{00000000-0005-0000-0000-0000E5810000}"/>
    <cellStyle name="Percent 2 6 3 2 3 2" xfId="8646" xr:uid="{00000000-0005-0000-0000-0000E6810000}"/>
    <cellStyle name="Percent 2 6 3 2 3 2 2" xfId="17676" xr:uid="{00000000-0005-0000-0000-0000E7810000}"/>
    <cellStyle name="Percent 2 6 3 2 3 2 2 2" xfId="37728" xr:uid="{00000000-0005-0000-0000-0000E8810000}"/>
    <cellStyle name="Percent 2 6 3 2 3 2 3" xfId="28698" xr:uid="{00000000-0005-0000-0000-0000E9810000}"/>
    <cellStyle name="Percent 2 6 3 2 3 3" xfId="13194" xr:uid="{00000000-0005-0000-0000-0000EA810000}"/>
    <cellStyle name="Percent 2 6 3 2 3 3 2" xfId="33246" xr:uid="{00000000-0005-0000-0000-0000EB810000}"/>
    <cellStyle name="Percent 2 6 3 2 3 4" xfId="24216" xr:uid="{00000000-0005-0000-0000-0000EC810000}"/>
    <cellStyle name="Percent 2 6 3 2 4" xfId="5658" xr:uid="{00000000-0005-0000-0000-0000ED810000}"/>
    <cellStyle name="Percent 2 6 3 2 4 2" xfId="14688" xr:uid="{00000000-0005-0000-0000-0000EE810000}"/>
    <cellStyle name="Percent 2 6 3 2 4 2 2" xfId="34740" xr:uid="{00000000-0005-0000-0000-0000EF810000}"/>
    <cellStyle name="Percent 2 6 3 2 4 3" xfId="25710" xr:uid="{00000000-0005-0000-0000-0000F0810000}"/>
    <cellStyle name="Percent 2 6 3 2 5" xfId="10206" xr:uid="{00000000-0005-0000-0000-0000F1810000}"/>
    <cellStyle name="Percent 2 6 3 2 5 2" xfId="30258" xr:uid="{00000000-0005-0000-0000-0000F2810000}"/>
    <cellStyle name="Percent 2 6 3 2 6" xfId="21228" xr:uid="{00000000-0005-0000-0000-0000F3810000}"/>
    <cellStyle name="Percent 2 6 3 3" xfId="1923" xr:uid="{00000000-0005-0000-0000-0000F4810000}"/>
    <cellStyle name="Percent 2 6 3 3 2" xfId="6405" xr:uid="{00000000-0005-0000-0000-0000F5810000}"/>
    <cellStyle name="Percent 2 6 3 3 2 2" xfId="15435" xr:uid="{00000000-0005-0000-0000-0000F6810000}"/>
    <cellStyle name="Percent 2 6 3 3 2 2 2" xfId="35487" xr:uid="{00000000-0005-0000-0000-0000F7810000}"/>
    <cellStyle name="Percent 2 6 3 3 2 3" xfId="26457" xr:uid="{00000000-0005-0000-0000-0000F8810000}"/>
    <cellStyle name="Percent 2 6 3 3 3" xfId="10953" xr:uid="{00000000-0005-0000-0000-0000F9810000}"/>
    <cellStyle name="Percent 2 6 3 3 3 2" xfId="31005" xr:uid="{00000000-0005-0000-0000-0000FA810000}"/>
    <cellStyle name="Percent 2 6 3 3 4" xfId="21975" xr:uid="{00000000-0005-0000-0000-0000FB810000}"/>
    <cellStyle name="Percent 2 6 3 4" xfId="3417" xr:uid="{00000000-0005-0000-0000-0000FC810000}"/>
    <cellStyle name="Percent 2 6 3 4 2" xfId="7899" xr:uid="{00000000-0005-0000-0000-0000FD810000}"/>
    <cellStyle name="Percent 2 6 3 4 2 2" xfId="16929" xr:uid="{00000000-0005-0000-0000-0000FE810000}"/>
    <cellStyle name="Percent 2 6 3 4 2 2 2" xfId="36981" xr:uid="{00000000-0005-0000-0000-0000FF810000}"/>
    <cellStyle name="Percent 2 6 3 4 2 3" xfId="27951" xr:uid="{00000000-0005-0000-0000-000000820000}"/>
    <cellStyle name="Percent 2 6 3 4 3" xfId="12447" xr:uid="{00000000-0005-0000-0000-000001820000}"/>
    <cellStyle name="Percent 2 6 3 4 3 2" xfId="32499" xr:uid="{00000000-0005-0000-0000-000002820000}"/>
    <cellStyle name="Percent 2 6 3 4 4" xfId="23469" xr:uid="{00000000-0005-0000-0000-000003820000}"/>
    <cellStyle name="Percent 2 6 3 5" xfId="4911" xr:uid="{00000000-0005-0000-0000-000004820000}"/>
    <cellStyle name="Percent 2 6 3 5 2" xfId="13941" xr:uid="{00000000-0005-0000-0000-000005820000}"/>
    <cellStyle name="Percent 2 6 3 5 2 2" xfId="33993" xr:uid="{00000000-0005-0000-0000-000006820000}"/>
    <cellStyle name="Percent 2 6 3 5 3" xfId="24963" xr:uid="{00000000-0005-0000-0000-000007820000}"/>
    <cellStyle name="Percent 2 6 3 6" xfId="9459" xr:uid="{00000000-0005-0000-0000-000008820000}"/>
    <cellStyle name="Percent 2 6 3 6 2" xfId="29511" xr:uid="{00000000-0005-0000-0000-000009820000}"/>
    <cellStyle name="Percent 2 6 3 7" xfId="20481" xr:uid="{00000000-0005-0000-0000-00000A820000}"/>
    <cellStyle name="Percent 2 6 4" xfId="615" xr:uid="{00000000-0005-0000-0000-00000B820000}"/>
    <cellStyle name="Percent 2 6 4 2" xfId="1362" xr:uid="{00000000-0005-0000-0000-00000C820000}"/>
    <cellStyle name="Percent 2 6 4 2 2" xfId="2856" xr:uid="{00000000-0005-0000-0000-00000D820000}"/>
    <cellStyle name="Percent 2 6 4 2 2 2" xfId="7338" xr:uid="{00000000-0005-0000-0000-00000E820000}"/>
    <cellStyle name="Percent 2 6 4 2 2 2 2" xfId="16368" xr:uid="{00000000-0005-0000-0000-00000F820000}"/>
    <cellStyle name="Percent 2 6 4 2 2 2 2 2" xfId="36420" xr:uid="{00000000-0005-0000-0000-000010820000}"/>
    <cellStyle name="Percent 2 6 4 2 2 2 3" xfId="27390" xr:uid="{00000000-0005-0000-0000-000011820000}"/>
    <cellStyle name="Percent 2 6 4 2 2 3" xfId="11886" xr:uid="{00000000-0005-0000-0000-000012820000}"/>
    <cellStyle name="Percent 2 6 4 2 2 3 2" xfId="31938" xr:uid="{00000000-0005-0000-0000-000013820000}"/>
    <cellStyle name="Percent 2 6 4 2 2 4" xfId="22908" xr:uid="{00000000-0005-0000-0000-000014820000}"/>
    <cellStyle name="Percent 2 6 4 2 3" xfId="4350" xr:uid="{00000000-0005-0000-0000-000015820000}"/>
    <cellStyle name="Percent 2 6 4 2 3 2" xfId="8832" xr:uid="{00000000-0005-0000-0000-000016820000}"/>
    <cellStyle name="Percent 2 6 4 2 3 2 2" xfId="17862" xr:uid="{00000000-0005-0000-0000-000017820000}"/>
    <cellStyle name="Percent 2 6 4 2 3 2 2 2" xfId="37914" xr:uid="{00000000-0005-0000-0000-000018820000}"/>
    <cellStyle name="Percent 2 6 4 2 3 2 3" xfId="28884" xr:uid="{00000000-0005-0000-0000-000019820000}"/>
    <cellStyle name="Percent 2 6 4 2 3 3" xfId="13380" xr:uid="{00000000-0005-0000-0000-00001A820000}"/>
    <cellStyle name="Percent 2 6 4 2 3 3 2" xfId="33432" xr:uid="{00000000-0005-0000-0000-00001B820000}"/>
    <cellStyle name="Percent 2 6 4 2 3 4" xfId="24402" xr:uid="{00000000-0005-0000-0000-00001C820000}"/>
    <cellStyle name="Percent 2 6 4 2 4" xfId="5844" xr:uid="{00000000-0005-0000-0000-00001D820000}"/>
    <cellStyle name="Percent 2 6 4 2 4 2" xfId="14874" xr:uid="{00000000-0005-0000-0000-00001E820000}"/>
    <cellStyle name="Percent 2 6 4 2 4 2 2" xfId="34926" xr:uid="{00000000-0005-0000-0000-00001F820000}"/>
    <cellStyle name="Percent 2 6 4 2 4 3" xfId="25896" xr:uid="{00000000-0005-0000-0000-000020820000}"/>
    <cellStyle name="Percent 2 6 4 2 5" xfId="10392" xr:uid="{00000000-0005-0000-0000-000021820000}"/>
    <cellStyle name="Percent 2 6 4 2 5 2" xfId="30444" xr:uid="{00000000-0005-0000-0000-000022820000}"/>
    <cellStyle name="Percent 2 6 4 2 6" xfId="21414" xr:uid="{00000000-0005-0000-0000-000023820000}"/>
    <cellStyle name="Percent 2 6 4 3" xfId="2109" xr:uid="{00000000-0005-0000-0000-000024820000}"/>
    <cellStyle name="Percent 2 6 4 3 2" xfId="6591" xr:uid="{00000000-0005-0000-0000-000025820000}"/>
    <cellStyle name="Percent 2 6 4 3 2 2" xfId="15621" xr:uid="{00000000-0005-0000-0000-000026820000}"/>
    <cellStyle name="Percent 2 6 4 3 2 2 2" xfId="35673" xr:uid="{00000000-0005-0000-0000-000027820000}"/>
    <cellStyle name="Percent 2 6 4 3 2 3" xfId="26643" xr:uid="{00000000-0005-0000-0000-000028820000}"/>
    <cellStyle name="Percent 2 6 4 3 3" xfId="11139" xr:uid="{00000000-0005-0000-0000-000029820000}"/>
    <cellStyle name="Percent 2 6 4 3 3 2" xfId="31191" xr:uid="{00000000-0005-0000-0000-00002A820000}"/>
    <cellStyle name="Percent 2 6 4 3 4" xfId="22161" xr:uid="{00000000-0005-0000-0000-00002B820000}"/>
    <cellStyle name="Percent 2 6 4 4" xfId="3603" xr:uid="{00000000-0005-0000-0000-00002C820000}"/>
    <cellStyle name="Percent 2 6 4 4 2" xfId="8085" xr:uid="{00000000-0005-0000-0000-00002D820000}"/>
    <cellStyle name="Percent 2 6 4 4 2 2" xfId="17115" xr:uid="{00000000-0005-0000-0000-00002E820000}"/>
    <cellStyle name="Percent 2 6 4 4 2 2 2" xfId="37167" xr:uid="{00000000-0005-0000-0000-00002F820000}"/>
    <cellStyle name="Percent 2 6 4 4 2 3" xfId="28137" xr:uid="{00000000-0005-0000-0000-000030820000}"/>
    <cellStyle name="Percent 2 6 4 4 3" xfId="12633" xr:uid="{00000000-0005-0000-0000-000031820000}"/>
    <cellStyle name="Percent 2 6 4 4 3 2" xfId="32685" xr:uid="{00000000-0005-0000-0000-000032820000}"/>
    <cellStyle name="Percent 2 6 4 4 4" xfId="23655" xr:uid="{00000000-0005-0000-0000-000033820000}"/>
    <cellStyle name="Percent 2 6 4 5" xfId="5097" xr:uid="{00000000-0005-0000-0000-000034820000}"/>
    <cellStyle name="Percent 2 6 4 5 2" xfId="14127" xr:uid="{00000000-0005-0000-0000-000035820000}"/>
    <cellStyle name="Percent 2 6 4 5 2 2" xfId="34179" xr:uid="{00000000-0005-0000-0000-000036820000}"/>
    <cellStyle name="Percent 2 6 4 5 3" xfId="25149" xr:uid="{00000000-0005-0000-0000-000037820000}"/>
    <cellStyle name="Percent 2 6 4 6" xfId="9645" xr:uid="{00000000-0005-0000-0000-000038820000}"/>
    <cellStyle name="Percent 2 6 4 6 2" xfId="29697" xr:uid="{00000000-0005-0000-0000-000039820000}"/>
    <cellStyle name="Percent 2 6 4 7" xfId="20667" xr:uid="{00000000-0005-0000-0000-00003A820000}"/>
    <cellStyle name="Percent 2 6 5" xfId="802" xr:uid="{00000000-0005-0000-0000-00003B820000}"/>
    <cellStyle name="Percent 2 6 5 2" xfId="2296" xr:uid="{00000000-0005-0000-0000-00003C820000}"/>
    <cellStyle name="Percent 2 6 5 2 2" xfId="6778" xr:uid="{00000000-0005-0000-0000-00003D820000}"/>
    <cellStyle name="Percent 2 6 5 2 2 2" xfId="15808" xr:uid="{00000000-0005-0000-0000-00003E820000}"/>
    <cellStyle name="Percent 2 6 5 2 2 2 2" xfId="35860" xr:uid="{00000000-0005-0000-0000-00003F820000}"/>
    <cellStyle name="Percent 2 6 5 2 2 3" xfId="26830" xr:uid="{00000000-0005-0000-0000-000040820000}"/>
    <cellStyle name="Percent 2 6 5 2 3" xfId="11326" xr:uid="{00000000-0005-0000-0000-000041820000}"/>
    <cellStyle name="Percent 2 6 5 2 3 2" xfId="31378" xr:uid="{00000000-0005-0000-0000-000042820000}"/>
    <cellStyle name="Percent 2 6 5 2 4" xfId="22348" xr:uid="{00000000-0005-0000-0000-000043820000}"/>
    <cellStyle name="Percent 2 6 5 3" xfId="3790" xr:uid="{00000000-0005-0000-0000-000044820000}"/>
    <cellStyle name="Percent 2 6 5 3 2" xfId="8272" xr:uid="{00000000-0005-0000-0000-000045820000}"/>
    <cellStyle name="Percent 2 6 5 3 2 2" xfId="17302" xr:uid="{00000000-0005-0000-0000-000046820000}"/>
    <cellStyle name="Percent 2 6 5 3 2 2 2" xfId="37354" xr:uid="{00000000-0005-0000-0000-000047820000}"/>
    <cellStyle name="Percent 2 6 5 3 2 3" xfId="28324" xr:uid="{00000000-0005-0000-0000-000048820000}"/>
    <cellStyle name="Percent 2 6 5 3 3" xfId="12820" xr:uid="{00000000-0005-0000-0000-000049820000}"/>
    <cellStyle name="Percent 2 6 5 3 3 2" xfId="32872" xr:uid="{00000000-0005-0000-0000-00004A820000}"/>
    <cellStyle name="Percent 2 6 5 3 4" xfId="23842" xr:uid="{00000000-0005-0000-0000-00004B820000}"/>
    <cellStyle name="Percent 2 6 5 4" xfId="5284" xr:uid="{00000000-0005-0000-0000-00004C820000}"/>
    <cellStyle name="Percent 2 6 5 4 2" xfId="14314" xr:uid="{00000000-0005-0000-0000-00004D820000}"/>
    <cellStyle name="Percent 2 6 5 4 2 2" xfId="34366" xr:uid="{00000000-0005-0000-0000-00004E820000}"/>
    <cellStyle name="Percent 2 6 5 4 3" xfId="25336" xr:uid="{00000000-0005-0000-0000-00004F820000}"/>
    <cellStyle name="Percent 2 6 5 5" xfId="9832" xr:uid="{00000000-0005-0000-0000-000050820000}"/>
    <cellStyle name="Percent 2 6 5 5 2" xfId="29884" xr:uid="{00000000-0005-0000-0000-000051820000}"/>
    <cellStyle name="Percent 2 6 5 6" xfId="20854" xr:uid="{00000000-0005-0000-0000-000052820000}"/>
    <cellStyle name="Percent 2 6 6" xfId="1551" xr:uid="{00000000-0005-0000-0000-000053820000}"/>
    <cellStyle name="Percent 2 6 6 2" xfId="6033" xr:uid="{00000000-0005-0000-0000-000054820000}"/>
    <cellStyle name="Percent 2 6 6 2 2" xfId="15063" xr:uid="{00000000-0005-0000-0000-000055820000}"/>
    <cellStyle name="Percent 2 6 6 2 2 2" xfId="35115" xr:uid="{00000000-0005-0000-0000-000056820000}"/>
    <cellStyle name="Percent 2 6 6 2 3" xfId="26085" xr:uid="{00000000-0005-0000-0000-000057820000}"/>
    <cellStyle name="Percent 2 6 6 3" xfId="10581" xr:uid="{00000000-0005-0000-0000-000058820000}"/>
    <cellStyle name="Percent 2 6 6 3 2" xfId="30633" xr:uid="{00000000-0005-0000-0000-000059820000}"/>
    <cellStyle name="Percent 2 6 6 4" xfId="21603" xr:uid="{00000000-0005-0000-0000-00005A820000}"/>
    <cellStyle name="Percent 2 6 7" xfId="3045" xr:uid="{00000000-0005-0000-0000-00005B820000}"/>
    <cellStyle name="Percent 2 6 7 2" xfId="7527" xr:uid="{00000000-0005-0000-0000-00005C820000}"/>
    <cellStyle name="Percent 2 6 7 2 2" xfId="16557" xr:uid="{00000000-0005-0000-0000-00005D820000}"/>
    <cellStyle name="Percent 2 6 7 2 2 2" xfId="36609" xr:uid="{00000000-0005-0000-0000-00005E820000}"/>
    <cellStyle name="Percent 2 6 7 2 3" xfId="27579" xr:uid="{00000000-0005-0000-0000-00005F820000}"/>
    <cellStyle name="Percent 2 6 7 3" xfId="12075" xr:uid="{00000000-0005-0000-0000-000060820000}"/>
    <cellStyle name="Percent 2 6 7 3 2" xfId="32127" xr:uid="{00000000-0005-0000-0000-000061820000}"/>
    <cellStyle name="Percent 2 6 7 4" xfId="23097" xr:uid="{00000000-0005-0000-0000-000062820000}"/>
    <cellStyle name="Percent 2 6 8" xfId="4539" xr:uid="{00000000-0005-0000-0000-000063820000}"/>
    <cellStyle name="Percent 2 6 8 2" xfId="13569" xr:uid="{00000000-0005-0000-0000-000064820000}"/>
    <cellStyle name="Percent 2 6 8 2 2" xfId="33621" xr:uid="{00000000-0005-0000-0000-000065820000}"/>
    <cellStyle name="Percent 2 6 8 3" xfId="24591" xr:uid="{00000000-0005-0000-0000-000066820000}"/>
    <cellStyle name="Percent 2 6 9" xfId="9087" xr:uid="{00000000-0005-0000-0000-000067820000}"/>
    <cellStyle name="Percent 2 6 9 2" xfId="29139" xr:uid="{00000000-0005-0000-0000-000068820000}"/>
    <cellStyle name="Percent 2 7" xfId="81" xr:uid="{00000000-0005-0000-0000-000069820000}"/>
    <cellStyle name="Percent 2 7 10" xfId="20133" xr:uid="{00000000-0005-0000-0000-00006A820000}"/>
    <cellStyle name="Percent 2 7 2" xfId="267" xr:uid="{00000000-0005-0000-0000-00006B820000}"/>
    <cellStyle name="Percent 2 7 2 2" xfId="1011" xr:uid="{00000000-0005-0000-0000-00006C820000}"/>
    <cellStyle name="Percent 2 7 2 2 2" xfId="2505" xr:uid="{00000000-0005-0000-0000-00006D820000}"/>
    <cellStyle name="Percent 2 7 2 2 2 2" xfId="6987" xr:uid="{00000000-0005-0000-0000-00006E820000}"/>
    <cellStyle name="Percent 2 7 2 2 2 2 2" xfId="16017" xr:uid="{00000000-0005-0000-0000-00006F820000}"/>
    <cellStyle name="Percent 2 7 2 2 2 2 2 2" xfId="36069" xr:uid="{00000000-0005-0000-0000-000070820000}"/>
    <cellStyle name="Percent 2 7 2 2 2 2 3" xfId="27039" xr:uid="{00000000-0005-0000-0000-000071820000}"/>
    <cellStyle name="Percent 2 7 2 2 2 3" xfId="11535" xr:uid="{00000000-0005-0000-0000-000072820000}"/>
    <cellStyle name="Percent 2 7 2 2 2 3 2" xfId="31587" xr:uid="{00000000-0005-0000-0000-000073820000}"/>
    <cellStyle name="Percent 2 7 2 2 2 4" xfId="22557" xr:uid="{00000000-0005-0000-0000-000074820000}"/>
    <cellStyle name="Percent 2 7 2 2 3" xfId="3999" xr:uid="{00000000-0005-0000-0000-000075820000}"/>
    <cellStyle name="Percent 2 7 2 2 3 2" xfId="8481" xr:uid="{00000000-0005-0000-0000-000076820000}"/>
    <cellStyle name="Percent 2 7 2 2 3 2 2" xfId="17511" xr:uid="{00000000-0005-0000-0000-000077820000}"/>
    <cellStyle name="Percent 2 7 2 2 3 2 2 2" xfId="37563" xr:uid="{00000000-0005-0000-0000-000078820000}"/>
    <cellStyle name="Percent 2 7 2 2 3 2 3" xfId="28533" xr:uid="{00000000-0005-0000-0000-000079820000}"/>
    <cellStyle name="Percent 2 7 2 2 3 3" xfId="13029" xr:uid="{00000000-0005-0000-0000-00007A820000}"/>
    <cellStyle name="Percent 2 7 2 2 3 3 2" xfId="33081" xr:uid="{00000000-0005-0000-0000-00007B820000}"/>
    <cellStyle name="Percent 2 7 2 2 3 4" xfId="24051" xr:uid="{00000000-0005-0000-0000-00007C820000}"/>
    <cellStyle name="Percent 2 7 2 2 4" xfId="5493" xr:uid="{00000000-0005-0000-0000-00007D820000}"/>
    <cellStyle name="Percent 2 7 2 2 4 2" xfId="14523" xr:uid="{00000000-0005-0000-0000-00007E820000}"/>
    <cellStyle name="Percent 2 7 2 2 4 2 2" xfId="34575" xr:uid="{00000000-0005-0000-0000-00007F820000}"/>
    <cellStyle name="Percent 2 7 2 2 4 3" xfId="25545" xr:uid="{00000000-0005-0000-0000-000080820000}"/>
    <cellStyle name="Percent 2 7 2 2 5" xfId="10041" xr:uid="{00000000-0005-0000-0000-000081820000}"/>
    <cellStyle name="Percent 2 7 2 2 5 2" xfId="30093" xr:uid="{00000000-0005-0000-0000-000082820000}"/>
    <cellStyle name="Percent 2 7 2 2 6" xfId="21063" xr:uid="{00000000-0005-0000-0000-000083820000}"/>
    <cellStyle name="Percent 2 7 2 3" xfId="1761" xr:uid="{00000000-0005-0000-0000-000084820000}"/>
    <cellStyle name="Percent 2 7 2 3 2" xfId="6243" xr:uid="{00000000-0005-0000-0000-000085820000}"/>
    <cellStyle name="Percent 2 7 2 3 2 2" xfId="15273" xr:uid="{00000000-0005-0000-0000-000086820000}"/>
    <cellStyle name="Percent 2 7 2 3 2 2 2" xfId="35325" xr:uid="{00000000-0005-0000-0000-000087820000}"/>
    <cellStyle name="Percent 2 7 2 3 2 3" xfId="26295" xr:uid="{00000000-0005-0000-0000-000088820000}"/>
    <cellStyle name="Percent 2 7 2 3 3" xfId="10791" xr:uid="{00000000-0005-0000-0000-000089820000}"/>
    <cellStyle name="Percent 2 7 2 3 3 2" xfId="30843" xr:uid="{00000000-0005-0000-0000-00008A820000}"/>
    <cellStyle name="Percent 2 7 2 3 4" xfId="21813" xr:uid="{00000000-0005-0000-0000-00008B820000}"/>
    <cellStyle name="Percent 2 7 2 4" xfId="3255" xr:uid="{00000000-0005-0000-0000-00008C820000}"/>
    <cellStyle name="Percent 2 7 2 4 2" xfId="7737" xr:uid="{00000000-0005-0000-0000-00008D820000}"/>
    <cellStyle name="Percent 2 7 2 4 2 2" xfId="16767" xr:uid="{00000000-0005-0000-0000-00008E820000}"/>
    <cellStyle name="Percent 2 7 2 4 2 2 2" xfId="36819" xr:uid="{00000000-0005-0000-0000-00008F820000}"/>
    <cellStyle name="Percent 2 7 2 4 2 3" xfId="27789" xr:uid="{00000000-0005-0000-0000-000090820000}"/>
    <cellStyle name="Percent 2 7 2 4 3" xfId="12285" xr:uid="{00000000-0005-0000-0000-000091820000}"/>
    <cellStyle name="Percent 2 7 2 4 3 2" xfId="32337" xr:uid="{00000000-0005-0000-0000-000092820000}"/>
    <cellStyle name="Percent 2 7 2 4 4" xfId="23307" xr:uid="{00000000-0005-0000-0000-000093820000}"/>
    <cellStyle name="Percent 2 7 2 5" xfId="4749" xr:uid="{00000000-0005-0000-0000-000094820000}"/>
    <cellStyle name="Percent 2 7 2 5 2" xfId="13779" xr:uid="{00000000-0005-0000-0000-000095820000}"/>
    <cellStyle name="Percent 2 7 2 5 2 2" xfId="33831" xr:uid="{00000000-0005-0000-0000-000096820000}"/>
    <cellStyle name="Percent 2 7 2 5 3" xfId="24801" xr:uid="{00000000-0005-0000-0000-000097820000}"/>
    <cellStyle name="Percent 2 7 2 6" xfId="9297" xr:uid="{00000000-0005-0000-0000-000098820000}"/>
    <cellStyle name="Percent 2 7 2 6 2" xfId="29349" xr:uid="{00000000-0005-0000-0000-000099820000}"/>
    <cellStyle name="Percent 2 7 2 7" xfId="20319" xr:uid="{00000000-0005-0000-0000-00009A820000}"/>
    <cellStyle name="Percent 2 7 3" xfId="453" xr:uid="{00000000-0005-0000-0000-00009B820000}"/>
    <cellStyle name="Percent 2 7 3 2" xfId="1200" xr:uid="{00000000-0005-0000-0000-00009C820000}"/>
    <cellStyle name="Percent 2 7 3 2 2" xfId="2694" xr:uid="{00000000-0005-0000-0000-00009D820000}"/>
    <cellStyle name="Percent 2 7 3 2 2 2" xfId="7176" xr:uid="{00000000-0005-0000-0000-00009E820000}"/>
    <cellStyle name="Percent 2 7 3 2 2 2 2" xfId="16206" xr:uid="{00000000-0005-0000-0000-00009F820000}"/>
    <cellStyle name="Percent 2 7 3 2 2 2 2 2" xfId="36258" xr:uid="{00000000-0005-0000-0000-0000A0820000}"/>
    <cellStyle name="Percent 2 7 3 2 2 2 3" xfId="27228" xr:uid="{00000000-0005-0000-0000-0000A1820000}"/>
    <cellStyle name="Percent 2 7 3 2 2 3" xfId="11724" xr:uid="{00000000-0005-0000-0000-0000A2820000}"/>
    <cellStyle name="Percent 2 7 3 2 2 3 2" xfId="31776" xr:uid="{00000000-0005-0000-0000-0000A3820000}"/>
    <cellStyle name="Percent 2 7 3 2 2 4" xfId="22746" xr:uid="{00000000-0005-0000-0000-0000A4820000}"/>
    <cellStyle name="Percent 2 7 3 2 3" xfId="4188" xr:uid="{00000000-0005-0000-0000-0000A5820000}"/>
    <cellStyle name="Percent 2 7 3 2 3 2" xfId="8670" xr:uid="{00000000-0005-0000-0000-0000A6820000}"/>
    <cellStyle name="Percent 2 7 3 2 3 2 2" xfId="17700" xr:uid="{00000000-0005-0000-0000-0000A7820000}"/>
    <cellStyle name="Percent 2 7 3 2 3 2 2 2" xfId="37752" xr:uid="{00000000-0005-0000-0000-0000A8820000}"/>
    <cellStyle name="Percent 2 7 3 2 3 2 3" xfId="28722" xr:uid="{00000000-0005-0000-0000-0000A9820000}"/>
    <cellStyle name="Percent 2 7 3 2 3 3" xfId="13218" xr:uid="{00000000-0005-0000-0000-0000AA820000}"/>
    <cellStyle name="Percent 2 7 3 2 3 3 2" xfId="33270" xr:uid="{00000000-0005-0000-0000-0000AB820000}"/>
    <cellStyle name="Percent 2 7 3 2 3 4" xfId="24240" xr:uid="{00000000-0005-0000-0000-0000AC820000}"/>
    <cellStyle name="Percent 2 7 3 2 4" xfId="5682" xr:uid="{00000000-0005-0000-0000-0000AD820000}"/>
    <cellStyle name="Percent 2 7 3 2 4 2" xfId="14712" xr:uid="{00000000-0005-0000-0000-0000AE820000}"/>
    <cellStyle name="Percent 2 7 3 2 4 2 2" xfId="34764" xr:uid="{00000000-0005-0000-0000-0000AF820000}"/>
    <cellStyle name="Percent 2 7 3 2 4 3" xfId="25734" xr:uid="{00000000-0005-0000-0000-0000B0820000}"/>
    <cellStyle name="Percent 2 7 3 2 5" xfId="10230" xr:uid="{00000000-0005-0000-0000-0000B1820000}"/>
    <cellStyle name="Percent 2 7 3 2 5 2" xfId="30282" xr:uid="{00000000-0005-0000-0000-0000B2820000}"/>
    <cellStyle name="Percent 2 7 3 2 6" xfId="21252" xr:uid="{00000000-0005-0000-0000-0000B3820000}"/>
    <cellStyle name="Percent 2 7 3 3" xfId="1947" xr:uid="{00000000-0005-0000-0000-0000B4820000}"/>
    <cellStyle name="Percent 2 7 3 3 2" xfId="6429" xr:uid="{00000000-0005-0000-0000-0000B5820000}"/>
    <cellStyle name="Percent 2 7 3 3 2 2" xfId="15459" xr:uid="{00000000-0005-0000-0000-0000B6820000}"/>
    <cellStyle name="Percent 2 7 3 3 2 2 2" xfId="35511" xr:uid="{00000000-0005-0000-0000-0000B7820000}"/>
    <cellStyle name="Percent 2 7 3 3 2 3" xfId="26481" xr:uid="{00000000-0005-0000-0000-0000B8820000}"/>
    <cellStyle name="Percent 2 7 3 3 3" xfId="10977" xr:uid="{00000000-0005-0000-0000-0000B9820000}"/>
    <cellStyle name="Percent 2 7 3 3 3 2" xfId="31029" xr:uid="{00000000-0005-0000-0000-0000BA820000}"/>
    <cellStyle name="Percent 2 7 3 3 4" xfId="21999" xr:uid="{00000000-0005-0000-0000-0000BB820000}"/>
    <cellStyle name="Percent 2 7 3 4" xfId="3441" xr:uid="{00000000-0005-0000-0000-0000BC820000}"/>
    <cellStyle name="Percent 2 7 3 4 2" xfId="7923" xr:uid="{00000000-0005-0000-0000-0000BD820000}"/>
    <cellStyle name="Percent 2 7 3 4 2 2" xfId="16953" xr:uid="{00000000-0005-0000-0000-0000BE820000}"/>
    <cellStyle name="Percent 2 7 3 4 2 2 2" xfId="37005" xr:uid="{00000000-0005-0000-0000-0000BF820000}"/>
    <cellStyle name="Percent 2 7 3 4 2 3" xfId="27975" xr:uid="{00000000-0005-0000-0000-0000C0820000}"/>
    <cellStyle name="Percent 2 7 3 4 3" xfId="12471" xr:uid="{00000000-0005-0000-0000-0000C1820000}"/>
    <cellStyle name="Percent 2 7 3 4 3 2" xfId="32523" xr:uid="{00000000-0005-0000-0000-0000C2820000}"/>
    <cellStyle name="Percent 2 7 3 4 4" xfId="23493" xr:uid="{00000000-0005-0000-0000-0000C3820000}"/>
    <cellStyle name="Percent 2 7 3 5" xfId="4935" xr:uid="{00000000-0005-0000-0000-0000C4820000}"/>
    <cellStyle name="Percent 2 7 3 5 2" xfId="13965" xr:uid="{00000000-0005-0000-0000-0000C5820000}"/>
    <cellStyle name="Percent 2 7 3 5 2 2" xfId="34017" xr:uid="{00000000-0005-0000-0000-0000C6820000}"/>
    <cellStyle name="Percent 2 7 3 5 3" xfId="24987" xr:uid="{00000000-0005-0000-0000-0000C7820000}"/>
    <cellStyle name="Percent 2 7 3 6" xfId="9483" xr:uid="{00000000-0005-0000-0000-0000C8820000}"/>
    <cellStyle name="Percent 2 7 3 6 2" xfId="29535" xr:uid="{00000000-0005-0000-0000-0000C9820000}"/>
    <cellStyle name="Percent 2 7 3 7" xfId="20505" xr:uid="{00000000-0005-0000-0000-0000CA820000}"/>
    <cellStyle name="Percent 2 7 4" xfId="639" xr:uid="{00000000-0005-0000-0000-0000CB820000}"/>
    <cellStyle name="Percent 2 7 4 2" xfId="1386" xr:uid="{00000000-0005-0000-0000-0000CC820000}"/>
    <cellStyle name="Percent 2 7 4 2 2" xfId="2880" xr:uid="{00000000-0005-0000-0000-0000CD820000}"/>
    <cellStyle name="Percent 2 7 4 2 2 2" xfId="7362" xr:uid="{00000000-0005-0000-0000-0000CE820000}"/>
    <cellStyle name="Percent 2 7 4 2 2 2 2" xfId="16392" xr:uid="{00000000-0005-0000-0000-0000CF820000}"/>
    <cellStyle name="Percent 2 7 4 2 2 2 2 2" xfId="36444" xr:uid="{00000000-0005-0000-0000-0000D0820000}"/>
    <cellStyle name="Percent 2 7 4 2 2 2 3" xfId="27414" xr:uid="{00000000-0005-0000-0000-0000D1820000}"/>
    <cellStyle name="Percent 2 7 4 2 2 3" xfId="11910" xr:uid="{00000000-0005-0000-0000-0000D2820000}"/>
    <cellStyle name="Percent 2 7 4 2 2 3 2" xfId="31962" xr:uid="{00000000-0005-0000-0000-0000D3820000}"/>
    <cellStyle name="Percent 2 7 4 2 2 4" xfId="22932" xr:uid="{00000000-0005-0000-0000-0000D4820000}"/>
    <cellStyle name="Percent 2 7 4 2 3" xfId="4374" xr:uid="{00000000-0005-0000-0000-0000D5820000}"/>
    <cellStyle name="Percent 2 7 4 2 3 2" xfId="8856" xr:uid="{00000000-0005-0000-0000-0000D6820000}"/>
    <cellStyle name="Percent 2 7 4 2 3 2 2" xfId="17886" xr:uid="{00000000-0005-0000-0000-0000D7820000}"/>
    <cellStyle name="Percent 2 7 4 2 3 2 2 2" xfId="37938" xr:uid="{00000000-0005-0000-0000-0000D8820000}"/>
    <cellStyle name="Percent 2 7 4 2 3 2 3" xfId="28908" xr:uid="{00000000-0005-0000-0000-0000D9820000}"/>
    <cellStyle name="Percent 2 7 4 2 3 3" xfId="13404" xr:uid="{00000000-0005-0000-0000-0000DA820000}"/>
    <cellStyle name="Percent 2 7 4 2 3 3 2" xfId="33456" xr:uid="{00000000-0005-0000-0000-0000DB820000}"/>
    <cellStyle name="Percent 2 7 4 2 3 4" xfId="24426" xr:uid="{00000000-0005-0000-0000-0000DC820000}"/>
    <cellStyle name="Percent 2 7 4 2 4" xfId="5868" xr:uid="{00000000-0005-0000-0000-0000DD820000}"/>
    <cellStyle name="Percent 2 7 4 2 4 2" xfId="14898" xr:uid="{00000000-0005-0000-0000-0000DE820000}"/>
    <cellStyle name="Percent 2 7 4 2 4 2 2" xfId="34950" xr:uid="{00000000-0005-0000-0000-0000DF820000}"/>
    <cellStyle name="Percent 2 7 4 2 4 3" xfId="25920" xr:uid="{00000000-0005-0000-0000-0000E0820000}"/>
    <cellStyle name="Percent 2 7 4 2 5" xfId="10416" xr:uid="{00000000-0005-0000-0000-0000E1820000}"/>
    <cellStyle name="Percent 2 7 4 2 5 2" xfId="30468" xr:uid="{00000000-0005-0000-0000-0000E2820000}"/>
    <cellStyle name="Percent 2 7 4 2 6" xfId="21438" xr:uid="{00000000-0005-0000-0000-0000E3820000}"/>
    <cellStyle name="Percent 2 7 4 3" xfId="2133" xr:uid="{00000000-0005-0000-0000-0000E4820000}"/>
    <cellStyle name="Percent 2 7 4 3 2" xfId="6615" xr:uid="{00000000-0005-0000-0000-0000E5820000}"/>
    <cellStyle name="Percent 2 7 4 3 2 2" xfId="15645" xr:uid="{00000000-0005-0000-0000-0000E6820000}"/>
    <cellStyle name="Percent 2 7 4 3 2 2 2" xfId="35697" xr:uid="{00000000-0005-0000-0000-0000E7820000}"/>
    <cellStyle name="Percent 2 7 4 3 2 3" xfId="26667" xr:uid="{00000000-0005-0000-0000-0000E8820000}"/>
    <cellStyle name="Percent 2 7 4 3 3" xfId="11163" xr:uid="{00000000-0005-0000-0000-0000E9820000}"/>
    <cellStyle name="Percent 2 7 4 3 3 2" xfId="31215" xr:uid="{00000000-0005-0000-0000-0000EA820000}"/>
    <cellStyle name="Percent 2 7 4 3 4" xfId="22185" xr:uid="{00000000-0005-0000-0000-0000EB820000}"/>
    <cellStyle name="Percent 2 7 4 4" xfId="3627" xr:uid="{00000000-0005-0000-0000-0000EC820000}"/>
    <cellStyle name="Percent 2 7 4 4 2" xfId="8109" xr:uid="{00000000-0005-0000-0000-0000ED820000}"/>
    <cellStyle name="Percent 2 7 4 4 2 2" xfId="17139" xr:uid="{00000000-0005-0000-0000-0000EE820000}"/>
    <cellStyle name="Percent 2 7 4 4 2 2 2" xfId="37191" xr:uid="{00000000-0005-0000-0000-0000EF820000}"/>
    <cellStyle name="Percent 2 7 4 4 2 3" xfId="28161" xr:uid="{00000000-0005-0000-0000-0000F0820000}"/>
    <cellStyle name="Percent 2 7 4 4 3" xfId="12657" xr:uid="{00000000-0005-0000-0000-0000F1820000}"/>
    <cellStyle name="Percent 2 7 4 4 3 2" xfId="32709" xr:uid="{00000000-0005-0000-0000-0000F2820000}"/>
    <cellStyle name="Percent 2 7 4 4 4" xfId="23679" xr:uid="{00000000-0005-0000-0000-0000F3820000}"/>
    <cellStyle name="Percent 2 7 4 5" xfId="5121" xr:uid="{00000000-0005-0000-0000-0000F4820000}"/>
    <cellStyle name="Percent 2 7 4 5 2" xfId="14151" xr:uid="{00000000-0005-0000-0000-0000F5820000}"/>
    <cellStyle name="Percent 2 7 4 5 2 2" xfId="34203" xr:uid="{00000000-0005-0000-0000-0000F6820000}"/>
    <cellStyle name="Percent 2 7 4 5 3" xfId="25173" xr:uid="{00000000-0005-0000-0000-0000F7820000}"/>
    <cellStyle name="Percent 2 7 4 6" xfId="9669" xr:uid="{00000000-0005-0000-0000-0000F8820000}"/>
    <cellStyle name="Percent 2 7 4 6 2" xfId="29721" xr:uid="{00000000-0005-0000-0000-0000F9820000}"/>
    <cellStyle name="Percent 2 7 4 7" xfId="20691" xr:uid="{00000000-0005-0000-0000-0000FA820000}"/>
    <cellStyle name="Percent 2 7 5" xfId="826" xr:uid="{00000000-0005-0000-0000-0000FB820000}"/>
    <cellStyle name="Percent 2 7 5 2" xfId="2320" xr:uid="{00000000-0005-0000-0000-0000FC820000}"/>
    <cellStyle name="Percent 2 7 5 2 2" xfId="6802" xr:uid="{00000000-0005-0000-0000-0000FD820000}"/>
    <cellStyle name="Percent 2 7 5 2 2 2" xfId="15832" xr:uid="{00000000-0005-0000-0000-0000FE820000}"/>
    <cellStyle name="Percent 2 7 5 2 2 2 2" xfId="35884" xr:uid="{00000000-0005-0000-0000-0000FF820000}"/>
    <cellStyle name="Percent 2 7 5 2 2 3" xfId="26854" xr:uid="{00000000-0005-0000-0000-000000830000}"/>
    <cellStyle name="Percent 2 7 5 2 3" xfId="11350" xr:uid="{00000000-0005-0000-0000-000001830000}"/>
    <cellStyle name="Percent 2 7 5 2 3 2" xfId="31402" xr:uid="{00000000-0005-0000-0000-000002830000}"/>
    <cellStyle name="Percent 2 7 5 2 4" xfId="22372" xr:uid="{00000000-0005-0000-0000-000003830000}"/>
    <cellStyle name="Percent 2 7 5 3" xfId="3814" xr:uid="{00000000-0005-0000-0000-000004830000}"/>
    <cellStyle name="Percent 2 7 5 3 2" xfId="8296" xr:uid="{00000000-0005-0000-0000-000005830000}"/>
    <cellStyle name="Percent 2 7 5 3 2 2" xfId="17326" xr:uid="{00000000-0005-0000-0000-000006830000}"/>
    <cellStyle name="Percent 2 7 5 3 2 2 2" xfId="37378" xr:uid="{00000000-0005-0000-0000-000007830000}"/>
    <cellStyle name="Percent 2 7 5 3 2 3" xfId="28348" xr:uid="{00000000-0005-0000-0000-000008830000}"/>
    <cellStyle name="Percent 2 7 5 3 3" xfId="12844" xr:uid="{00000000-0005-0000-0000-000009830000}"/>
    <cellStyle name="Percent 2 7 5 3 3 2" xfId="32896" xr:uid="{00000000-0005-0000-0000-00000A830000}"/>
    <cellStyle name="Percent 2 7 5 3 4" xfId="23866" xr:uid="{00000000-0005-0000-0000-00000B830000}"/>
    <cellStyle name="Percent 2 7 5 4" xfId="5308" xr:uid="{00000000-0005-0000-0000-00000C830000}"/>
    <cellStyle name="Percent 2 7 5 4 2" xfId="14338" xr:uid="{00000000-0005-0000-0000-00000D830000}"/>
    <cellStyle name="Percent 2 7 5 4 2 2" xfId="34390" xr:uid="{00000000-0005-0000-0000-00000E830000}"/>
    <cellStyle name="Percent 2 7 5 4 3" xfId="25360" xr:uid="{00000000-0005-0000-0000-00000F830000}"/>
    <cellStyle name="Percent 2 7 5 5" xfId="9856" xr:uid="{00000000-0005-0000-0000-000010830000}"/>
    <cellStyle name="Percent 2 7 5 5 2" xfId="29908" xr:uid="{00000000-0005-0000-0000-000011830000}"/>
    <cellStyle name="Percent 2 7 5 6" xfId="20878" xr:uid="{00000000-0005-0000-0000-000012830000}"/>
    <cellStyle name="Percent 2 7 6" xfId="1575" xr:uid="{00000000-0005-0000-0000-000013830000}"/>
    <cellStyle name="Percent 2 7 6 2" xfId="6057" xr:uid="{00000000-0005-0000-0000-000014830000}"/>
    <cellStyle name="Percent 2 7 6 2 2" xfId="15087" xr:uid="{00000000-0005-0000-0000-000015830000}"/>
    <cellStyle name="Percent 2 7 6 2 2 2" xfId="35139" xr:uid="{00000000-0005-0000-0000-000016830000}"/>
    <cellStyle name="Percent 2 7 6 2 3" xfId="26109" xr:uid="{00000000-0005-0000-0000-000017830000}"/>
    <cellStyle name="Percent 2 7 6 3" xfId="10605" xr:uid="{00000000-0005-0000-0000-000018830000}"/>
    <cellStyle name="Percent 2 7 6 3 2" xfId="30657" xr:uid="{00000000-0005-0000-0000-000019830000}"/>
    <cellStyle name="Percent 2 7 6 4" xfId="21627" xr:uid="{00000000-0005-0000-0000-00001A830000}"/>
    <cellStyle name="Percent 2 7 7" xfId="3069" xr:uid="{00000000-0005-0000-0000-00001B830000}"/>
    <cellStyle name="Percent 2 7 7 2" xfId="7551" xr:uid="{00000000-0005-0000-0000-00001C830000}"/>
    <cellStyle name="Percent 2 7 7 2 2" xfId="16581" xr:uid="{00000000-0005-0000-0000-00001D830000}"/>
    <cellStyle name="Percent 2 7 7 2 2 2" xfId="36633" xr:uid="{00000000-0005-0000-0000-00001E830000}"/>
    <cellStyle name="Percent 2 7 7 2 3" xfId="27603" xr:uid="{00000000-0005-0000-0000-00001F830000}"/>
    <cellStyle name="Percent 2 7 7 3" xfId="12099" xr:uid="{00000000-0005-0000-0000-000020830000}"/>
    <cellStyle name="Percent 2 7 7 3 2" xfId="32151" xr:uid="{00000000-0005-0000-0000-000021830000}"/>
    <cellStyle name="Percent 2 7 7 4" xfId="23121" xr:uid="{00000000-0005-0000-0000-000022830000}"/>
    <cellStyle name="Percent 2 7 8" xfId="4563" xr:uid="{00000000-0005-0000-0000-000023830000}"/>
    <cellStyle name="Percent 2 7 8 2" xfId="13593" xr:uid="{00000000-0005-0000-0000-000024830000}"/>
    <cellStyle name="Percent 2 7 8 2 2" xfId="33645" xr:uid="{00000000-0005-0000-0000-000025830000}"/>
    <cellStyle name="Percent 2 7 8 3" xfId="24615" xr:uid="{00000000-0005-0000-0000-000026830000}"/>
    <cellStyle name="Percent 2 7 9" xfId="9111" xr:uid="{00000000-0005-0000-0000-000027830000}"/>
    <cellStyle name="Percent 2 7 9 2" xfId="29163" xr:uid="{00000000-0005-0000-0000-000028830000}"/>
    <cellStyle name="Percent 2 8" xfId="117" xr:uid="{00000000-0005-0000-0000-000029830000}"/>
    <cellStyle name="Percent 2 8 10" xfId="20169" xr:uid="{00000000-0005-0000-0000-00002A830000}"/>
    <cellStyle name="Percent 2 8 2" xfId="303" xr:uid="{00000000-0005-0000-0000-00002B830000}"/>
    <cellStyle name="Percent 2 8 2 2" xfId="1046" xr:uid="{00000000-0005-0000-0000-00002C830000}"/>
    <cellStyle name="Percent 2 8 2 2 2" xfId="2540" xr:uid="{00000000-0005-0000-0000-00002D830000}"/>
    <cellStyle name="Percent 2 8 2 2 2 2" xfId="7022" xr:uid="{00000000-0005-0000-0000-00002E830000}"/>
    <cellStyle name="Percent 2 8 2 2 2 2 2" xfId="16052" xr:uid="{00000000-0005-0000-0000-00002F830000}"/>
    <cellStyle name="Percent 2 8 2 2 2 2 2 2" xfId="36104" xr:uid="{00000000-0005-0000-0000-000030830000}"/>
    <cellStyle name="Percent 2 8 2 2 2 2 3" xfId="27074" xr:uid="{00000000-0005-0000-0000-000031830000}"/>
    <cellStyle name="Percent 2 8 2 2 2 3" xfId="11570" xr:uid="{00000000-0005-0000-0000-000032830000}"/>
    <cellStyle name="Percent 2 8 2 2 2 3 2" xfId="31622" xr:uid="{00000000-0005-0000-0000-000033830000}"/>
    <cellStyle name="Percent 2 8 2 2 2 4" xfId="22592" xr:uid="{00000000-0005-0000-0000-000034830000}"/>
    <cellStyle name="Percent 2 8 2 2 3" xfId="4034" xr:uid="{00000000-0005-0000-0000-000035830000}"/>
    <cellStyle name="Percent 2 8 2 2 3 2" xfId="8516" xr:uid="{00000000-0005-0000-0000-000036830000}"/>
    <cellStyle name="Percent 2 8 2 2 3 2 2" xfId="17546" xr:uid="{00000000-0005-0000-0000-000037830000}"/>
    <cellStyle name="Percent 2 8 2 2 3 2 2 2" xfId="37598" xr:uid="{00000000-0005-0000-0000-000038830000}"/>
    <cellStyle name="Percent 2 8 2 2 3 2 3" xfId="28568" xr:uid="{00000000-0005-0000-0000-000039830000}"/>
    <cellStyle name="Percent 2 8 2 2 3 3" xfId="13064" xr:uid="{00000000-0005-0000-0000-00003A830000}"/>
    <cellStyle name="Percent 2 8 2 2 3 3 2" xfId="33116" xr:uid="{00000000-0005-0000-0000-00003B830000}"/>
    <cellStyle name="Percent 2 8 2 2 3 4" xfId="24086" xr:uid="{00000000-0005-0000-0000-00003C830000}"/>
    <cellStyle name="Percent 2 8 2 2 4" xfId="5528" xr:uid="{00000000-0005-0000-0000-00003D830000}"/>
    <cellStyle name="Percent 2 8 2 2 4 2" xfId="14558" xr:uid="{00000000-0005-0000-0000-00003E830000}"/>
    <cellStyle name="Percent 2 8 2 2 4 2 2" xfId="34610" xr:uid="{00000000-0005-0000-0000-00003F830000}"/>
    <cellStyle name="Percent 2 8 2 2 4 3" xfId="25580" xr:uid="{00000000-0005-0000-0000-000040830000}"/>
    <cellStyle name="Percent 2 8 2 2 5" xfId="10076" xr:uid="{00000000-0005-0000-0000-000041830000}"/>
    <cellStyle name="Percent 2 8 2 2 5 2" xfId="30128" xr:uid="{00000000-0005-0000-0000-000042830000}"/>
    <cellStyle name="Percent 2 8 2 2 6" xfId="21098" xr:uid="{00000000-0005-0000-0000-000043830000}"/>
    <cellStyle name="Percent 2 8 2 3" xfId="1797" xr:uid="{00000000-0005-0000-0000-000044830000}"/>
    <cellStyle name="Percent 2 8 2 3 2" xfId="6279" xr:uid="{00000000-0005-0000-0000-000045830000}"/>
    <cellStyle name="Percent 2 8 2 3 2 2" xfId="15309" xr:uid="{00000000-0005-0000-0000-000046830000}"/>
    <cellStyle name="Percent 2 8 2 3 2 2 2" xfId="35361" xr:uid="{00000000-0005-0000-0000-000047830000}"/>
    <cellStyle name="Percent 2 8 2 3 2 3" xfId="26331" xr:uid="{00000000-0005-0000-0000-000048830000}"/>
    <cellStyle name="Percent 2 8 2 3 3" xfId="10827" xr:uid="{00000000-0005-0000-0000-000049830000}"/>
    <cellStyle name="Percent 2 8 2 3 3 2" xfId="30879" xr:uid="{00000000-0005-0000-0000-00004A830000}"/>
    <cellStyle name="Percent 2 8 2 3 4" xfId="21849" xr:uid="{00000000-0005-0000-0000-00004B830000}"/>
    <cellStyle name="Percent 2 8 2 4" xfId="3291" xr:uid="{00000000-0005-0000-0000-00004C830000}"/>
    <cellStyle name="Percent 2 8 2 4 2" xfId="7773" xr:uid="{00000000-0005-0000-0000-00004D830000}"/>
    <cellStyle name="Percent 2 8 2 4 2 2" xfId="16803" xr:uid="{00000000-0005-0000-0000-00004E830000}"/>
    <cellStyle name="Percent 2 8 2 4 2 2 2" xfId="36855" xr:uid="{00000000-0005-0000-0000-00004F830000}"/>
    <cellStyle name="Percent 2 8 2 4 2 3" xfId="27825" xr:uid="{00000000-0005-0000-0000-000050830000}"/>
    <cellStyle name="Percent 2 8 2 4 3" xfId="12321" xr:uid="{00000000-0005-0000-0000-000051830000}"/>
    <cellStyle name="Percent 2 8 2 4 3 2" xfId="32373" xr:uid="{00000000-0005-0000-0000-000052830000}"/>
    <cellStyle name="Percent 2 8 2 4 4" xfId="23343" xr:uid="{00000000-0005-0000-0000-000053830000}"/>
    <cellStyle name="Percent 2 8 2 5" xfId="4785" xr:uid="{00000000-0005-0000-0000-000054830000}"/>
    <cellStyle name="Percent 2 8 2 5 2" xfId="13815" xr:uid="{00000000-0005-0000-0000-000055830000}"/>
    <cellStyle name="Percent 2 8 2 5 2 2" xfId="33867" xr:uid="{00000000-0005-0000-0000-000056830000}"/>
    <cellStyle name="Percent 2 8 2 5 3" xfId="24837" xr:uid="{00000000-0005-0000-0000-000057830000}"/>
    <cellStyle name="Percent 2 8 2 6" xfId="9333" xr:uid="{00000000-0005-0000-0000-000058830000}"/>
    <cellStyle name="Percent 2 8 2 6 2" xfId="29385" xr:uid="{00000000-0005-0000-0000-000059830000}"/>
    <cellStyle name="Percent 2 8 2 7" xfId="20355" xr:uid="{00000000-0005-0000-0000-00005A830000}"/>
    <cellStyle name="Percent 2 8 3" xfId="489" xr:uid="{00000000-0005-0000-0000-00005B830000}"/>
    <cellStyle name="Percent 2 8 3 2" xfId="1236" xr:uid="{00000000-0005-0000-0000-00005C830000}"/>
    <cellStyle name="Percent 2 8 3 2 2" xfId="2730" xr:uid="{00000000-0005-0000-0000-00005D830000}"/>
    <cellStyle name="Percent 2 8 3 2 2 2" xfId="7212" xr:uid="{00000000-0005-0000-0000-00005E830000}"/>
    <cellStyle name="Percent 2 8 3 2 2 2 2" xfId="16242" xr:uid="{00000000-0005-0000-0000-00005F830000}"/>
    <cellStyle name="Percent 2 8 3 2 2 2 2 2" xfId="36294" xr:uid="{00000000-0005-0000-0000-000060830000}"/>
    <cellStyle name="Percent 2 8 3 2 2 2 3" xfId="27264" xr:uid="{00000000-0005-0000-0000-000061830000}"/>
    <cellStyle name="Percent 2 8 3 2 2 3" xfId="11760" xr:uid="{00000000-0005-0000-0000-000062830000}"/>
    <cellStyle name="Percent 2 8 3 2 2 3 2" xfId="31812" xr:uid="{00000000-0005-0000-0000-000063830000}"/>
    <cellStyle name="Percent 2 8 3 2 2 4" xfId="22782" xr:uid="{00000000-0005-0000-0000-000064830000}"/>
    <cellStyle name="Percent 2 8 3 2 3" xfId="4224" xr:uid="{00000000-0005-0000-0000-000065830000}"/>
    <cellStyle name="Percent 2 8 3 2 3 2" xfId="8706" xr:uid="{00000000-0005-0000-0000-000066830000}"/>
    <cellStyle name="Percent 2 8 3 2 3 2 2" xfId="17736" xr:uid="{00000000-0005-0000-0000-000067830000}"/>
    <cellStyle name="Percent 2 8 3 2 3 2 2 2" xfId="37788" xr:uid="{00000000-0005-0000-0000-000068830000}"/>
    <cellStyle name="Percent 2 8 3 2 3 2 3" xfId="28758" xr:uid="{00000000-0005-0000-0000-000069830000}"/>
    <cellStyle name="Percent 2 8 3 2 3 3" xfId="13254" xr:uid="{00000000-0005-0000-0000-00006A830000}"/>
    <cellStyle name="Percent 2 8 3 2 3 3 2" xfId="33306" xr:uid="{00000000-0005-0000-0000-00006B830000}"/>
    <cellStyle name="Percent 2 8 3 2 3 4" xfId="24276" xr:uid="{00000000-0005-0000-0000-00006C830000}"/>
    <cellStyle name="Percent 2 8 3 2 4" xfId="5718" xr:uid="{00000000-0005-0000-0000-00006D830000}"/>
    <cellStyle name="Percent 2 8 3 2 4 2" xfId="14748" xr:uid="{00000000-0005-0000-0000-00006E830000}"/>
    <cellStyle name="Percent 2 8 3 2 4 2 2" xfId="34800" xr:uid="{00000000-0005-0000-0000-00006F830000}"/>
    <cellStyle name="Percent 2 8 3 2 4 3" xfId="25770" xr:uid="{00000000-0005-0000-0000-000070830000}"/>
    <cellStyle name="Percent 2 8 3 2 5" xfId="10266" xr:uid="{00000000-0005-0000-0000-000071830000}"/>
    <cellStyle name="Percent 2 8 3 2 5 2" xfId="30318" xr:uid="{00000000-0005-0000-0000-000072830000}"/>
    <cellStyle name="Percent 2 8 3 2 6" xfId="21288" xr:uid="{00000000-0005-0000-0000-000073830000}"/>
    <cellStyle name="Percent 2 8 3 3" xfId="1983" xr:uid="{00000000-0005-0000-0000-000074830000}"/>
    <cellStyle name="Percent 2 8 3 3 2" xfId="6465" xr:uid="{00000000-0005-0000-0000-000075830000}"/>
    <cellStyle name="Percent 2 8 3 3 2 2" xfId="15495" xr:uid="{00000000-0005-0000-0000-000076830000}"/>
    <cellStyle name="Percent 2 8 3 3 2 2 2" xfId="35547" xr:uid="{00000000-0005-0000-0000-000077830000}"/>
    <cellStyle name="Percent 2 8 3 3 2 3" xfId="26517" xr:uid="{00000000-0005-0000-0000-000078830000}"/>
    <cellStyle name="Percent 2 8 3 3 3" xfId="11013" xr:uid="{00000000-0005-0000-0000-000079830000}"/>
    <cellStyle name="Percent 2 8 3 3 3 2" xfId="31065" xr:uid="{00000000-0005-0000-0000-00007A830000}"/>
    <cellStyle name="Percent 2 8 3 3 4" xfId="22035" xr:uid="{00000000-0005-0000-0000-00007B830000}"/>
    <cellStyle name="Percent 2 8 3 4" xfId="3477" xr:uid="{00000000-0005-0000-0000-00007C830000}"/>
    <cellStyle name="Percent 2 8 3 4 2" xfId="7959" xr:uid="{00000000-0005-0000-0000-00007D830000}"/>
    <cellStyle name="Percent 2 8 3 4 2 2" xfId="16989" xr:uid="{00000000-0005-0000-0000-00007E830000}"/>
    <cellStyle name="Percent 2 8 3 4 2 2 2" xfId="37041" xr:uid="{00000000-0005-0000-0000-00007F830000}"/>
    <cellStyle name="Percent 2 8 3 4 2 3" xfId="28011" xr:uid="{00000000-0005-0000-0000-000080830000}"/>
    <cellStyle name="Percent 2 8 3 4 3" xfId="12507" xr:uid="{00000000-0005-0000-0000-000081830000}"/>
    <cellStyle name="Percent 2 8 3 4 3 2" xfId="32559" xr:uid="{00000000-0005-0000-0000-000082830000}"/>
    <cellStyle name="Percent 2 8 3 4 4" xfId="23529" xr:uid="{00000000-0005-0000-0000-000083830000}"/>
    <cellStyle name="Percent 2 8 3 5" xfId="4971" xr:uid="{00000000-0005-0000-0000-000084830000}"/>
    <cellStyle name="Percent 2 8 3 5 2" xfId="14001" xr:uid="{00000000-0005-0000-0000-000085830000}"/>
    <cellStyle name="Percent 2 8 3 5 2 2" xfId="34053" xr:uid="{00000000-0005-0000-0000-000086830000}"/>
    <cellStyle name="Percent 2 8 3 5 3" xfId="25023" xr:uid="{00000000-0005-0000-0000-000087830000}"/>
    <cellStyle name="Percent 2 8 3 6" xfId="9519" xr:uid="{00000000-0005-0000-0000-000088830000}"/>
    <cellStyle name="Percent 2 8 3 6 2" xfId="29571" xr:uid="{00000000-0005-0000-0000-000089830000}"/>
    <cellStyle name="Percent 2 8 3 7" xfId="20541" xr:uid="{00000000-0005-0000-0000-00008A830000}"/>
    <cellStyle name="Percent 2 8 4" xfId="675" xr:uid="{00000000-0005-0000-0000-00008B830000}"/>
    <cellStyle name="Percent 2 8 4 2" xfId="1422" xr:uid="{00000000-0005-0000-0000-00008C830000}"/>
    <cellStyle name="Percent 2 8 4 2 2" xfId="2916" xr:uid="{00000000-0005-0000-0000-00008D830000}"/>
    <cellStyle name="Percent 2 8 4 2 2 2" xfId="7398" xr:uid="{00000000-0005-0000-0000-00008E830000}"/>
    <cellStyle name="Percent 2 8 4 2 2 2 2" xfId="16428" xr:uid="{00000000-0005-0000-0000-00008F830000}"/>
    <cellStyle name="Percent 2 8 4 2 2 2 2 2" xfId="36480" xr:uid="{00000000-0005-0000-0000-000090830000}"/>
    <cellStyle name="Percent 2 8 4 2 2 2 3" xfId="27450" xr:uid="{00000000-0005-0000-0000-000091830000}"/>
    <cellStyle name="Percent 2 8 4 2 2 3" xfId="11946" xr:uid="{00000000-0005-0000-0000-000092830000}"/>
    <cellStyle name="Percent 2 8 4 2 2 3 2" xfId="31998" xr:uid="{00000000-0005-0000-0000-000093830000}"/>
    <cellStyle name="Percent 2 8 4 2 2 4" xfId="22968" xr:uid="{00000000-0005-0000-0000-000094830000}"/>
    <cellStyle name="Percent 2 8 4 2 3" xfId="4410" xr:uid="{00000000-0005-0000-0000-000095830000}"/>
    <cellStyle name="Percent 2 8 4 2 3 2" xfId="8892" xr:uid="{00000000-0005-0000-0000-000096830000}"/>
    <cellStyle name="Percent 2 8 4 2 3 2 2" xfId="17922" xr:uid="{00000000-0005-0000-0000-000097830000}"/>
    <cellStyle name="Percent 2 8 4 2 3 2 2 2" xfId="37974" xr:uid="{00000000-0005-0000-0000-000098830000}"/>
    <cellStyle name="Percent 2 8 4 2 3 2 3" xfId="28944" xr:uid="{00000000-0005-0000-0000-000099830000}"/>
    <cellStyle name="Percent 2 8 4 2 3 3" xfId="13440" xr:uid="{00000000-0005-0000-0000-00009A830000}"/>
    <cellStyle name="Percent 2 8 4 2 3 3 2" xfId="33492" xr:uid="{00000000-0005-0000-0000-00009B830000}"/>
    <cellStyle name="Percent 2 8 4 2 3 4" xfId="24462" xr:uid="{00000000-0005-0000-0000-00009C830000}"/>
    <cellStyle name="Percent 2 8 4 2 4" xfId="5904" xr:uid="{00000000-0005-0000-0000-00009D830000}"/>
    <cellStyle name="Percent 2 8 4 2 4 2" xfId="14934" xr:uid="{00000000-0005-0000-0000-00009E830000}"/>
    <cellStyle name="Percent 2 8 4 2 4 2 2" xfId="34986" xr:uid="{00000000-0005-0000-0000-00009F830000}"/>
    <cellStyle name="Percent 2 8 4 2 4 3" xfId="25956" xr:uid="{00000000-0005-0000-0000-0000A0830000}"/>
    <cellStyle name="Percent 2 8 4 2 5" xfId="10452" xr:uid="{00000000-0005-0000-0000-0000A1830000}"/>
    <cellStyle name="Percent 2 8 4 2 5 2" xfId="30504" xr:uid="{00000000-0005-0000-0000-0000A2830000}"/>
    <cellStyle name="Percent 2 8 4 2 6" xfId="21474" xr:uid="{00000000-0005-0000-0000-0000A3830000}"/>
    <cellStyle name="Percent 2 8 4 3" xfId="2169" xr:uid="{00000000-0005-0000-0000-0000A4830000}"/>
    <cellStyle name="Percent 2 8 4 3 2" xfId="6651" xr:uid="{00000000-0005-0000-0000-0000A5830000}"/>
    <cellStyle name="Percent 2 8 4 3 2 2" xfId="15681" xr:uid="{00000000-0005-0000-0000-0000A6830000}"/>
    <cellStyle name="Percent 2 8 4 3 2 2 2" xfId="35733" xr:uid="{00000000-0005-0000-0000-0000A7830000}"/>
    <cellStyle name="Percent 2 8 4 3 2 3" xfId="26703" xr:uid="{00000000-0005-0000-0000-0000A8830000}"/>
    <cellStyle name="Percent 2 8 4 3 3" xfId="11199" xr:uid="{00000000-0005-0000-0000-0000A9830000}"/>
    <cellStyle name="Percent 2 8 4 3 3 2" xfId="31251" xr:uid="{00000000-0005-0000-0000-0000AA830000}"/>
    <cellStyle name="Percent 2 8 4 3 4" xfId="22221" xr:uid="{00000000-0005-0000-0000-0000AB830000}"/>
    <cellStyle name="Percent 2 8 4 4" xfId="3663" xr:uid="{00000000-0005-0000-0000-0000AC830000}"/>
    <cellStyle name="Percent 2 8 4 4 2" xfId="8145" xr:uid="{00000000-0005-0000-0000-0000AD830000}"/>
    <cellStyle name="Percent 2 8 4 4 2 2" xfId="17175" xr:uid="{00000000-0005-0000-0000-0000AE830000}"/>
    <cellStyle name="Percent 2 8 4 4 2 2 2" xfId="37227" xr:uid="{00000000-0005-0000-0000-0000AF830000}"/>
    <cellStyle name="Percent 2 8 4 4 2 3" xfId="28197" xr:uid="{00000000-0005-0000-0000-0000B0830000}"/>
    <cellStyle name="Percent 2 8 4 4 3" xfId="12693" xr:uid="{00000000-0005-0000-0000-0000B1830000}"/>
    <cellStyle name="Percent 2 8 4 4 3 2" xfId="32745" xr:uid="{00000000-0005-0000-0000-0000B2830000}"/>
    <cellStyle name="Percent 2 8 4 4 4" xfId="23715" xr:uid="{00000000-0005-0000-0000-0000B3830000}"/>
    <cellStyle name="Percent 2 8 4 5" xfId="5157" xr:uid="{00000000-0005-0000-0000-0000B4830000}"/>
    <cellStyle name="Percent 2 8 4 5 2" xfId="14187" xr:uid="{00000000-0005-0000-0000-0000B5830000}"/>
    <cellStyle name="Percent 2 8 4 5 2 2" xfId="34239" xr:uid="{00000000-0005-0000-0000-0000B6830000}"/>
    <cellStyle name="Percent 2 8 4 5 3" xfId="25209" xr:uid="{00000000-0005-0000-0000-0000B7830000}"/>
    <cellStyle name="Percent 2 8 4 6" xfId="9705" xr:uid="{00000000-0005-0000-0000-0000B8830000}"/>
    <cellStyle name="Percent 2 8 4 6 2" xfId="29757" xr:uid="{00000000-0005-0000-0000-0000B9830000}"/>
    <cellStyle name="Percent 2 8 4 7" xfId="20727" xr:uid="{00000000-0005-0000-0000-0000BA830000}"/>
    <cellStyle name="Percent 2 8 5" xfId="862" xr:uid="{00000000-0005-0000-0000-0000BB830000}"/>
    <cellStyle name="Percent 2 8 5 2" xfId="2356" xr:uid="{00000000-0005-0000-0000-0000BC830000}"/>
    <cellStyle name="Percent 2 8 5 2 2" xfId="6838" xr:uid="{00000000-0005-0000-0000-0000BD830000}"/>
    <cellStyle name="Percent 2 8 5 2 2 2" xfId="15868" xr:uid="{00000000-0005-0000-0000-0000BE830000}"/>
    <cellStyle name="Percent 2 8 5 2 2 2 2" xfId="35920" xr:uid="{00000000-0005-0000-0000-0000BF830000}"/>
    <cellStyle name="Percent 2 8 5 2 2 3" xfId="26890" xr:uid="{00000000-0005-0000-0000-0000C0830000}"/>
    <cellStyle name="Percent 2 8 5 2 3" xfId="11386" xr:uid="{00000000-0005-0000-0000-0000C1830000}"/>
    <cellStyle name="Percent 2 8 5 2 3 2" xfId="31438" xr:uid="{00000000-0005-0000-0000-0000C2830000}"/>
    <cellStyle name="Percent 2 8 5 2 4" xfId="22408" xr:uid="{00000000-0005-0000-0000-0000C3830000}"/>
    <cellStyle name="Percent 2 8 5 3" xfId="3850" xr:uid="{00000000-0005-0000-0000-0000C4830000}"/>
    <cellStyle name="Percent 2 8 5 3 2" xfId="8332" xr:uid="{00000000-0005-0000-0000-0000C5830000}"/>
    <cellStyle name="Percent 2 8 5 3 2 2" xfId="17362" xr:uid="{00000000-0005-0000-0000-0000C6830000}"/>
    <cellStyle name="Percent 2 8 5 3 2 2 2" xfId="37414" xr:uid="{00000000-0005-0000-0000-0000C7830000}"/>
    <cellStyle name="Percent 2 8 5 3 2 3" xfId="28384" xr:uid="{00000000-0005-0000-0000-0000C8830000}"/>
    <cellStyle name="Percent 2 8 5 3 3" xfId="12880" xr:uid="{00000000-0005-0000-0000-0000C9830000}"/>
    <cellStyle name="Percent 2 8 5 3 3 2" xfId="32932" xr:uid="{00000000-0005-0000-0000-0000CA830000}"/>
    <cellStyle name="Percent 2 8 5 3 4" xfId="23902" xr:uid="{00000000-0005-0000-0000-0000CB830000}"/>
    <cellStyle name="Percent 2 8 5 4" xfId="5344" xr:uid="{00000000-0005-0000-0000-0000CC830000}"/>
    <cellStyle name="Percent 2 8 5 4 2" xfId="14374" xr:uid="{00000000-0005-0000-0000-0000CD830000}"/>
    <cellStyle name="Percent 2 8 5 4 2 2" xfId="34426" xr:uid="{00000000-0005-0000-0000-0000CE830000}"/>
    <cellStyle name="Percent 2 8 5 4 3" xfId="25396" xr:uid="{00000000-0005-0000-0000-0000CF830000}"/>
    <cellStyle name="Percent 2 8 5 5" xfId="9892" xr:uid="{00000000-0005-0000-0000-0000D0830000}"/>
    <cellStyle name="Percent 2 8 5 5 2" xfId="29944" xr:uid="{00000000-0005-0000-0000-0000D1830000}"/>
    <cellStyle name="Percent 2 8 5 6" xfId="20914" xr:uid="{00000000-0005-0000-0000-0000D2830000}"/>
    <cellStyle name="Percent 2 8 6" xfId="1611" xr:uid="{00000000-0005-0000-0000-0000D3830000}"/>
    <cellStyle name="Percent 2 8 6 2" xfId="6093" xr:uid="{00000000-0005-0000-0000-0000D4830000}"/>
    <cellStyle name="Percent 2 8 6 2 2" xfId="15123" xr:uid="{00000000-0005-0000-0000-0000D5830000}"/>
    <cellStyle name="Percent 2 8 6 2 2 2" xfId="35175" xr:uid="{00000000-0005-0000-0000-0000D6830000}"/>
    <cellStyle name="Percent 2 8 6 2 3" xfId="26145" xr:uid="{00000000-0005-0000-0000-0000D7830000}"/>
    <cellStyle name="Percent 2 8 6 3" xfId="10641" xr:uid="{00000000-0005-0000-0000-0000D8830000}"/>
    <cellStyle name="Percent 2 8 6 3 2" xfId="30693" xr:uid="{00000000-0005-0000-0000-0000D9830000}"/>
    <cellStyle name="Percent 2 8 6 4" xfId="21663" xr:uid="{00000000-0005-0000-0000-0000DA830000}"/>
    <cellStyle name="Percent 2 8 7" xfId="3105" xr:uid="{00000000-0005-0000-0000-0000DB830000}"/>
    <cellStyle name="Percent 2 8 7 2" xfId="7587" xr:uid="{00000000-0005-0000-0000-0000DC830000}"/>
    <cellStyle name="Percent 2 8 7 2 2" xfId="16617" xr:uid="{00000000-0005-0000-0000-0000DD830000}"/>
    <cellStyle name="Percent 2 8 7 2 2 2" xfId="36669" xr:uid="{00000000-0005-0000-0000-0000DE830000}"/>
    <cellStyle name="Percent 2 8 7 2 3" xfId="27639" xr:uid="{00000000-0005-0000-0000-0000DF830000}"/>
    <cellStyle name="Percent 2 8 7 3" xfId="12135" xr:uid="{00000000-0005-0000-0000-0000E0830000}"/>
    <cellStyle name="Percent 2 8 7 3 2" xfId="32187" xr:uid="{00000000-0005-0000-0000-0000E1830000}"/>
    <cellStyle name="Percent 2 8 7 4" xfId="23157" xr:uid="{00000000-0005-0000-0000-0000E2830000}"/>
    <cellStyle name="Percent 2 8 8" xfId="4599" xr:uid="{00000000-0005-0000-0000-0000E3830000}"/>
    <cellStyle name="Percent 2 8 8 2" xfId="13629" xr:uid="{00000000-0005-0000-0000-0000E4830000}"/>
    <cellStyle name="Percent 2 8 8 2 2" xfId="33681" xr:uid="{00000000-0005-0000-0000-0000E5830000}"/>
    <cellStyle name="Percent 2 8 8 3" xfId="24651" xr:uid="{00000000-0005-0000-0000-0000E6830000}"/>
    <cellStyle name="Percent 2 8 9" xfId="9147" xr:uid="{00000000-0005-0000-0000-0000E7830000}"/>
    <cellStyle name="Percent 2 8 9 2" xfId="29199" xr:uid="{00000000-0005-0000-0000-0000E8830000}"/>
    <cellStyle name="Percent 2 9" xfId="128" xr:uid="{00000000-0005-0000-0000-0000E9830000}"/>
    <cellStyle name="Percent 2 9 10" xfId="20180" xr:uid="{00000000-0005-0000-0000-0000EA830000}"/>
    <cellStyle name="Percent 2 9 2" xfId="314" xr:uid="{00000000-0005-0000-0000-0000EB830000}"/>
    <cellStyle name="Percent 2 9 2 2" xfId="1057" xr:uid="{00000000-0005-0000-0000-0000EC830000}"/>
    <cellStyle name="Percent 2 9 2 2 2" xfId="2551" xr:uid="{00000000-0005-0000-0000-0000ED830000}"/>
    <cellStyle name="Percent 2 9 2 2 2 2" xfId="7033" xr:uid="{00000000-0005-0000-0000-0000EE830000}"/>
    <cellStyle name="Percent 2 9 2 2 2 2 2" xfId="16063" xr:uid="{00000000-0005-0000-0000-0000EF830000}"/>
    <cellStyle name="Percent 2 9 2 2 2 2 2 2" xfId="36115" xr:uid="{00000000-0005-0000-0000-0000F0830000}"/>
    <cellStyle name="Percent 2 9 2 2 2 2 3" xfId="27085" xr:uid="{00000000-0005-0000-0000-0000F1830000}"/>
    <cellStyle name="Percent 2 9 2 2 2 3" xfId="11581" xr:uid="{00000000-0005-0000-0000-0000F2830000}"/>
    <cellStyle name="Percent 2 9 2 2 2 3 2" xfId="31633" xr:uid="{00000000-0005-0000-0000-0000F3830000}"/>
    <cellStyle name="Percent 2 9 2 2 2 4" xfId="22603" xr:uid="{00000000-0005-0000-0000-0000F4830000}"/>
    <cellStyle name="Percent 2 9 2 2 3" xfId="4045" xr:uid="{00000000-0005-0000-0000-0000F5830000}"/>
    <cellStyle name="Percent 2 9 2 2 3 2" xfId="8527" xr:uid="{00000000-0005-0000-0000-0000F6830000}"/>
    <cellStyle name="Percent 2 9 2 2 3 2 2" xfId="17557" xr:uid="{00000000-0005-0000-0000-0000F7830000}"/>
    <cellStyle name="Percent 2 9 2 2 3 2 2 2" xfId="37609" xr:uid="{00000000-0005-0000-0000-0000F8830000}"/>
    <cellStyle name="Percent 2 9 2 2 3 2 3" xfId="28579" xr:uid="{00000000-0005-0000-0000-0000F9830000}"/>
    <cellStyle name="Percent 2 9 2 2 3 3" xfId="13075" xr:uid="{00000000-0005-0000-0000-0000FA830000}"/>
    <cellStyle name="Percent 2 9 2 2 3 3 2" xfId="33127" xr:uid="{00000000-0005-0000-0000-0000FB830000}"/>
    <cellStyle name="Percent 2 9 2 2 3 4" xfId="24097" xr:uid="{00000000-0005-0000-0000-0000FC830000}"/>
    <cellStyle name="Percent 2 9 2 2 4" xfId="5539" xr:uid="{00000000-0005-0000-0000-0000FD830000}"/>
    <cellStyle name="Percent 2 9 2 2 4 2" xfId="14569" xr:uid="{00000000-0005-0000-0000-0000FE830000}"/>
    <cellStyle name="Percent 2 9 2 2 4 2 2" xfId="34621" xr:uid="{00000000-0005-0000-0000-0000FF830000}"/>
    <cellStyle name="Percent 2 9 2 2 4 3" xfId="25591" xr:uid="{00000000-0005-0000-0000-000000840000}"/>
    <cellStyle name="Percent 2 9 2 2 5" xfId="10087" xr:uid="{00000000-0005-0000-0000-000001840000}"/>
    <cellStyle name="Percent 2 9 2 2 5 2" xfId="30139" xr:uid="{00000000-0005-0000-0000-000002840000}"/>
    <cellStyle name="Percent 2 9 2 2 6" xfId="21109" xr:uid="{00000000-0005-0000-0000-000003840000}"/>
    <cellStyle name="Percent 2 9 2 3" xfId="1808" xr:uid="{00000000-0005-0000-0000-000004840000}"/>
    <cellStyle name="Percent 2 9 2 3 2" xfId="6290" xr:uid="{00000000-0005-0000-0000-000005840000}"/>
    <cellStyle name="Percent 2 9 2 3 2 2" xfId="15320" xr:uid="{00000000-0005-0000-0000-000006840000}"/>
    <cellStyle name="Percent 2 9 2 3 2 2 2" xfId="35372" xr:uid="{00000000-0005-0000-0000-000007840000}"/>
    <cellStyle name="Percent 2 9 2 3 2 3" xfId="26342" xr:uid="{00000000-0005-0000-0000-000008840000}"/>
    <cellStyle name="Percent 2 9 2 3 3" xfId="10838" xr:uid="{00000000-0005-0000-0000-000009840000}"/>
    <cellStyle name="Percent 2 9 2 3 3 2" xfId="30890" xr:uid="{00000000-0005-0000-0000-00000A840000}"/>
    <cellStyle name="Percent 2 9 2 3 4" xfId="21860" xr:uid="{00000000-0005-0000-0000-00000B840000}"/>
    <cellStyle name="Percent 2 9 2 4" xfId="3302" xr:uid="{00000000-0005-0000-0000-00000C840000}"/>
    <cellStyle name="Percent 2 9 2 4 2" xfId="7784" xr:uid="{00000000-0005-0000-0000-00000D840000}"/>
    <cellStyle name="Percent 2 9 2 4 2 2" xfId="16814" xr:uid="{00000000-0005-0000-0000-00000E840000}"/>
    <cellStyle name="Percent 2 9 2 4 2 2 2" xfId="36866" xr:uid="{00000000-0005-0000-0000-00000F840000}"/>
    <cellStyle name="Percent 2 9 2 4 2 3" xfId="27836" xr:uid="{00000000-0005-0000-0000-000010840000}"/>
    <cellStyle name="Percent 2 9 2 4 3" xfId="12332" xr:uid="{00000000-0005-0000-0000-000011840000}"/>
    <cellStyle name="Percent 2 9 2 4 3 2" xfId="32384" xr:uid="{00000000-0005-0000-0000-000012840000}"/>
    <cellStyle name="Percent 2 9 2 4 4" xfId="23354" xr:uid="{00000000-0005-0000-0000-000013840000}"/>
    <cellStyle name="Percent 2 9 2 5" xfId="4796" xr:uid="{00000000-0005-0000-0000-000014840000}"/>
    <cellStyle name="Percent 2 9 2 5 2" xfId="13826" xr:uid="{00000000-0005-0000-0000-000015840000}"/>
    <cellStyle name="Percent 2 9 2 5 2 2" xfId="33878" xr:uid="{00000000-0005-0000-0000-000016840000}"/>
    <cellStyle name="Percent 2 9 2 5 3" xfId="24848" xr:uid="{00000000-0005-0000-0000-000017840000}"/>
    <cellStyle name="Percent 2 9 2 6" xfId="9344" xr:uid="{00000000-0005-0000-0000-000018840000}"/>
    <cellStyle name="Percent 2 9 2 6 2" xfId="29396" xr:uid="{00000000-0005-0000-0000-000019840000}"/>
    <cellStyle name="Percent 2 9 2 7" xfId="20366" xr:uid="{00000000-0005-0000-0000-00001A840000}"/>
    <cellStyle name="Percent 2 9 3" xfId="500" xr:uid="{00000000-0005-0000-0000-00001B840000}"/>
    <cellStyle name="Percent 2 9 3 2" xfId="1247" xr:uid="{00000000-0005-0000-0000-00001C840000}"/>
    <cellStyle name="Percent 2 9 3 2 2" xfId="2741" xr:uid="{00000000-0005-0000-0000-00001D840000}"/>
    <cellStyle name="Percent 2 9 3 2 2 2" xfId="7223" xr:uid="{00000000-0005-0000-0000-00001E840000}"/>
    <cellStyle name="Percent 2 9 3 2 2 2 2" xfId="16253" xr:uid="{00000000-0005-0000-0000-00001F840000}"/>
    <cellStyle name="Percent 2 9 3 2 2 2 2 2" xfId="36305" xr:uid="{00000000-0005-0000-0000-000020840000}"/>
    <cellStyle name="Percent 2 9 3 2 2 2 3" xfId="27275" xr:uid="{00000000-0005-0000-0000-000021840000}"/>
    <cellStyle name="Percent 2 9 3 2 2 3" xfId="11771" xr:uid="{00000000-0005-0000-0000-000022840000}"/>
    <cellStyle name="Percent 2 9 3 2 2 3 2" xfId="31823" xr:uid="{00000000-0005-0000-0000-000023840000}"/>
    <cellStyle name="Percent 2 9 3 2 2 4" xfId="22793" xr:uid="{00000000-0005-0000-0000-000024840000}"/>
    <cellStyle name="Percent 2 9 3 2 3" xfId="4235" xr:uid="{00000000-0005-0000-0000-000025840000}"/>
    <cellStyle name="Percent 2 9 3 2 3 2" xfId="8717" xr:uid="{00000000-0005-0000-0000-000026840000}"/>
    <cellStyle name="Percent 2 9 3 2 3 2 2" xfId="17747" xr:uid="{00000000-0005-0000-0000-000027840000}"/>
    <cellStyle name="Percent 2 9 3 2 3 2 2 2" xfId="37799" xr:uid="{00000000-0005-0000-0000-000028840000}"/>
    <cellStyle name="Percent 2 9 3 2 3 2 3" xfId="28769" xr:uid="{00000000-0005-0000-0000-000029840000}"/>
    <cellStyle name="Percent 2 9 3 2 3 3" xfId="13265" xr:uid="{00000000-0005-0000-0000-00002A840000}"/>
    <cellStyle name="Percent 2 9 3 2 3 3 2" xfId="33317" xr:uid="{00000000-0005-0000-0000-00002B840000}"/>
    <cellStyle name="Percent 2 9 3 2 3 4" xfId="24287" xr:uid="{00000000-0005-0000-0000-00002C840000}"/>
    <cellStyle name="Percent 2 9 3 2 4" xfId="5729" xr:uid="{00000000-0005-0000-0000-00002D840000}"/>
    <cellStyle name="Percent 2 9 3 2 4 2" xfId="14759" xr:uid="{00000000-0005-0000-0000-00002E840000}"/>
    <cellStyle name="Percent 2 9 3 2 4 2 2" xfId="34811" xr:uid="{00000000-0005-0000-0000-00002F840000}"/>
    <cellStyle name="Percent 2 9 3 2 4 3" xfId="25781" xr:uid="{00000000-0005-0000-0000-000030840000}"/>
    <cellStyle name="Percent 2 9 3 2 5" xfId="10277" xr:uid="{00000000-0005-0000-0000-000031840000}"/>
    <cellStyle name="Percent 2 9 3 2 5 2" xfId="30329" xr:uid="{00000000-0005-0000-0000-000032840000}"/>
    <cellStyle name="Percent 2 9 3 2 6" xfId="21299" xr:uid="{00000000-0005-0000-0000-000033840000}"/>
    <cellStyle name="Percent 2 9 3 3" xfId="1994" xr:uid="{00000000-0005-0000-0000-000034840000}"/>
    <cellStyle name="Percent 2 9 3 3 2" xfId="6476" xr:uid="{00000000-0005-0000-0000-000035840000}"/>
    <cellStyle name="Percent 2 9 3 3 2 2" xfId="15506" xr:uid="{00000000-0005-0000-0000-000036840000}"/>
    <cellStyle name="Percent 2 9 3 3 2 2 2" xfId="35558" xr:uid="{00000000-0005-0000-0000-000037840000}"/>
    <cellStyle name="Percent 2 9 3 3 2 3" xfId="26528" xr:uid="{00000000-0005-0000-0000-000038840000}"/>
    <cellStyle name="Percent 2 9 3 3 3" xfId="11024" xr:uid="{00000000-0005-0000-0000-000039840000}"/>
    <cellStyle name="Percent 2 9 3 3 3 2" xfId="31076" xr:uid="{00000000-0005-0000-0000-00003A840000}"/>
    <cellStyle name="Percent 2 9 3 3 4" xfId="22046" xr:uid="{00000000-0005-0000-0000-00003B840000}"/>
    <cellStyle name="Percent 2 9 3 4" xfId="3488" xr:uid="{00000000-0005-0000-0000-00003C840000}"/>
    <cellStyle name="Percent 2 9 3 4 2" xfId="7970" xr:uid="{00000000-0005-0000-0000-00003D840000}"/>
    <cellStyle name="Percent 2 9 3 4 2 2" xfId="17000" xr:uid="{00000000-0005-0000-0000-00003E840000}"/>
    <cellStyle name="Percent 2 9 3 4 2 2 2" xfId="37052" xr:uid="{00000000-0005-0000-0000-00003F840000}"/>
    <cellStyle name="Percent 2 9 3 4 2 3" xfId="28022" xr:uid="{00000000-0005-0000-0000-000040840000}"/>
    <cellStyle name="Percent 2 9 3 4 3" xfId="12518" xr:uid="{00000000-0005-0000-0000-000041840000}"/>
    <cellStyle name="Percent 2 9 3 4 3 2" xfId="32570" xr:uid="{00000000-0005-0000-0000-000042840000}"/>
    <cellStyle name="Percent 2 9 3 4 4" xfId="23540" xr:uid="{00000000-0005-0000-0000-000043840000}"/>
    <cellStyle name="Percent 2 9 3 5" xfId="4982" xr:uid="{00000000-0005-0000-0000-000044840000}"/>
    <cellStyle name="Percent 2 9 3 5 2" xfId="14012" xr:uid="{00000000-0005-0000-0000-000045840000}"/>
    <cellStyle name="Percent 2 9 3 5 2 2" xfId="34064" xr:uid="{00000000-0005-0000-0000-000046840000}"/>
    <cellStyle name="Percent 2 9 3 5 3" xfId="25034" xr:uid="{00000000-0005-0000-0000-000047840000}"/>
    <cellStyle name="Percent 2 9 3 6" xfId="9530" xr:uid="{00000000-0005-0000-0000-000048840000}"/>
    <cellStyle name="Percent 2 9 3 6 2" xfId="29582" xr:uid="{00000000-0005-0000-0000-000049840000}"/>
    <cellStyle name="Percent 2 9 3 7" xfId="20552" xr:uid="{00000000-0005-0000-0000-00004A840000}"/>
    <cellStyle name="Percent 2 9 4" xfId="686" xr:uid="{00000000-0005-0000-0000-00004B840000}"/>
    <cellStyle name="Percent 2 9 4 2" xfId="1433" xr:uid="{00000000-0005-0000-0000-00004C840000}"/>
    <cellStyle name="Percent 2 9 4 2 2" xfId="2927" xr:uid="{00000000-0005-0000-0000-00004D840000}"/>
    <cellStyle name="Percent 2 9 4 2 2 2" xfId="7409" xr:uid="{00000000-0005-0000-0000-00004E840000}"/>
    <cellStyle name="Percent 2 9 4 2 2 2 2" xfId="16439" xr:uid="{00000000-0005-0000-0000-00004F840000}"/>
    <cellStyle name="Percent 2 9 4 2 2 2 2 2" xfId="36491" xr:uid="{00000000-0005-0000-0000-000050840000}"/>
    <cellStyle name="Percent 2 9 4 2 2 2 3" xfId="27461" xr:uid="{00000000-0005-0000-0000-000051840000}"/>
    <cellStyle name="Percent 2 9 4 2 2 3" xfId="11957" xr:uid="{00000000-0005-0000-0000-000052840000}"/>
    <cellStyle name="Percent 2 9 4 2 2 3 2" xfId="32009" xr:uid="{00000000-0005-0000-0000-000053840000}"/>
    <cellStyle name="Percent 2 9 4 2 2 4" xfId="22979" xr:uid="{00000000-0005-0000-0000-000054840000}"/>
    <cellStyle name="Percent 2 9 4 2 3" xfId="4421" xr:uid="{00000000-0005-0000-0000-000055840000}"/>
    <cellStyle name="Percent 2 9 4 2 3 2" xfId="8903" xr:uid="{00000000-0005-0000-0000-000056840000}"/>
    <cellStyle name="Percent 2 9 4 2 3 2 2" xfId="17933" xr:uid="{00000000-0005-0000-0000-000057840000}"/>
    <cellStyle name="Percent 2 9 4 2 3 2 2 2" xfId="37985" xr:uid="{00000000-0005-0000-0000-000058840000}"/>
    <cellStyle name="Percent 2 9 4 2 3 2 3" xfId="28955" xr:uid="{00000000-0005-0000-0000-000059840000}"/>
    <cellStyle name="Percent 2 9 4 2 3 3" xfId="13451" xr:uid="{00000000-0005-0000-0000-00005A840000}"/>
    <cellStyle name="Percent 2 9 4 2 3 3 2" xfId="33503" xr:uid="{00000000-0005-0000-0000-00005B840000}"/>
    <cellStyle name="Percent 2 9 4 2 3 4" xfId="24473" xr:uid="{00000000-0005-0000-0000-00005C840000}"/>
    <cellStyle name="Percent 2 9 4 2 4" xfId="5915" xr:uid="{00000000-0005-0000-0000-00005D840000}"/>
    <cellStyle name="Percent 2 9 4 2 4 2" xfId="14945" xr:uid="{00000000-0005-0000-0000-00005E840000}"/>
    <cellStyle name="Percent 2 9 4 2 4 2 2" xfId="34997" xr:uid="{00000000-0005-0000-0000-00005F840000}"/>
    <cellStyle name="Percent 2 9 4 2 4 3" xfId="25967" xr:uid="{00000000-0005-0000-0000-000060840000}"/>
    <cellStyle name="Percent 2 9 4 2 5" xfId="10463" xr:uid="{00000000-0005-0000-0000-000061840000}"/>
    <cellStyle name="Percent 2 9 4 2 5 2" xfId="30515" xr:uid="{00000000-0005-0000-0000-000062840000}"/>
    <cellStyle name="Percent 2 9 4 2 6" xfId="21485" xr:uid="{00000000-0005-0000-0000-000063840000}"/>
    <cellStyle name="Percent 2 9 4 3" xfId="2180" xr:uid="{00000000-0005-0000-0000-000064840000}"/>
    <cellStyle name="Percent 2 9 4 3 2" xfId="6662" xr:uid="{00000000-0005-0000-0000-000065840000}"/>
    <cellStyle name="Percent 2 9 4 3 2 2" xfId="15692" xr:uid="{00000000-0005-0000-0000-000066840000}"/>
    <cellStyle name="Percent 2 9 4 3 2 2 2" xfId="35744" xr:uid="{00000000-0005-0000-0000-000067840000}"/>
    <cellStyle name="Percent 2 9 4 3 2 3" xfId="26714" xr:uid="{00000000-0005-0000-0000-000068840000}"/>
    <cellStyle name="Percent 2 9 4 3 3" xfId="11210" xr:uid="{00000000-0005-0000-0000-000069840000}"/>
    <cellStyle name="Percent 2 9 4 3 3 2" xfId="31262" xr:uid="{00000000-0005-0000-0000-00006A840000}"/>
    <cellStyle name="Percent 2 9 4 3 4" xfId="22232" xr:uid="{00000000-0005-0000-0000-00006B840000}"/>
    <cellStyle name="Percent 2 9 4 4" xfId="3674" xr:uid="{00000000-0005-0000-0000-00006C840000}"/>
    <cellStyle name="Percent 2 9 4 4 2" xfId="8156" xr:uid="{00000000-0005-0000-0000-00006D840000}"/>
    <cellStyle name="Percent 2 9 4 4 2 2" xfId="17186" xr:uid="{00000000-0005-0000-0000-00006E840000}"/>
    <cellStyle name="Percent 2 9 4 4 2 2 2" xfId="37238" xr:uid="{00000000-0005-0000-0000-00006F840000}"/>
    <cellStyle name="Percent 2 9 4 4 2 3" xfId="28208" xr:uid="{00000000-0005-0000-0000-000070840000}"/>
    <cellStyle name="Percent 2 9 4 4 3" xfId="12704" xr:uid="{00000000-0005-0000-0000-000071840000}"/>
    <cellStyle name="Percent 2 9 4 4 3 2" xfId="32756" xr:uid="{00000000-0005-0000-0000-000072840000}"/>
    <cellStyle name="Percent 2 9 4 4 4" xfId="23726" xr:uid="{00000000-0005-0000-0000-000073840000}"/>
    <cellStyle name="Percent 2 9 4 5" xfId="5168" xr:uid="{00000000-0005-0000-0000-000074840000}"/>
    <cellStyle name="Percent 2 9 4 5 2" xfId="14198" xr:uid="{00000000-0005-0000-0000-000075840000}"/>
    <cellStyle name="Percent 2 9 4 5 2 2" xfId="34250" xr:uid="{00000000-0005-0000-0000-000076840000}"/>
    <cellStyle name="Percent 2 9 4 5 3" xfId="25220" xr:uid="{00000000-0005-0000-0000-000077840000}"/>
    <cellStyle name="Percent 2 9 4 6" xfId="9716" xr:uid="{00000000-0005-0000-0000-000078840000}"/>
    <cellStyle name="Percent 2 9 4 6 2" xfId="29768" xr:uid="{00000000-0005-0000-0000-000079840000}"/>
    <cellStyle name="Percent 2 9 4 7" xfId="20738" xr:uid="{00000000-0005-0000-0000-00007A840000}"/>
    <cellStyle name="Percent 2 9 5" xfId="873" xr:uid="{00000000-0005-0000-0000-00007B840000}"/>
    <cellStyle name="Percent 2 9 5 2" xfId="2367" xr:uid="{00000000-0005-0000-0000-00007C840000}"/>
    <cellStyle name="Percent 2 9 5 2 2" xfId="6849" xr:uid="{00000000-0005-0000-0000-00007D840000}"/>
    <cellStyle name="Percent 2 9 5 2 2 2" xfId="15879" xr:uid="{00000000-0005-0000-0000-00007E840000}"/>
    <cellStyle name="Percent 2 9 5 2 2 2 2" xfId="35931" xr:uid="{00000000-0005-0000-0000-00007F840000}"/>
    <cellStyle name="Percent 2 9 5 2 2 3" xfId="26901" xr:uid="{00000000-0005-0000-0000-000080840000}"/>
    <cellStyle name="Percent 2 9 5 2 3" xfId="11397" xr:uid="{00000000-0005-0000-0000-000081840000}"/>
    <cellStyle name="Percent 2 9 5 2 3 2" xfId="31449" xr:uid="{00000000-0005-0000-0000-000082840000}"/>
    <cellStyle name="Percent 2 9 5 2 4" xfId="22419" xr:uid="{00000000-0005-0000-0000-000083840000}"/>
    <cellStyle name="Percent 2 9 5 3" xfId="3861" xr:uid="{00000000-0005-0000-0000-000084840000}"/>
    <cellStyle name="Percent 2 9 5 3 2" xfId="8343" xr:uid="{00000000-0005-0000-0000-000085840000}"/>
    <cellStyle name="Percent 2 9 5 3 2 2" xfId="17373" xr:uid="{00000000-0005-0000-0000-000086840000}"/>
    <cellStyle name="Percent 2 9 5 3 2 2 2" xfId="37425" xr:uid="{00000000-0005-0000-0000-000087840000}"/>
    <cellStyle name="Percent 2 9 5 3 2 3" xfId="28395" xr:uid="{00000000-0005-0000-0000-000088840000}"/>
    <cellStyle name="Percent 2 9 5 3 3" xfId="12891" xr:uid="{00000000-0005-0000-0000-000089840000}"/>
    <cellStyle name="Percent 2 9 5 3 3 2" xfId="32943" xr:uid="{00000000-0005-0000-0000-00008A840000}"/>
    <cellStyle name="Percent 2 9 5 3 4" xfId="23913" xr:uid="{00000000-0005-0000-0000-00008B840000}"/>
    <cellStyle name="Percent 2 9 5 4" xfId="5355" xr:uid="{00000000-0005-0000-0000-00008C840000}"/>
    <cellStyle name="Percent 2 9 5 4 2" xfId="14385" xr:uid="{00000000-0005-0000-0000-00008D840000}"/>
    <cellStyle name="Percent 2 9 5 4 2 2" xfId="34437" xr:uid="{00000000-0005-0000-0000-00008E840000}"/>
    <cellStyle name="Percent 2 9 5 4 3" xfId="25407" xr:uid="{00000000-0005-0000-0000-00008F840000}"/>
    <cellStyle name="Percent 2 9 5 5" xfId="9903" xr:uid="{00000000-0005-0000-0000-000090840000}"/>
    <cellStyle name="Percent 2 9 5 5 2" xfId="29955" xr:uid="{00000000-0005-0000-0000-000091840000}"/>
    <cellStyle name="Percent 2 9 5 6" xfId="20925" xr:uid="{00000000-0005-0000-0000-000092840000}"/>
    <cellStyle name="Percent 2 9 6" xfId="1622" xr:uid="{00000000-0005-0000-0000-000093840000}"/>
    <cellStyle name="Percent 2 9 6 2" xfId="6104" xr:uid="{00000000-0005-0000-0000-000094840000}"/>
    <cellStyle name="Percent 2 9 6 2 2" xfId="15134" xr:uid="{00000000-0005-0000-0000-000095840000}"/>
    <cellStyle name="Percent 2 9 6 2 2 2" xfId="35186" xr:uid="{00000000-0005-0000-0000-000096840000}"/>
    <cellStyle name="Percent 2 9 6 2 3" xfId="26156" xr:uid="{00000000-0005-0000-0000-000097840000}"/>
    <cellStyle name="Percent 2 9 6 3" xfId="10652" xr:uid="{00000000-0005-0000-0000-000098840000}"/>
    <cellStyle name="Percent 2 9 6 3 2" xfId="30704" xr:uid="{00000000-0005-0000-0000-000099840000}"/>
    <cellStyle name="Percent 2 9 6 4" xfId="21674" xr:uid="{00000000-0005-0000-0000-00009A840000}"/>
    <cellStyle name="Percent 2 9 7" xfId="3116" xr:uid="{00000000-0005-0000-0000-00009B840000}"/>
    <cellStyle name="Percent 2 9 7 2" xfId="7598" xr:uid="{00000000-0005-0000-0000-00009C840000}"/>
    <cellStyle name="Percent 2 9 7 2 2" xfId="16628" xr:uid="{00000000-0005-0000-0000-00009D840000}"/>
    <cellStyle name="Percent 2 9 7 2 2 2" xfId="36680" xr:uid="{00000000-0005-0000-0000-00009E840000}"/>
    <cellStyle name="Percent 2 9 7 2 3" xfId="27650" xr:uid="{00000000-0005-0000-0000-00009F840000}"/>
    <cellStyle name="Percent 2 9 7 3" xfId="12146" xr:uid="{00000000-0005-0000-0000-0000A0840000}"/>
    <cellStyle name="Percent 2 9 7 3 2" xfId="32198" xr:uid="{00000000-0005-0000-0000-0000A1840000}"/>
    <cellStyle name="Percent 2 9 7 4" xfId="23168" xr:uid="{00000000-0005-0000-0000-0000A2840000}"/>
    <cellStyle name="Percent 2 9 8" xfId="4610" xr:uid="{00000000-0005-0000-0000-0000A3840000}"/>
    <cellStyle name="Percent 2 9 8 2" xfId="13640" xr:uid="{00000000-0005-0000-0000-0000A4840000}"/>
    <cellStyle name="Percent 2 9 8 2 2" xfId="33692" xr:uid="{00000000-0005-0000-0000-0000A5840000}"/>
    <cellStyle name="Percent 2 9 8 3" xfId="24662" xr:uid="{00000000-0005-0000-0000-0000A6840000}"/>
    <cellStyle name="Percent 2 9 9" xfId="9158" xr:uid="{00000000-0005-0000-0000-0000A7840000}"/>
    <cellStyle name="Percent 2 9 9 2" xfId="29210" xr:uid="{00000000-0005-0000-0000-0000A8840000}"/>
    <cellStyle name="Percent 3" xfId="9" xr:uid="{00000000-0005-0000-0000-0000A9840000}"/>
    <cellStyle name="Percent 3 10" xfId="172" xr:uid="{00000000-0005-0000-0000-0000AA840000}"/>
    <cellStyle name="Percent 3 10 10" xfId="20224" xr:uid="{00000000-0005-0000-0000-0000AB840000}"/>
    <cellStyle name="Percent 3 10 2" xfId="358" xr:uid="{00000000-0005-0000-0000-0000AC840000}"/>
    <cellStyle name="Percent 3 10 2 2" xfId="1101" xr:uid="{00000000-0005-0000-0000-0000AD840000}"/>
    <cellStyle name="Percent 3 10 2 2 2" xfId="2595" xr:uid="{00000000-0005-0000-0000-0000AE840000}"/>
    <cellStyle name="Percent 3 10 2 2 2 2" xfId="7077" xr:uid="{00000000-0005-0000-0000-0000AF840000}"/>
    <cellStyle name="Percent 3 10 2 2 2 2 2" xfId="16107" xr:uid="{00000000-0005-0000-0000-0000B0840000}"/>
    <cellStyle name="Percent 3 10 2 2 2 2 2 2" xfId="36159" xr:uid="{00000000-0005-0000-0000-0000B1840000}"/>
    <cellStyle name="Percent 3 10 2 2 2 2 3" xfId="27129" xr:uid="{00000000-0005-0000-0000-0000B2840000}"/>
    <cellStyle name="Percent 3 10 2 2 2 3" xfId="11625" xr:uid="{00000000-0005-0000-0000-0000B3840000}"/>
    <cellStyle name="Percent 3 10 2 2 2 3 2" xfId="31677" xr:uid="{00000000-0005-0000-0000-0000B4840000}"/>
    <cellStyle name="Percent 3 10 2 2 2 4" xfId="22647" xr:uid="{00000000-0005-0000-0000-0000B5840000}"/>
    <cellStyle name="Percent 3 10 2 2 3" xfId="4089" xr:uid="{00000000-0005-0000-0000-0000B6840000}"/>
    <cellStyle name="Percent 3 10 2 2 3 2" xfId="8571" xr:uid="{00000000-0005-0000-0000-0000B7840000}"/>
    <cellStyle name="Percent 3 10 2 2 3 2 2" xfId="17601" xr:uid="{00000000-0005-0000-0000-0000B8840000}"/>
    <cellStyle name="Percent 3 10 2 2 3 2 2 2" xfId="37653" xr:uid="{00000000-0005-0000-0000-0000B9840000}"/>
    <cellStyle name="Percent 3 10 2 2 3 2 3" xfId="28623" xr:uid="{00000000-0005-0000-0000-0000BA840000}"/>
    <cellStyle name="Percent 3 10 2 2 3 3" xfId="13119" xr:uid="{00000000-0005-0000-0000-0000BB840000}"/>
    <cellStyle name="Percent 3 10 2 2 3 3 2" xfId="33171" xr:uid="{00000000-0005-0000-0000-0000BC840000}"/>
    <cellStyle name="Percent 3 10 2 2 3 4" xfId="24141" xr:uid="{00000000-0005-0000-0000-0000BD840000}"/>
    <cellStyle name="Percent 3 10 2 2 4" xfId="5583" xr:uid="{00000000-0005-0000-0000-0000BE840000}"/>
    <cellStyle name="Percent 3 10 2 2 4 2" xfId="14613" xr:uid="{00000000-0005-0000-0000-0000BF840000}"/>
    <cellStyle name="Percent 3 10 2 2 4 2 2" xfId="34665" xr:uid="{00000000-0005-0000-0000-0000C0840000}"/>
    <cellStyle name="Percent 3 10 2 2 4 3" xfId="25635" xr:uid="{00000000-0005-0000-0000-0000C1840000}"/>
    <cellStyle name="Percent 3 10 2 2 5" xfId="10131" xr:uid="{00000000-0005-0000-0000-0000C2840000}"/>
    <cellStyle name="Percent 3 10 2 2 5 2" xfId="30183" xr:uid="{00000000-0005-0000-0000-0000C3840000}"/>
    <cellStyle name="Percent 3 10 2 2 6" xfId="21153" xr:uid="{00000000-0005-0000-0000-0000C4840000}"/>
    <cellStyle name="Percent 3 10 2 3" xfId="1852" xr:uid="{00000000-0005-0000-0000-0000C5840000}"/>
    <cellStyle name="Percent 3 10 2 3 2" xfId="6334" xr:uid="{00000000-0005-0000-0000-0000C6840000}"/>
    <cellStyle name="Percent 3 10 2 3 2 2" xfId="15364" xr:uid="{00000000-0005-0000-0000-0000C7840000}"/>
    <cellStyle name="Percent 3 10 2 3 2 2 2" xfId="35416" xr:uid="{00000000-0005-0000-0000-0000C8840000}"/>
    <cellStyle name="Percent 3 10 2 3 2 3" xfId="26386" xr:uid="{00000000-0005-0000-0000-0000C9840000}"/>
    <cellStyle name="Percent 3 10 2 3 3" xfId="10882" xr:uid="{00000000-0005-0000-0000-0000CA840000}"/>
    <cellStyle name="Percent 3 10 2 3 3 2" xfId="30934" xr:uid="{00000000-0005-0000-0000-0000CB840000}"/>
    <cellStyle name="Percent 3 10 2 3 4" xfId="21904" xr:uid="{00000000-0005-0000-0000-0000CC840000}"/>
    <cellStyle name="Percent 3 10 2 4" xfId="3346" xr:uid="{00000000-0005-0000-0000-0000CD840000}"/>
    <cellStyle name="Percent 3 10 2 4 2" xfId="7828" xr:uid="{00000000-0005-0000-0000-0000CE840000}"/>
    <cellStyle name="Percent 3 10 2 4 2 2" xfId="16858" xr:uid="{00000000-0005-0000-0000-0000CF840000}"/>
    <cellStyle name="Percent 3 10 2 4 2 2 2" xfId="36910" xr:uid="{00000000-0005-0000-0000-0000D0840000}"/>
    <cellStyle name="Percent 3 10 2 4 2 3" xfId="27880" xr:uid="{00000000-0005-0000-0000-0000D1840000}"/>
    <cellStyle name="Percent 3 10 2 4 3" xfId="12376" xr:uid="{00000000-0005-0000-0000-0000D2840000}"/>
    <cellStyle name="Percent 3 10 2 4 3 2" xfId="32428" xr:uid="{00000000-0005-0000-0000-0000D3840000}"/>
    <cellStyle name="Percent 3 10 2 4 4" xfId="23398" xr:uid="{00000000-0005-0000-0000-0000D4840000}"/>
    <cellStyle name="Percent 3 10 2 5" xfId="4840" xr:uid="{00000000-0005-0000-0000-0000D5840000}"/>
    <cellStyle name="Percent 3 10 2 5 2" xfId="13870" xr:uid="{00000000-0005-0000-0000-0000D6840000}"/>
    <cellStyle name="Percent 3 10 2 5 2 2" xfId="33922" xr:uid="{00000000-0005-0000-0000-0000D7840000}"/>
    <cellStyle name="Percent 3 10 2 5 3" xfId="24892" xr:uid="{00000000-0005-0000-0000-0000D8840000}"/>
    <cellStyle name="Percent 3 10 2 6" xfId="9388" xr:uid="{00000000-0005-0000-0000-0000D9840000}"/>
    <cellStyle name="Percent 3 10 2 6 2" xfId="29440" xr:uid="{00000000-0005-0000-0000-0000DA840000}"/>
    <cellStyle name="Percent 3 10 2 7" xfId="20410" xr:uid="{00000000-0005-0000-0000-0000DB840000}"/>
    <cellStyle name="Percent 3 10 3" xfId="544" xr:uid="{00000000-0005-0000-0000-0000DC840000}"/>
    <cellStyle name="Percent 3 10 3 2" xfId="1291" xr:uid="{00000000-0005-0000-0000-0000DD840000}"/>
    <cellStyle name="Percent 3 10 3 2 2" xfId="2785" xr:uid="{00000000-0005-0000-0000-0000DE840000}"/>
    <cellStyle name="Percent 3 10 3 2 2 2" xfId="7267" xr:uid="{00000000-0005-0000-0000-0000DF840000}"/>
    <cellStyle name="Percent 3 10 3 2 2 2 2" xfId="16297" xr:uid="{00000000-0005-0000-0000-0000E0840000}"/>
    <cellStyle name="Percent 3 10 3 2 2 2 2 2" xfId="36349" xr:uid="{00000000-0005-0000-0000-0000E1840000}"/>
    <cellStyle name="Percent 3 10 3 2 2 2 3" xfId="27319" xr:uid="{00000000-0005-0000-0000-0000E2840000}"/>
    <cellStyle name="Percent 3 10 3 2 2 3" xfId="11815" xr:uid="{00000000-0005-0000-0000-0000E3840000}"/>
    <cellStyle name="Percent 3 10 3 2 2 3 2" xfId="31867" xr:uid="{00000000-0005-0000-0000-0000E4840000}"/>
    <cellStyle name="Percent 3 10 3 2 2 4" xfId="22837" xr:uid="{00000000-0005-0000-0000-0000E5840000}"/>
    <cellStyle name="Percent 3 10 3 2 3" xfId="4279" xr:uid="{00000000-0005-0000-0000-0000E6840000}"/>
    <cellStyle name="Percent 3 10 3 2 3 2" xfId="8761" xr:uid="{00000000-0005-0000-0000-0000E7840000}"/>
    <cellStyle name="Percent 3 10 3 2 3 2 2" xfId="17791" xr:uid="{00000000-0005-0000-0000-0000E8840000}"/>
    <cellStyle name="Percent 3 10 3 2 3 2 2 2" xfId="37843" xr:uid="{00000000-0005-0000-0000-0000E9840000}"/>
    <cellStyle name="Percent 3 10 3 2 3 2 3" xfId="28813" xr:uid="{00000000-0005-0000-0000-0000EA840000}"/>
    <cellStyle name="Percent 3 10 3 2 3 3" xfId="13309" xr:uid="{00000000-0005-0000-0000-0000EB840000}"/>
    <cellStyle name="Percent 3 10 3 2 3 3 2" xfId="33361" xr:uid="{00000000-0005-0000-0000-0000EC840000}"/>
    <cellStyle name="Percent 3 10 3 2 3 4" xfId="24331" xr:uid="{00000000-0005-0000-0000-0000ED840000}"/>
    <cellStyle name="Percent 3 10 3 2 4" xfId="5773" xr:uid="{00000000-0005-0000-0000-0000EE840000}"/>
    <cellStyle name="Percent 3 10 3 2 4 2" xfId="14803" xr:uid="{00000000-0005-0000-0000-0000EF840000}"/>
    <cellStyle name="Percent 3 10 3 2 4 2 2" xfId="34855" xr:uid="{00000000-0005-0000-0000-0000F0840000}"/>
    <cellStyle name="Percent 3 10 3 2 4 3" xfId="25825" xr:uid="{00000000-0005-0000-0000-0000F1840000}"/>
    <cellStyle name="Percent 3 10 3 2 5" xfId="10321" xr:uid="{00000000-0005-0000-0000-0000F2840000}"/>
    <cellStyle name="Percent 3 10 3 2 5 2" xfId="30373" xr:uid="{00000000-0005-0000-0000-0000F3840000}"/>
    <cellStyle name="Percent 3 10 3 2 6" xfId="21343" xr:uid="{00000000-0005-0000-0000-0000F4840000}"/>
    <cellStyle name="Percent 3 10 3 3" xfId="2038" xr:uid="{00000000-0005-0000-0000-0000F5840000}"/>
    <cellStyle name="Percent 3 10 3 3 2" xfId="6520" xr:uid="{00000000-0005-0000-0000-0000F6840000}"/>
    <cellStyle name="Percent 3 10 3 3 2 2" xfId="15550" xr:uid="{00000000-0005-0000-0000-0000F7840000}"/>
    <cellStyle name="Percent 3 10 3 3 2 2 2" xfId="35602" xr:uid="{00000000-0005-0000-0000-0000F8840000}"/>
    <cellStyle name="Percent 3 10 3 3 2 3" xfId="26572" xr:uid="{00000000-0005-0000-0000-0000F9840000}"/>
    <cellStyle name="Percent 3 10 3 3 3" xfId="11068" xr:uid="{00000000-0005-0000-0000-0000FA840000}"/>
    <cellStyle name="Percent 3 10 3 3 3 2" xfId="31120" xr:uid="{00000000-0005-0000-0000-0000FB840000}"/>
    <cellStyle name="Percent 3 10 3 3 4" xfId="22090" xr:uid="{00000000-0005-0000-0000-0000FC840000}"/>
    <cellStyle name="Percent 3 10 3 4" xfId="3532" xr:uid="{00000000-0005-0000-0000-0000FD840000}"/>
    <cellStyle name="Percent 3 10 3 4 2" xfId="8014" xr:uid="{00000000-0005-0000-0000-0000FE840000}"/>
    <cellStyle name="Percent 3 10 3 4 2 2" xfId="17044" xr:uid="{00000000-0005-0000-0000-0000FF840000}"/>
    <cellStyle name="Percent 3 10 3 4 2 2 2" xfId="37096" xr:uid="{00000000-0005-0000-0000-000000850000}"/>
    <cellStyle name="Percent 3 10 3 4 2 3" xfId="28066" xr:uid="{00000000-0005-0000-0000-000001850000}"/>
    <cellStyle name="Percent 3 10 3 4 3" xfId="12562" xr:uid="{00000000-0005-0000-0000-000002850000}"/>
    <cellStyle name="Percent 3 10 3 4 3 2" xfId="32614" xr:uid="{00000000-0005-0000-0000-000003850000}"/>
    <cellStyle name="Percent 3 10 3 4 4" xfId="23584" xr:uid="{00000000-0005-0000-0000-000004850000}"/>
    <cellStyle name="Percent 3 10 3 5" xfId="5026" xr:uid="{00000000-0005-0000-0000-000005850000}"/>
    <cellStyle name="Percent 3 10 3 5 2" xfId="14056" xr:uid="{00000000-0005-0000-0000-000006850000}"/>
    <cellStyle name="Percent 3 10 3 5 2 2" xfId="34108" xr:uid="{00000000-0005-0000-0000-000007850000}"/>
    <cellStyle name="Percent 3 10 3 5 3" xfId="25078" xr:uid="{00000000-0005-0000-0000-000008850000}"/>
    <cellStyle name="Percent 3 10 3 6" xfId="9574" xr:uid="{00000000-0005-0000-0000-000009850000}"/>
    <cellStyle name="Percent 3 10 3 6 2" xfId="29626" xr:uid="{00000000-0005-0000-0000-00000A850000}"/>
    <cellStyle name="Percent 3 10 3 7" xfId="20596" xr:uid="{00000000-0005-0000-0000-00000B850000}"/>
    <cellStyle name="Percent 3 10 4" xfId="730" xr:uid="{00000000-0005-0000-0000-00000C850000}"/>
    <cellStyle name="Percent 3 10 4 2" xfId="1477" xr:uid="{00000000-0005-0000-0000-00000D850000}"/>
    <cellStyle name="Percent 3 10 4 2 2" xfId="2971" xr:uid="{00000000-0005-0000-0000-00000E850000}"/>
    <cellStyle name="Percent 3 10 4 2 2 2" xfId="7453" xr:uid="{00000000-0005-0000-0000-00000F850000}"/>
    <cellStyle name="Percent 3 10 4 2 2 2 2" xfId="16483" xr:uid="{00000000-0005-0000-0000-000010850000}"/>
    <cellStyle name="Percent 3 10 4 2 2 2 2 2" xfId="36535" xr:uid="{00000000-0005-0000-0000-000011850000}"/>
    <cellStyle name="Percent 3 10 4 2 2 2 3" xfId="27505" xr:uid="{00000000-0005-0000-0000-000012850000}"/>
    <cellStyle name="Percent 3 10 4 2 2 3" xfId="12001" xr:uid="{00000000-0005-0000-0000-000013850000}"/>
    <cellStyle name="Percent 3 10 4 2 2 3 2" xfId="32053" xr:uid="{00000000-0005-0000-0000-000014850000}"/>
    <cellStyle name="Percent 3 10 4 2 2 4" xfId="23023" xr:uid="{00000000-0005-0000-0000-000015850000}"/>
    <cellStyle name="Percent 3 10 4 2 3" xfId="4465" xr:uid="{00000000-0005-0000-0000-000016850000}"/>
    <cellStyle name="Percent 3 10 4 2 3 2" xfId="8947" xr:uid="{00000000-0005-0000-0000-000017850000}"/>
    <cellStyle name="Percent 3 10 4 2 3 2 2" xfId="17977" xr:uid="{00000000-0005-0000-0000-000018850000}"/>
    <cellStyle name="Percent 3 10 4 2 3 2 2 2" xfId="38029" xr:uid="{00000000-0005-0000-0000-000019850000}"/>
    <cellStyle name="Percent 3 10 4 2 3 2 3" xfId="28999" xr:uid="{00000000-0005-0000-0000-00001A850000}"/>
    <cellStyle name="Percent 3 10 4 2 3 3" xfId="13495" xr:uid="{00000000-0005-0000-0000-00001B850000}"/>
    <cellStyle name="Percent 3 10 4 2 3 3 2" xfId="33547" xr:uid="{00000000-0005-0000-0000-00001C850000}"/>
    <cellStyle name="Percent 3 10 4 2 3 4" xfId="24517" xr:uid="{00000000-0005-0000-0000-00001D850000}"/>
    <cellStyle name="Percent 3 10 4 2 4" xfId="5959" xr:uid="{00000000-0005-0000-0000-00001E850000}"/>
    <cellStyle name="Percent 3 10 4 2 4 2" xfId="14989" xr:uid="{00000000-0005-0000-0000-00001F850000}"/>
    <cellStyle name="Percent 3 10 4 2 4 2 2" xfId="35041" xr:uid="{00000000-0005-0000-0000-000020850000}"/>
    <cellStyle name="Percent 3 10 4 2 4 3" xfId="26011" xr:uid="{00000000-0005-0000-0000-000021850000}"/>
    <cellStyle name="Percent 3 10 4 2 5" xfId="10507" xr:uid="{00000000-0005-0000-0000-000022850000}"/>
    <cellStyle name="Percent 3 10 4 2 5 2" xfId="30559" xr:uid="{00000000-0005-0000-0000-000023850000}"/>
    <cellStyle name="Percent 3 10 4 2 6" xfId="21529" xr:uid="{00000000-0005-0000-0000-000024850000}"/>
    <cellStyle name="Percent 3 10 4 3" xfId="2224" xr:uid="{00000000-0005-0000-0000-000025850000}"/>
    <cellStyle name="Percent 3 10 4 3 2" xfId="6706" xr:uid="{00000000-0005-0000-0000-000026850000}"/>
    <cellStyle name="Percent 3 10 4 3 2 2" xfId="15736" xr:uid="{00000000-0005-0000-0000-000027850000}"/>
    <cellStyle name="Percent 3 10 4 3 2 2 2" xfId="35788" xr:uid="{00000000-0005-0000-0000-000028850000}"/>
    <cellStyle name="Percent 3 10 4 3 2 3" xfId="26758" xr:uid="{00000000-0005-0000-0000-000029850000}"/>
    <cellStyle name="Percent 3 10 4 3 3" xfId="11254" xr:uid="{00000000-0005-0000-0000-00002A850000}"/>
    <cellStyle name="Percent 3 10 4 3 3 2" xfId="31306" xr:uid="{00000000-0005-0000-0000-00002B850000}"/>
    <cellStyle name="Percent 3 10 4 3 4" xfId="22276" xr:uid="{00000000-0005-0000-0000-00002C850000}"/>
    <cellStyle name="Percent 3 10 4 4" xfId="3718" xr:uid="{00000000-0005-0000-0000-00002D850000}"/>
    <cellStyle name="Percent 3 10 4 4 2" xfId="8200" xr:uid="{00000000-0005-0000-0000-00002E850000}"/>
    <cellStyle name="Percent 3 10 4 4 2 2" xfId="17230" xr:uid="{00000000-0005-0000-0000-00002F850000}"/>
    <cellStyle name="Percent 3 10 4 4 2 2 2" xfId="37282" xr:uid="{00000000-0005-0000-0000-000030850000}"/>
    <cellStyle name="Percent 3 10 4 4 2 3" xfId="28252" xr:uid="{00000000-0005-0000-0000-000031850000}"/>
    <cellStyle name="Percent 3 10 4 4 3" xfId="12748" xr:uid="{00000000-0005-0000-0000-000032850000}"/>
    <cellStyle name="Percent 3 10 4 4 3 2" xfId="32800" xr:uid="{00000000-0005-0000-0000-000033850000}"/>
    <cellStyle name="Percent 3 10 4 4 4" xfId="23770" xr:uid="{00000000-0005-0000-0000-000034850000}"/>
    <cellStyle name="Percent 3 10 4 5" xfId="5212" xr:uid="{00000000-0005-0000-0000-000035850000}"/>
    <cellStyle name="Percent 3 10 4 5 2" xfId="14242" xr:uid="{00000000-0005-0000-0000-000036850000}"/>
    <cellStyle name="Percent 3 10 4 5 2 2" xfId="34294" xr:uid="{00000000-0005-0000-0000-000037850000}"/>
    <cellStyle name="Percent 3 10 4 5 3" xfId="25264" xr:uid="{00000000-0005-0000-0000-000038850000}"/>
    <cellStyle name="Percent 3 10 4 6" xfId="9760" xr:uid="{00000000-0005-0000-0000-000039850000}"/>
    <cellStyle name="Percent 3 10 4 6 2" xfId="29812" xr:uid="{00000000-0005-0000-0000-00003A850000}"/>
    <cellStyle name="Percent 3 10 4 7" xfId="20782" xr:uid="{00000000-0005-0000-0000-00003B850000}"/>
    <cellStyle name="Percent 3 10 5" xfId="917" xr:uid="{00000000-0005-0000-0000-00003C850000}"/>
    <cellStyle name="Percent 3 10 5 2" xfId="2411" xr:uid="{00000000-0005-0000-0000-00003D850000}"/>
    <cellStyle name="Percent 3 10 5 2 2" xfId="6893" xr:uid="{00000000-0005-0000-0000-00003E850000}"/>
    <cellStyle name="Percent 3 10 5 2 2 2" xfId="15923" xr:uid="{00000000-0005-0000-0000-00003F850000}"/>
    <cellStyle name="Percent 3 10 5 2 2 2 2" xfId="35975" xr:uid="{00000000-0005-0000-0000-000040850000}"/>
    <cellStyle name="Percent 3 10 5 2 2 3" xfId="26945" xr:uid="{00000000-0005-0000-0000-000041850000}"/>
    <cellStyle name="Percent 3 10 5 2 3" xfId="11441" xr:uid="{00000000-0005-0000-0000-000042850000}"/>
    <cellStyle name="Percent 3 10 5 2 3 2" xfId="31493" xr:uid="{00000000-0005-0000-0000-000043850000}"/>
    <cellStyle name="Percent 3 10 5 2 4" xfId="22463" xr:uid="{00000000-0005-0000-0000-000044850000}"/>
    <cellStyle name="Percent 3 10 5 3" xfId="3905" xr:uid="{00000000-0005-0000-0000-000045850000}"/>
    <cellStyle name="Percent 3 10 5 3 2" xfId="8387" xr:uid="{00000000-0005-0000-0000-000046850000}"/>
    <cellStyle name="Percent 3 10 5 3 2 2" xfId="17417" xr:uid="{00000000-0005-0000-0000-000047850000}"/>
    <cellStyle name="Percent 3 10 5 3 2 2 2" xfId="37469" xr:uid="{00000000-0005-0000-0000-000048850000}"/>
    <cellStyle name="Percent 3 10 5 3 2 3" xfId="28439" xr:uid="{00000000-0005-0000-0000-000049850000}"/>
    <cellStyle name="Percent 3 10 5 3 3" xfId="12935" xr:uid="{00000000-0005-0000-0000-00004A850000}"/>
    <cellStyle name="Percent 3 10 5 3 3 2" xfId="32987" xr:uid="{00000000-0005-0000-0000-00004B850000}"/>
    <cellStyle name="Percent 3 10 5 3 4" xfId="23957" xr:uid="{00000000-0005-0000-0000-00004C850000}"/>
    <cellStyle name="Percent 3 10 5 4" xfId="5399" xr:uid="{00000000-0005-0000-0000-00004D850000}"/>
    <cellStyle name="Percent 3 10 5 4 2" xfId="14429" xr:uid="{00000000-0005-0000-0000-00004E850000}"/>
    <cellStyle name="Percent 3 10 5 4 2 2" xfId="34481" xr:uid="{00000000-0005-0000-0000-00004F850000}"/>
    <cellStyle name="Percent 3 10 5 4 3" xfId="25451" xr:uid="{00000000-0005-0000-0000-000050850000}"/>
    <cellStyle name="Percent 3 10 5 5" xfId="9947" xr:uid="{00000000-0005-0000-0000-000051850000}"/>
    <cellStyle name="Percent 3 10 5 5 2" xfId="29999" xr:uid="{00000000-0005-0000-0000-000052850000}"/>
    <cellStyle name="Percent 3 10 5 6" xfId="20969" xr:uid="{00000000-0005-0000-0000-000053850000}"/>
    <cellStyle name="Percent 3 10 6" xfId="1666" xr:uid="{00000000-0005-0000-0000-000054850000}"/>
    <cellStyle name="Percent 3 10 6 2" xfId="6148" xr:uid="{00000000-0005-0000-0000-000055850000}"/>
    <cellStyle name="Percent 3 10 6 2 2" xfId="15178" xr:uid="{00000000-0005-0000-0000-000056850000}"/>
    <cellStyle name="Percent 3 10 6 2 2 2" xfId="35230" xr:uid="{00000000-0005-0000-0000-000057850000}"/>
    <cellStyle name="Percent 3 10 6 2 3" xfId="26200" xr:uid="{00000000-0005-0000-0000-000058850000}"/>
    <cellStyle name="Percent 3 10 6 3" xfId="10696" xr:uid="{00000000-0005-0000-0000-000059850000}"/>
    <cellStyle name="Percent 3 10 6 3 2" xfId="30748" xr:uid="{00000000-0005-0000-0000-00005A850000}"/>
    <cellStyle name="Percent 3 10 6 4" xfId="21718" xr:uid="{00000000-0005-0000-0000-00005B850000}"/>
    <cellStyle name="Percent 3 10 7" xfId="3160" xr:uid="{00000000-0005-0000-0000-00005C850000}"/>
    <cellStyle name="Percent 3 10 7 2" xfId="7642" xr:uid="{00000000-0005-0000-0000-00005D850000}"/>
    <cellStyle name="Percent 3 10 7 2 2" xfId="16672" xr:uid="{00000000-0005-0000-0000-00005E850000}"/>
    <cellStyle name="Percent 3 10 7 2 2 2" xfId="36724" xr:uid="{00000000-0005-0000-0000-00005F850000}"/>
    <cellStyle name="Percent 3 10 7 2 3" xfId="27694" xr:uid="{00000000-0005-0000-0000-000060850000}"/>
    <cellStyle name="Percent 3 10 7 3" xfId="12190" xr:uid="{00000000-0005-0000-0000-000061850000}"/>
    <cellStyle name="Percent 3 10 7 3 2" xfId="32242" xr:uid="{00000000-0005-0000-0000-000062850000}"/>
    <cellStyle name="Percent 3 10 7 4" xfId="23212" xr:uid="{00000000-0005-0000-0000-000063850000}"/>
    <cellStyle name="Percent 3 10 8" xfId="4654" xr:uid="{00000000-0005-0000-0000-000064850000}"/>
    <cellStyle name="Percent 3 10 8 2" xfId="13684" xr:uid="{00000000-0005-0000-0000-000065850000}"/>
    <cellStyle name="Percent 3 10 8 2 2" xfId="33736" xr:uid="{00000000-0005-0000-0000-000066850000}"/>
    <cellStyle name="Percent 3 10 8 3" xfId="24706" xr:uid="{00000000-0005-0000-0000-000067850000}"/>
    <cellStyle name="Percent 3 10 9" xfId="9202" xr:uid="{00000000-0005-0000-0000-000068850000}"/>
    <cellStyle name="Percent 3 10 9 2" xfId="29254" xr:uid="{00000000-0005-0000-0000-000069850000}"/>
    <cellStyle name="Percent 3 11" xfId="195" xr:uid="{00000000-0005-0000-0000-00006A850000}"/>
    <cellStyle name="Percent 3 11 2" xfId="940" xr:uid="{00000000-0005-0000-0000-00006B850000}"/>
    <cellStyle name="Percent 3 11 2 2" xfId="2434" xr:uid="{00000000-0005-0000-0000-00006C850000}"/>
    <cellStyle name="Percent 3 11 2 2 2" xfId="6916" xr:uid="{00000000-0005-0000-0000-00006D850000}"/>
    <cellStyle name="Percent 3 11 2 2 2 2" xfId="15946" xr:uid="{00000000-0005-0000-0000-00006E850000}"/>
    <cellStyle name="Percent 3 11 2 2 2 2 2" xfId="35998" xr:uid="{00000000-0005-0000-0000-00006F850000}"/>
    <cellStyle name="Percent 3 11 2 2 2 3" xfId="26968" xr:uid="{00000000-0005-0000-0000-000070850000}"/>
    <cellStyle name="Percent 3 11 2 2 3" xfId="11464" xr:uid="{00000000-0005-0000-0000-000071850000}"/>
    <cellStyle name="Percent 3 11 2 2 3 2" xfId="31516" xr:uid="{00000000-0005-0000-0000-000072850000}"/>
    <cellStyle name="Percent 3 11 2 2 4" xfId="22486" xr:uid="{00000000-0005-0000-0000-000073850000}"/>
    <cellStyle name="Percent 3 11 2 3" xfId="3928" xr:uid="{00000000-0005-0000-0000-000074850000}"/>
    <cellStyle name="Percent 3 11 2 3 2" xfId="8410" xr:uid="{00000000-0005-0000-0000-000075850000}"/>
    <cellStyle name="Percent 3 11 2 3 2 2" xfId="17440" xr:uid="{00000000-0005-0000-0000-000076850000}"/>
    <cellStyle name="Percent 3 11 2 3 2 2 2" xfId="37492" xr:uid="{00000000-0005-0000-0000-000077850000}"/>
    <cellStyle name="Percent 3 11 2 3 2 3" xfId="28462" xr:uid="{00000000-0005-0000-0000-000078850000}"/>
    <cellStyle name="Percent 3 11 2 3 3" xfId="12958" xr:uid="{00000000-0005-0000-0000-000079850000}"/>
    <cellStyle name="Percent 3 11 2 3 3 2" xfId="33010" xr:uid="{00000000-0005-0000-0000-00007A850000}"/>
    <cellStyle name="Percent 3 11 2 3 4" xfId="23980" xr:uid="{00000000-0005-0000-0000-00007B850000}"/>
    <cellStyle name="Percent 3 11 2 4" xfId="5422" xr:uid="{00000000-0005-0000-0000-00007C850000}"/>
    <cellStyle name="Percent 3 11 2 4 2" xfId="14452" xr:uid="{00000000-0005-0000-0000-00007D850000}"/>
    <cellStyle name="Percent 3 11 2 4 2 2" xfId="34504" xr:uid="{00000000-0005-0000-0000-00007E850000}"/>
    <cellStyle name="Percent 3 11 2 4 3" xfId="25474" xr:uid="{00000000-0005-0000-0000-00007F850000}"/>
    <cellStyle name="Percent 3 11 2 5" xfId="9970" xr:uid="{00000000-0005-0000-0000-000080850000}"/>
    <cellStyle name="Percent 3 11 2 5 2" xfId="30022" xr:uid="{00000000-0005-0000-0000-000081850000}"/>
    <cellStyle name="Percent 3 11 2 6" xfId="20992" xr:uid="{00000000-0005-0000-0000-000082850000}"/>
    <cellStyle name="Percent 3 11 3" xfId="1689" xr:uid="{00000000-0005-0000-0000-000083850000}"/>
    <cellStyle name="Percent 3 11 3 2" xfId="6171" xr:uid="{00000000-0005-0000-0000-000084850000}"/>
    <cellStyle name="Percent 3 11 3 2 2" xfId="15201" xr:uid="{00000000-0005-0000-0000-000085850000}"/>
    <cellStyle name="Percent 3 11 3 2 2 2" xfId="35253" xr:uid="{00000000-0005-0000-0000-000086850000}"/>
    <cellStyle name="Percent 3 11 3 2 3" xfId="26223" xr:uid="{00000000-0005-0000-0000-000087850000}"/>
    <cellStyle name="Percent 3 11 3 3" xfId="10719" xr:uid="{00000000-0005-0000-0000-000088850000}"/>
    <cellStyle name="Percent 3 11 3 3 2" xfId="30771" xr:uid="{00000000-0005-0000-0000-000089850000}"/>
    <cellStyle name="Percent 3 11 3 4" xfId="21741" xr:uid="{00000000-0005-0000-0000-00008A850000}"/>
    <cellStyle name="Percent 3 11 4" xfId="3183" xr:uid="{00000000-0005-0000-0000-00008B850000}"/>
    <cellStyle name="Percent 3 11 4 2" xfId="7665" xr:uid="{00000000-0005-0000-0000-00008C850000}"/>
    <cellStyle name="Percent 3 11 4 2 2" xfId="16695" xr:uid="{00000000-0005-0000-0000-00008D850000}"/>
    <cellStyle name="Percent 3 11 4 2 2 2" xfId="36747" xr:uid="{00000000-0005-0000-0000-00008E850000}"/>
    <cellStyle name="Percent 3 11 4 2 3" xfId="27717" xr:uid="{00000000-0005-0000-0000-00008F850000}"/>
    <cellStyle name="Percent 3 11 4 3" xfId="12213" xr:uid="{00000000-0005-0000-0000-000090850000}"/>
    <cellStyle name="Percent 3 11 4 3 2" xfId="32265" xr:uid="{00000000-0005-0000-0000-000091850000}"/>
    <cellStyle name="Percent 3 11 4 4" xfId="23235" xr:uid="{00000000-0005-0000-0000-000092850000}"/>
    <cellStyle name="Percent 3 11 5" xfId="4677" xr:uid="{00000000-0005-0000-0000-000093850000}"/>
    <cellStyle name="Percent 3 11 5 2" xfId="13707" xr:uid="{00000000-0005-0000-0000-000094850000}"/>
    <cellStyle name="Percent 3 11 5 2 2" xfId="33759" xr:uid="{00000000-0005-0000-0000-000095850000}"/>
    <cellStyle name="Percent 3 11 5 3" xfId="24729" xr:uid="{00000000-0005-0000-0000-000096850000}"/>
    <cellStyle name="Percent 3 11 6" xfId="9225" xr:uid="{00000000-0005-0000-0000-000097850000}"/>
    <cellStyle name="Percent 3 11 6 2" xfId="29277" xr:uid="{00000000-0005-0000-0000-000098850000}"/>
    <cellStyle name="Percent 3 11 7" xfId="20247" xr:uid="{00000000-0005-0000-0000-000099850000}"/>
    <cellStyle name="Percent 3 12" xfId="381" xr:uid="{00000000-0005-0000-0000-00009A850000}"/>
    <cellStyle name="Percent 3 12 2" xfId="1128" xr:uid="{00000000-0005-0000-0000-00009B850000}"/>
    <cellStyle name="Percent 3 12 2 2" xfId="2622" xr:uid="{00000000-0005-0000-0000-00009C850000}"/>
    <cellStyle name="Percent 3 12 2 2 2" xfId="7104" xr:uid="{00000000-0005-0000-0000-00009D850000}"/>
    <cellStyle name="Percent 3 12 2 2 2 2" xfId="16134" xr:uid="{00000000-0005-0000-0000-00009E850000}"/>
    <cellStyle name="Percent 3 12 2 2 2 2 2" xfId="36186" xr:uid="{00000000-0005-0000-0000-00009F850000}"/>
    <cellStyle name="Percent 3 12 2 2 2 3" xfId="27156" xr:uid="{00000000-0005-0000-0000-0000A0850000}"/>
    <cellStyle name="Percent 3 12 2 2 3" xfId="11652" xr:uid="{00000000-0005-0000-0000-0000A1850000}"/>
    <cellStyle name="Percent 3 12 2 2 3 2" xfId="31704" xr:uid="{00000000-0005-0000-0000-0000A2850000}"/>
    <cellStyle name="Percent 3 12 2 2 4" xfId="22674" xr:uid="{00000000-0005-0000-0000-0000A3850000}"/>
    <cellStyle name="Percent 3 12 2 3" xfId="4116" xr:uid="{00000000-0005-0000-0000-0000A4850000}"/>
    <cellStyle name="Percent 3 12 2 3 2" xfId="8598" xr:uid="{00000000-0005-0000-0000-0000A5850000}"/>
    <cellStyle name="Percent 3 12 2 3 2 2" xfId="17628" xr:uid="{00000000-0005-0000-0000-0000A6850000}"/>
    <cellStyle name="Percent 3 12 2 3 2 2 2" xfId="37680" xr:uid="{00000000-0005-0000-0000-0000A7850000}"/>
    <cellStyle name="Percent 3 12 2 3 2 3" xfId="28650" xr:uid="{00000000-0005-0000-0000-0000A8850000}"/>
    <cellStyle name="Percent 3 12 2 3 3" xfId="13146" xr:uid="{00000000-0005-0000-0000-0000A9850000}"/>
    <cellStyle name="Percent 3 12 2 3 3 2" xfId="33198" xr:uid="{00000000-0005-0000-0000-0000AA850000}"/>
    <cellStyle name="Percent 3 12 2 3 4" xfId="24168" xr:uid="{00000000-0005-0000-0000-0000AB850000}"/>
    <cellStyle name="Percent 3 12 2 4" xfId="5610" xr:uid="{00000000-0005-0000-0000-0000AC850000}"/>
    <cellStyle name="Percent 3 12 2 4 2" xfId="14640" xr:uid="{00000000-0005-0000-0000-0000AD850000}"/>
    <cellStyle name="Percent 3 12 2 4 2 2" xfId="34692" xr:uid="{00000000-0005-0000-0000-0000AE850000}"/>
    <cellStyle name="Percent 3 12 2 4 3" xfId="25662" xr:uid="{00000000-0005-0000-0000-0000AF850000}"/>
    <cellStyle name="Percent 3 12 2 5" xfId="10158" xr:uid="{00000000-0005-0000-0000-0000B0850000}"/>
    <cellStyle name="Percent 3 12 2 5 2" xfId="30210" xr:uid="{00000000-0005-0000-0000-0000B1850000}"/>
    <cellStyle name="Percent 3 12 2 6" xfId="21180" xr:uid="{00000000-0005-0000-0000-0000B2850000}"/>
    <cellStyle name="Percent 3 12 3" xfId="1875" xr:uid="{00000000-0005-0000-0000-0000B3850000}"/>
    <cellStyle name="Percent 3 12 3 2" xfId="6357" xr:uid="{00000000-0005-0000-0000-0000B4850000}"/>
    <cellStyle name="Percent 3 12 3 2 2" xfId="15387" xr:uid="{00000000-0005-0000-0000-0000B5850000}"/>
    <cellStyle name="Percent 3 12 3 2 2 2" xfId="35439" xr:uid="{00000000-0005-0000-0000-0000B6850000}"/>
    <cellStyle name="Percent 3 12 3 2 3" xfId="26409" xr:uid="{00000000-0005-0000-0000-0000B7850000}"/>
    <cellStyle name="Percent 3 12 3 3" xfId="10905" xr:uid="{00000000-0005-0000-0000-0000B8850000}"/>
    <cellStyle name="Percent 3 12 3 3 2" xfId="30957" xr:uid="{00000000-0005-0000-0000-0000B9850000}"/>
    <cellStyle name="Percent 3 12 3 4" xfId="21927" xr:uid="{00000000-0005-0000-0000-0000BA850000}"/>
    <cellStyle name="Percent 3 12 4" xfId="3369" xr:uid="{00000000-0005-0000-0000-0000BB850000}"/>
    <cellStyle name="Percent 3 12 4 2" xfId="7851" xr:uid="{00000000-0005-0000-0000-0000BC850000}"/>
    <cellStyle name="Percent 3 12 4 2 2" xfId="16881" xr:uid="{00000000-0005-0000-0000-0000BD850000}"/>
    <cellStyle name="Percent 3 12 4 2 2 2" xfId="36933" xr:uid="{00000000-0005-0000-0000-0000BE850000}"/>
    <cellStyle name="Percent 3 12 4 2 3" xfId="27903" xr:uid="{00000000-0005-0000-0000-0000BF850000}"/>
    <cellStyle name="Percent 3 12 4 3" xfId="12399" xr:uid="{00000000-0005-0000-0000-0000C0850000}"/>
    <cellStyle name="Percent 3 12 4 3 2" xfId="32451" xr:uid="{00000000-0005-0000-0000-0000C1850000}"/>
    <cellStyle name="Percent 3 12 4 4" xfId="23421" xr:uid="{00000000-0005-0000-0000-0000C2850000}"/>
    <cellStyle name="Percent 3 12 5" xfId="4863" xr:uid="{00000000-0005-0000-0000-0000C3850000}"/>
    <cellStyle name="Percent 3 12 5 2" xfId="13893" xr:uid="{00000000-0005-0000-0000-0000C4850000}"/>
    <cellStyle name="Percent 3 12 5 2 2" xfId="33945" xr:uid="{00000000-0005-0000-0000-0000C5850000}"/>
    <cellStyle name="Percent 3 12 5 3" xfId="24915" xr:uid="{00000000-0005-0000-0000-0000C6850000}"/>
    <cellStyle name="Percent 3 12 6" xfId="9411" xr:uid="{00000000-0005-0000-0000-0000C7850000}"/>
    <cellStyle name="Percent 3 12 6 2" xfId="29463" xr:uid="{00000000-0005-0000-0000-0000C8850000}"/>
    <cellStyle name="Percent 3 12 7" xfId="20433" xr:uid="{00000000-0005-0000-0000-0000C9850000}"/>
    <cellStyle name="Percent 3 13" xfId="567" xr:uid="{00000000-0005-0000-0000-0000CA850000}"/>
    <cellStyle name="Percent 3 13 2" xfId="1314" xr:uid="{00000000-0005-0000-0000-0000CB850000}"/>
    <cellStyle name="Percent 3 13 2 2" xfId="2808" xr:uid="{00000000-0005-0000-0000-0000CC850000}"/>
    <cellStyle name="Percent 3 13 2 2 2" xfId="7290" xr:uid="{00000000-0005-0000-0000-0000CD850000}"/>
    <cellStyle name="Percent 3 13 2 2 2 2" xfId="16320" xr:uid="{00000000-0005-0000-0000-0000CE850000}"/>
    <cellStyle name="Percent 3 13 2 2 2 2 2" xfId="36372" xr:uid="{00000000-0005-0000-0000-0000CF850000}"/>
    <cellStyle name="Percent 3 13 2 2 2 3" xfId="27342" xr:uid="{00000000-0005-0000-0000-0000D0850000}"/>
    <cellStyle name="Percent 3 13 2 2 3" xfId="11838" xr:uid="{00000000-0005-0000-0000-0000D1850000}"/>
    <cellStyle name="Percent 3 13 2 2 3 2" xfId="31890" xr:uid="{00000000-0005-0000-0000-0000D2850000}"/>
    <cellStyle name="Percent 3 13 2 2 4" xfId="22860" xr:uid="{00000000-0005-0000-0000-0000D3850000}"/>
    <cellStyle name="Percent 3 13 2 3" xfId="4302" xr:uid="{00000000-0005-0000-0000-0000D4850000}"/>
    <cellStyle name="Percent 3 13 2 3 2" xfId="8784" xr:uid="{00000000-0005-0000-0000-0000D5850000}"/>
    <cellStyle name="Percent 3 13 2 3 2 2" xfId="17814" xr:uid="{00000000-0005-0000-0000-0000D6850000}"/>
    <cellStyle name="Percent 3 13 2 3 2 2 2" xfId="37866" xr:uid="{00000000-0005-0000-0000-0000D7850000}"/>
    <cellStyle name="Percent 3 13 2 3 2 3" xfId="28836" xr:uid="{00000000-0005-0000-0000-0000D8850000}"/>
    <cellStyle name="Percent 3 13 2 3 3" xfId="13332" xr:uid="{00000000-0005-0000-0000-0000D9850000}"/>
    <cellStyle name="Percent 3 13 2 3 3 2" xfId="33384" xr:uid="{00000000-0005-0000-0000-0000DA850000}"/>
    <cellStyle name="Percent 3 13 2 3 4" xfId="24354" xr:uid="{00000000-0005-0000-0000-0000DB850000}"/>
    <cellStyle name="Percent 3 13 2 4" xfId="5796" xr:uid="{00000000-0005-0000-0000-0000DC850000}"/>
    <cellStyle name="Percent 3 13 2 4 2" xfId="14826" xr:uid="{00000000-0005-0000-0000-0000DD850000}"/>
    <cellStyle name="Percent 3 13 2 4 2 2" xfId="34878" xr:uid="{00000000-0005-0000-0000-0000DE850000}"/>
    <cellStyle name="Percent 3 13 2 4 3" xfId="25848" xr:uid="{00000000-0005-0000-0000-0000DF850000}"/>
    <cellStyle name="Percent 3 13 2 5" xfId="10344" xr:uid="{00000000-0005-0000-0000-0000E0850000}"/>
    <cellStyle name="Percent 3 13 2 5 2" xfId="30396" xr:uid="{00000000-0005-0000-0000-0000E1850000}"/>
    <cellStyle name="Percent 3 13 2 6" xfId="21366" xr:uid="{00000000-0005-0000-0000-0000E2850000}"/>
    <cellStyle name="Percent 3 13 3" xfId="2061" xr:uid="{00000000-0005-0000-0000-0000E3850000}"/>
    <cellStyle name="Percent 3 13 3 2" xfId="6543" xr:uid="{00000000-0005-0000-0000-0000E4850000}"/>
    <cellStyle name="Percent 3 13 3 2 2" xfId="15573" xr:uid="{00000000-0005-0000-0000-0000E5850000}"/>
    <cellStyle name="Percent 3 13 3 2 2 2" xfId="35625" xr:uid="{00000000-0005-0000-0000-0000E6850000}"/>
    <cellStyle name="Percent 3 13 3 2 3" xfId="26595" xr:uid="{00000000-0005-0000-0000-0000E7850000}"/>
    <cellStyle name="Percent 3 13 3 3" xfId="11091" xr:uid="{00000000-0005-0000-0000-0000E8850000}"/>
    <cellStyle name="Percent 3 13 3 3 2" xfId="31143" xr:uid="{00000000-0005-0000-0000-0000E9850000}"/>
    <cellStyle name="Percent 3 13 3 4" xfId="22113" xr:uid="{00000000-0005-0000-0000-0000EA850000}"/>
    <cellStyle name="Percent 3 13 4" xfId="3555" xr:uid="{00000000-0005-0000-0000-0000EB850000}"/>
    <cellStyle name="Percent 3 13 4 2" xfId="8037" xr:uid="{00000000-0005-0000-0000-0000EC850000}"/>
    <cellStyle name="Percent 3 13 4 2 2" xfId="17067" xr:uid="{00000000-0005-0000-0000-0000ED850000}"/>
    <cellStyle name="Percent 3 13 4 2 2 2" xfId="37119" xr:uid="{00000000-0005-0000-0000-0000EE850000}"/>
    <cellStyle name="Percent 3 13 4 2 3" xfId="28089" xr:uid="{00000000-0005-0000-0000-0000EF850000}"/>
    <cellStyle name="Percent 3 13 4 3" xfId="12585" xr:uid="{00000000-0005-0000-0000-0000F0850000}"/>
    <cellStyle name="Percent 3 13 4 3 2" xfId="32637" xr:uid="{00000000-0005-0000-0000-0000F1850000}"/>
    <cellStyle name="Percent 3 13 4 4" xfId="23607" xr:uid="{00000000-0005-0000-0000-0000F2850000}"/>
    <cellStyle name="Percent 3 13 5" xfId="5049" xr:uid="{00000000-0005-0000-0000-0000F3850000}"/>
    <cellStyle name="Percent 3 13 5 2" xfId="14079" xr:uid="{00000000-0005-0000-0000-0000F4850000}"/>
    <cellStyle name="Percent 3 13 5 2 2" xfId="34131" xr:uid="{00000000-0005-0000-0000-0000F5850000}"/>
    <cellStyle name="Percent 3 13 5 3" xfId="25101" xr:uid="{00000000-0005-0000-0000-0000F6850000}"/>
    <cellStyle name="Percent 3 13 6" xfId="9597" xr:uid="{00000000-0005-0000-0000-0000F7850000}"/>
    <cellStyle name="Percent 3 13 6 2" xfId="29649" xr:uid="{00000000-0005-0000-0000-0000F8850000}"/>
    <cellStyle name="Percent 3 13 7" xfId="20619" xr:uid="{00000000-0005-0000-0000-0000F9850000}"/>
    <cellStyle name="Percent 3 14" xfId="754" xr:uid="{00000000-0005-0000-0000-0000FA850000}"/>
    <cellStyle name="Percent 3 14 2" xfId="2248" xr:uid="{00000000-0005-0000-0000-0000FB850000}"/>
    <cellStyle name="Percent 3 14 2 2" xfId="6730" xr:uid="{00000000-0005-0000-0000-0000FC850000}"/>
    <cellStyle name="Percent 3 14 2 2 2" xfId="15760" xr:uid="{00000000-0005-0000-0000-0000FD850000}"/>
    <cellStyle name="Percent 3 14 2 2 2 2" xfId="35812" xr:uid="{00000000-0005-0000-0000-0000FE850000}"/>
    <cellStyle name="Percent 3 14 2 2 3" xfId="26782" xr:uid="{00000000-0005-0000-0000-0000FF850000}"/>
    <cellStyle name="Percent 3 14 2 3" xfId="11278" xr:uid="{00000000-0005-0000-0000-000000860000}"/>
    <cellStyle name="Percent 3 14 2 3 2" xfId="31330" xr:uid="{00000000-0005-0000-0000-000001860000}"/>
    <cellStyle name="Percent 3 14 2 4" xfId="22300" xr:uid="{00000000-0005-0000-0000-000002860000}"/>
    <cellStyle name="Percent 3 14 3" xfId="3742" xr:uid="{00000000-0005-0000-0000-000003860000}"/>
    <cellStyle name="Percent 3 14 3 2" xfId="8224" xr:uid="{00000000-0005-0000-0000-000004860000}"/>
    <cellStyle name="Percent 3 14 3 2 2" xfId="17254" xr:uid="{00000000-0005-0000-0000-000005860000}"/>
    <cellStyle name="Percent 3 14 3 2 2 2" xfId="37306" xr:uid="{00000000-0005-0000-0000-000006860000}"/>
    <cellStyle name="Percent 3 14 3 2 3" xfId="28276" xr:uid="{00000000-0005-0000-0000-000007860000}"/>
    <cellStyle name="Percent 3 14 3 3" xfId="12772" xr:uid="{00000000-0005-0000-0000-000008860000}"/>
    <cellStyle name="Percent 3 14 3 3 2" xfId="32824" xr:uid="{00000000-0005-0000-0000-000009860000}"/>
    <cellStyle name="Percent 3 14 3 4" xfId="23794" xr:uid="{00000000-0005-0000-0000-00000A860000}"/>
    <cellStyle name="Percent 3 14 4" xfId="5236" xr:uid="{00000000-0005-0000-0000-00000B860000}"/>
    <cellStyle name="Percent 3 14 4 2" xfId="14266" xr:uid="{00000000-0005-0000-0000-00000C860000}"/>
    <cellStyle name="Percent 3 14 4 2 2" xfId="34318" xr:uid="{00000000-0005-0000-0000-00000D860000}"/>
    <cellStyle name="Percent 3 14 4 3" xfId="25288" xr:uid="{00000000-0005-0000-0000-00000E860000}"/>
    <cellStyle name="Percent 3 14 5" xfId="9784" xr:uid="{00000000-0005-0000-0000-00000F860000}"/>
    <cellStyle name="Percent 3 14 5 2" xfId="29836" xr:uid="{00000000-0005-0000-0000-000010860000}"/>
    <cellStyle name="Percent 3 14 6" xfId="20806" xr:uid="{00000000-0005-0000-0000-000011860000}"/>
    <cellStyle name="Percent 3 15" xfId="1503" xr:uid="{00000000-0005-0000-0000-000012860000}"/>
    <cellStyle name="Percent 3 15 2" xfId="5985" xr:uid="{00000000-0005-0000-0000-000013860000}"/>
    <cellStyle name="Percent 3 15 2 2" xfId="15015" xr:uid="{00000000-0005-0000-0000-000014860000}"/>
    <cellStyle name="Percent 3 15 2 2 2" xfId="35067" xr:uid="{00000000-0005-0000-0000-000015860000}"/>
    <cellStyle name="Percent 3 15 2 3" xfId="26037" xr:uid="{00000000-0005-0000-0000-000016860000}"/>
    <cellStyle name="Percent 3 15 3" xfId="10533" xr:uid="{00000000-0005-0000-0000-000017860000}"/>
    <cellStyle name="Percent 3 15 3 2" xfId="30585" xr:uid="{00000000-0005-0000-0000-000018860000}"/>
    <cellStyle name="Percent 3 15 4" xfId="21555" xr:uid="{00000000-0005-0000-0000-000019860000}"/>
    <cellStyle name="Percent 3 16" xfId="2997" xr:uid="{00000000-0005-0000-0000-00001A860000}"/>
    <cellStyle name="Percent 3 16 2" xfId="7479" xr:uid="{00000000-0005-0000-0000-00001B860000}"/>
    <cellStyle name="Percent 3 16 2 2" xfId="16509" xr:uid="{00000000-0005-0000-0000-00001C860000}"/>
    <cellStyle name="Percent 3 16 2 2 2" xfId="36561" xr:uid="{00000000-0005-0000-0000-00001D860000}"/>
    <cellStyle name="Percent 3 16 2 3" xfId="27531" xr:uid="{00000000-0005-0000-0000-00001E860000}"/>
    <cellStyle name="Percent 3 16 3" xfId="12027" xr:uid="{00000000-0005-0000-0000-00001F860000}"/>
    <cellStyle name="Percent 3 16 3 2" xfId="32079" xr:uid="{00000000-0005-0000-0000-000020860000}"/>
    <cellStyle name="Percent 3 16 4" xfId="23049" xr:uid="{00000000-0005-0000-0000-000021860000}"/>
    <cellStyle name="Percent 3 17" xfId="4491" xr:uid="{00000000-0005-0000-0000-000022860000}"/>
    <cellStyle name="Percent 3 17 2" xfId="13521" xr:uid="{00000000-0005-0000-0000-000023860000}"/>
    <cellStyle name="Percent 3 17 2 2" xfId="33573" xr:uid="{00000000-0005-0000-0000-000024860000}"/>
    <cellStyle name="Percent 3 17 3" xfId="24543" xr:uid="{00000000-0005-0000-0000-000025860000}"/>
    <cellStyle name="Percent 3 18" xfId="9039" xr:uid="{00000000-0005-0000-0000-000026860000}"/>
    <cellStyle name="Percent 3 18 2" xfId="29091" xr:uid="{00000000-0005-0000-0000-000027860000}"/>
    <cellStyle name="Percent 3 19" xfId="20064" xr:uid="{00000000-0005-0000-0000-000028860000}"/>
    <cellStyle name="Percent 3 2" xfId="15" xr:uid="{00000000-0005-0000-0000-000029860000}"/>
    <cellStyle name="Percent 3 2 10" xfId="200" xr:uid="{00000000-0005-0000-0000-00002A860000}"/>
    <cellStyle name="Percent 3 2 10 2" xfId="945" xr:uid="{00000000-0005-0000-0000-00002B860000}"/>
    <cellStyle name="Percent 3 2 10 2 2" xfId="2439" xr:uid="{00000000-0005-0000-0000-00002C860000}"/>
    <cellStyle name="Percent 3 2 10 2 2 2" xfId="6921" xr:uid="{00000000-0005-0000-0000-00002D860000}"/>
    <cellStyle name="Percent 3 2 10 2 2 2 2" xfId="15951" xr:uid="{00000000-0005-0000-0000-00002E860000}"/>
    <cellStyle name="Percent 3 2 10 2 2 2 2 2" xfId="36003" xr:uid="{00000000-0005-0000-0000-00002F860000}"/>
    <cellStyle name="Percent 3 2 10 2 2 2 3" xfId="26973" xr:uid="{00000000-0005-0000-0000-000030860000}"/>
    <cellStyle name="Percent 3 2 10 2 2 3" xfId="11469" xr:uid="{00000000-0005-0000-0000-000031860000}"/>
    <cellStyle name="Percent 3 2 10 2 2 3 2" xfId="31521" xr:uid="{00000000-0005-0000-0000-000032860000}"/>
    <cellStyle name="Percent 3 2 10 2 2 4" xfId="22491" xr:uid="{00000000-0005-0000-0000-000033860000}"/>
    <cellStyle name="Percent 3 2 10 2 3" xfId="3933" xr:uid="{00000000-0005-0000-0000-000034860000}"/>
    <cellStyle name="Percent 3 2 10 2 3 2" xfId="8415" xr:uid="{00000000-0005-0000-0000-000035860000}"/>
    <cellStyle name="Percent 3 2 10 2 3 2 2" xfId="17445" xr:uid="{00000000-0005-0000-0000-000036860000}"/>
    <cellStyle name="Percent 3 2 10 2 3 2 2 2" xfId="37497" xr:uid="{00000000-0005-0000-0000-000037860000}"/>
    <cellStyle name="Percent 3 2 10 2 3 2 3" xfId="28467" xr:uid="{00000000-0005-0000-0000-000038860000}"/>
    <cellStyle name="Percent 3 2 10 2 3 3" xfId="12963" xr:uid="{00000000-0005-0000-0000-000039860000}"/>
    <cellStyle name="Percent 3 2 10 2 3 3 2" xfId="33015" xr:uid="{00000000-0005-0000-0000-00003A860000}"/>
    <cellStyle name="Percent 3 2 10 2 3 4" xfId="23985" xr:uid="{00000000-0005-0000-0000-00003B860000}"/>
    <cellStyle name="Percent 3 2 10 2 4" xfId="5427" xr:uid="{00000000-0005-0000-0000-00003C860000}"/>
    <cellStyle name="Percent 3 2 10 2 4 2" xfId="14457" xr:uid="{00000000-0005-0000-0000-00003D860000}"/>
    <cellStyle name="Percent 3 2 10 2 4 2 2" xfId="34509" xr:uid="{00000000-0005-0000-0000-00003E860000}"/>
    <cellStyle name="Percent 3 2 10 2 4 3" xfId="25479" xr:uid="{00000000-0005-0000-0000-00003F860000}"/>
    <cellStyle name="Percent 3 2 10 2 5" xfId="9975" xr:uid="{00000000-0005-0000-0000-000040860000}"/>
    <cellStyle name="Percent 3 2 10 2 5 2" xfId="30027" xr:uid="{00000000-0005-0000-0000-000041860000}"/>
    <cellStyle name="Percent 3 2 10 2 6" xfId="20997" xr:uid="{00000000-0005-0000-0000-000042860000}"/>
    <cellStyle name="Percent 3 2 10 3" xfId="1694" xr:uid="{00000000-0005-0000-0000-000043860000}"/>
    <cellStyle name="Percent 3 2 10 3 2" xfId="6176" xr:uid="{00000000-0005-0000-0000-000044860000}"/>
    <cellStyle name="Percent 3 2 10 3 2 2" xfId="15206" xr:uid="{00000000-0005-0000-0000-000045860000}"/>
    <cellStyle name="Percent 3 2 10 3 2 2 2" xfId="35258" xr:uid="{00000000-0005-0000-0000-000046860000}"/>
    <cellStyle name="Percent 3 2 10 3 2 3" xfId="26228" xr:uid="{00000000-0005-0000-0000-000047860000}"/>
    <cellStyle name="Percent 3 2 10 3 3" xfId="10724" xr:uid="{00000000-0005-0000-0000-000048860000}"/>
    <cellStyle name="Percent 3 2 10 3 3 2" xfId="30776" xr:uid="{00000000-0005-0000-0000-000049860000}"/>
    <cellStyle name="Percent 3 2 10 3 4" xfId="21746" xr:uid="{00000000-0005-0000-0000-00004A860000}"/>
    <cellStyle name="Percent 3 2 10 4" xfId="3188" xr:uid="{00000000-0005-0000-0000-00004B860000}"/>
    <cellStyle name="Percent 3 2 10 4 2" xfId="7670" xr:uid="{00000000-0005-0000-0000-00004C860000}"/>
    <cellStyle name="Percent 3 2 10 4 2 2" xfId="16700" xr:uid="{00000000-0005-0000-0000-00004D860000}"/>
    <cellStyle name="Percent 3 2 10 4 2 2 2" xfId="36752" xr:uid="{00000000-0005-0000-0000-00004E860000}"/>
    <cellStyle name="Percent 3 2 10 4 2 3" xfId="27722" xr:uid="{00000000-0005-0000-0000-00004F860000}"/>
    <cellStyle name="Percent 3 2 10 4 3" xfId="12218" xr:uid="{00000000-0005-0000-0000-000050860000}"/>
    <cellStyle name="Percent 3 2 10 4 3 2" xfId="32270" xr:uid="{00000000-0005-0000-0000-000051860000}"/>
    <cellStyle name="Percent 3 2 10 4 4" xfId="23240" xr:uid="{00000000-0005-0000-0000-000052860000}"/>
    <cellStyle name="Percent 3 2 10 5" xfId="4682" xr:uid="{00000000-0005-0000-0000-000053860000}"/>
    <cellStyle name="Percent 3 2 10 5 2" xfId="13712" xr:uid="{00000000-0005-0000-0000-000054860000}"/>
    <cellStyle name="Percent 3 2 10 5 2 2" xfId="33764" xr:uid="{00000000-0005-0000-0000-000055860000}"/>
    <cellStyle name="Percent 3 2 10 5 3" xfId="24734" xr:uid="{00000000-0005-0000-0000-000056860000}"/>
    <cellStyle name="Percent 3 2 10 6" xfId="9230" xr:uid="{00000000-0005-0000-0000-000057860000}"/>
    <cellStyle name="Percent 3 2 10 6 2" xfId="29282" xr:uid="{00000000-0005-0000-0000-000058860000}"/>
    <cellStyle name="Percent 3 2 10 7" xfId="20252" xr:uid="{00000000-0005-0000-0000-000059860000}"/>
    <cellStyle name="Percent 3 2 11" xfId="386" xr:uid="{00000000-0005-0000-0000-00005A860000}"/>
    <cellStyle name="Percent 3 2 11 2" xfId="1133" xr:uid="{00000000-0005-0000-0000-00005B860000}"/>
    <cellStyle name="Percent 3 2 11 2 2" xfId="2627" xr:uid="{00000000-0005-0000-0000-00005C860000}"/>
    <cellStyle name="Percent 3 2 11 2 2 2" xfId="7109" xr:uid="{00000000-0005-0000-0000-00005D860000}"/>
    <cellStyle name="Percent 3 2 11 2 2 2 2" xfId="16139" xr:uid="{00000000-0005-0000-0000-00005E860000}"/>
    <cellStyle name="Percent 3 2 11 2 2 2 2 2" xfId="36191" xr:uid="{00000000-0005-0000-0000-00005F860000}"/>
    <cellStyle name="Percent 3 2 11 2 2 2 3" xfId="27161" xr:uid="{00000000-0005-0000-0000-000060860000}"/>
    <cellStyle name="Percent 3 2 11 2 2 3" xfId="11657" xr:uid="{00000000-0005-0000-0000-000061860000}"/>
    <cellStyle name="Percent 3 2 11 2 2 3 2" xfId="31709" xr:uid="{00000000-0005-0000-0000-000062860000}"/>
    <cellStyle name="Percent 3 2 11 2 2 4" xfId="22679" xr:uid="{00000000-0005-0000-0000-000063860000}"/>
    <cellStyle name="Percent 3 2 11 2 3" xfId="4121" xr:uid="{00000000-0005-0000-0000-000064860000}"/>
    <cellStyle name="Percent 3 2 11 2 3 2" xfId="8603" xr:uid="{00000000-0005-0000-0000-000065860000}"/>
    <cellStyle name="Percent 3 2 11 2 3 2 2" xfId="17633" xr:uid="{00000000-0005-0000-0000-000066860000}"/>
    <cellStyle name="Percent 3 2 11 2 3 2 2 2" xfId="37685" xr:uid="{00000000-0005-0000-0000-000067860000}"/>
    <cellStyle name="Percent 3 2 11 2 3 2 3" xfId="28655" xr:uid="{00000000-0005-0000-0000-000068860000}"/>
    <cellStyle name="Percent 3 2 11 2 3 3" xfId="13151" xr:uid="{00000000-0005-0000-0000-000069860000}"/>
    <cellStyle name="Percent 3 2 11 2 3 3 2" xfId="33203" xr:uid="{00000000-0005-0000-0000-00006A860000}"/>
    <cellStyle name="Percent 3 2 11 2 3 4" xfId="24173" xr:uid="{00000000-0005-0000-0000-00006B860000}"/>
    <cellStyle name="Percent 3 2 11 2 4" xfId="5615" xr:uid="{00000000-0005-0000-0000-00006C860000}"/>
    <cellStyle name="Percent 3 2 11 2 4 2" xfId="14645" xr:uid="{00000000-0005-0000-0000-00006D860000}"/>
    <cellStyle name="Percent 3 2 11 2 4 2 2" xfId="34697" xr:uid="{00000000-0005-0000-0000-00006E860000}"/>
    <cellStyle name="Percent 3 2 11 2 4 3" xfId="25667" xr:uid="{00000000-0005-0000-0000-00006F860000}"/>
    <cellStyle name="Percent 3 2 11 2 5" xfId="10163" xr:uid="{00000000-0005-0000-0000-000070860000}"/>
    <cellStyle name="Percent 3 2 11 2 5 2" xfId="30215" xr:uid="{00000000-0005-0000-0000-000071860000}"/>
    <cellStyle name="Percent 3 2 11 2 6" xfId="21185" xr:uid="{00000000-0005-0000-0000-000072860000}"/>
    <cellStyle name="Percent 3 2 11 3" xfId="1880" xr:uid="{00000000-0005-0000-0000-000073860000}"/>
    <cellStyle name="Percent 3 2 11 3 2" xfId="6362" xr:uid="{00000000-0005-0000-0000-000074860000}"/>
    <cellStyle name="Percent 3 2 11 3 2 2" xfId="15392" xr:uid="{00000000-0005-0000-0000-000075860000}"/>
    <cellStyle name="Percent 3 2 11 3 2 2 2" xfId="35444" xr:uid="{00000000-0005-0000-0000-000076860000}"/>
    <cellStyle name="Percent 3 2 11 3 2 3" xfId="26414" xr:uid="{00000000-0005-0000-0000-000077860000}"/>
    <cellStyle name="Percent 3 2 11 3 3" xfId="10910" xr:uid="{00000000-0005-0000-0000-000078860000}"/>
    <cellStyle name="Percent 3 2 11 3 3 2" xfId="30962" xr:uid="{00000000-0005-0000-0000-000079860000}"/>
    <cellStyle name="Percent 3 2 11 3 4" xfId="21932" xr:uid="{00000000-0005-0000-0000-00007A860000}"/>
    <cellStyle name="Percent 3 2 11 4" xfId="3374" xr:uid="{00000000-0005-0000-0000-00007B860000}"/>
    <cellStyle name="Percent 3 2 11 4 2" xfId="7856" xr:uid="{00000000-0005-0000-0000-00007C860000}"/>
    <cellStyle name="Percent 3 2 11 4 2 2" xfId="16886" xr:uid="{00000000-0005-0000-0000-00007D860000}"/>
    <cellStyle name="Percent 3 2 11 4 2 2 2" xfId="36938" xr:uid="{00000000-0005-0000-0000-00007E860000}"/>
    <cellStyle name="Percent 3 2 11 4 2 3" xfId="27908" xr:uid="{00000000-0005-0000-0000-00007F860000}"/>
    <cellStyle name="Percent 3 2 11 4 3" xfId="12404" xr:uid="{00000000-0005-0000-0000-000080860000}"/>
    <cellStyle name="Percent 3 2 11 4 3 2" xfId="32456" xr:uid="{00000000-0005-0000-0000-000081860000}"/>
    <cellStyle name="Percent 3 2 11 4 4" xfId="23426" xr:uid="{00000000-0005-0000-0000-000082860000}"/>
    <cellStyle name="Percent 3 2 11 5" xfId="4868" xr:uid="{00000000-0005-0000-0000-000083860000}"/>
    <cellStyle name="Percent 3 2 11 5 2" xfId="13898" xr:uid="{00000000-0005-0000-0000-000084860000}"/>
    <cellStyle name="Percent 3 2 11 5 2 2" xfId="33950" xr:uid="{00000000-0005-0000-0000-000085860000}"/>
    <cellStyle name="Percent 3 2 11 5 3" xfId="24920" xr:uid="{00000000-0005-0000-0000-000086860000}"/>
    <cellStyle name="Percent 3 2 11 6" xfId="9416" xr:uid="{00000000-0005-0000-0000-000087860000}"/>
    <cellStyle name="Percent 3 2 11 6 2" xfId="29468" xr:uid="{00000000-0005-0000-0000-000088860000}"/>
    <cellStyle name="Percent 3 2 11 7" xfId="20438" xr:uid="{00000000-0005-0000-0000-000089860000}"/>
    <cellStyle name="Percent 3 2 12" xfId="572" xr:uid="{00000000-0005-0000-0000-00008A860000}"/>
    <cellStyle name="Percent 3 2 12 2" xfId="1319" xr:uid="{00000000-0005-0000-0000-00008B860000}"/>
    <cellStyle name="Percent 3 2 12 2 2" xfId="2813" xr:uid="{00000000-0005-0000-0000-00008C860000}"/>
    <cellStyle name="Percent 3 2 12 2 2 2" xfId="7295" xr:uid="{00000000-0005-0000-0000-00008D860000}"/>
    <cellStyle name="Percent 3 2 12 2 2 2 2" xfId="16325" xr:uid="{00000000-0005-0000-0000-00008E860000}"/>
    <cellStyle name="Percent 3 2 12 2 2 2 2 2" xfId="36377" xr:uid="{00000000-0005-0000-0000-00008F860000}"/>
    <cellStyle name="Percent 3 2 12 2 2 2 3" xfId="27347" xr:uid="{00000000-0005-0000-0000-000090860000}"/>
    <cellStyle name="Percent 3 2 12 2 2 3" xfId="11843" xr:uid="{00000000-0005-0000-0000-000091860000}"/>
    <cellStyle name="Percent 3 2 12 2 2 3 2" xfId="31895" xr:uid="{00000000-0005-0000-0000-000092860000}"/>
    <cellStyle name="Percent 3 2 12 2 2 4" xfId="22865" xr:uid="{00000000-0005-0000-0000-000093860000}"/>
    <cellStyle name="Percent 3 2 12 2 3" xfId="4307" xr:uid="{00000000-0005-0000-0000-000094860000}"/>
    <cellStyle name="Percent 3 2 12 2 3 2" xfId="8789" xr:uid="{00000000-0005-0000-0000-000095860000}"/>
    <cellStyle name="Percent 3 2 12 2 3 2 2" xfId="17819" xr:uid="{00000000-0005-0000-0000-000096860000}"/>
    <cellStyle name="Percent 3 2 12 2 3 2 2 2" xfId="37871" xr:uid="{00000000-0005-0000-0000-000097860000}"/>
    <cellStyle name="Percent 3 2 12 2 3 2 3" xfId="28841" xr:uid="{00000000-0005-0000-0000-000098860000}"/>
    <cellStyle name="Percent 3 2 12 2 3 3" xfId="13337" xr:uid="{00000000-0005-0000-0000-000099860000}"/>
    <cellStyle name="Percent 3 2 12 2 3 3 2" xfId="33389" xr:uid="{00000000-0005-0000-0000-00009A860000}"/>
    <cellStyle name="Percent 3 2 12 2 3 4" xfId="24359" xr:uid="{00000000-0005-0000-0000-00009B860000}"/>
    <cellStyle name="Percent 3 2 12 2 4" xfId="5801" xr:uid="{00000000-0005-0000-0000-00009C860000}"/>
    <cellStyle name="Percent 3 2 12 2 4 2" xfId="14831" xr:uid="{00000000-0005-0000-0000-00009D860000}"/>
    <cellStyle name="Percent 3 2 12 2 4 2 2" xfId="34883" xr:uid="{00000000-0005-0000-0000-00009E860000}"/>
    <cellStyle name="Percent 3 2 12 2 4 3" xfId="25853" xr:uid="{00000000-0005-0000-0000-00009F860000}"/>
    <cellStyle name="Percent 3 2 12 2 5" xfId="10349" xr:uid="{00000000-0005-0000-0000-0000A0860000}"/>
    <cellStyle name="Percent 3 2 12 2 5 2" xfId="30401" xr:uid="{00000000-0005-0000-0000-0000A1860000}"/>
    <cellStyle name="Percent 3 2 12 2 6" xfId="21371" xr:uid="{00000000-0005-0000-0000-0000A2860000}"/>
    <cellStyle name="Percent 3 2 12 3" xfId="2066" xr:uid="{00000000-0005-0000-0000-0000A3860000}"/>
    <cellStyle name="Percent 3 2 12 3 2" xfId="6548" xr:uid="{00000000-0005-0000-0000-0000A4860000}"/>
    <cellStyle name="Percent 3 2 12 3 2 2" xfId="15578" xr:uid="{00000000-0005-0000-0000-0000A5860000}"/>
    <cellStyle name="Percent 3 2 12 3 2 2 2" xfId="35630" xr:uid="{00000000-0005-0000-0000-0000A6860000}"/>
    <cellStyle name="Percent 3 2 12 3 2 3" xfId="26600" xr:uid="{00000000-0005-0000-0000-0000A7860000}"/>
    <cellStyle name="Percent 3 2 12 3 3" xfId="11096" xr:uid="{00000000-0005-0000-0000-0000A8860000}"/>
    <cellStyle name="Percent 3 2 12 3 3 2" xfId="31148" xr:uid="{00000000-0005-0000-0000-0000A9860000}"/>
    <cellStyle name="Percent 3 2 12 3 4" xfId="22118" xr:uid="{00000000-0005-0000-0000-0000AA860000}"/>
    <cellStyle name="Percent 3 2 12 4" xfId="3560" xr:uid="{00000000-0005-0000-0000-0000AB860000}"/>
    <cellStyle name="Percent 3 2 12 4 2" xfId="8042" xr:uid="{00000000-0005-0000-0000-0000AC860000}"/>
    <cellStyle name="Percent 3 2 12 4 2 2" xfId="17072" xr:uid="{00000000-0005-0000-0000-0000AD860000}"/>
    <cellStyle name="Percent 3 2 12 4 2 2 2" xfId="37124" xr:uid="{00000000-0005-0000-0000-0000AE860000}"/>
    <cellStyle name="Percent 3 2 12 4 2 3" xfId="28094" xr:uid="{00000000-0005-0000-0000-0000AF860000}"/>
    <cellStyle name="Percent 3 2 12 4 3" xfId="12590" xr:uid="{00000000-0005-0000-0000-0000B0860000}"/>
    <cellStyle name="Percent 3 2 12 4 3 2" xfId="32642" xr:uid="{00000000-0005-0000-0000-0000B1860000}"/>
    <cellStyle name="Percent 3 2 12 4 4" xfId="23612" xr:uid="{00000000-0005-0000-0000-0000B2860000}"/>
    <cellStyle name="Percent 3 2 12 5" xfId="5054" xr:uid="{00000000-0005-0000-0000-0000B3860000}"/>
    <cellStyle name="Percent 3 2 12 5 2" xfId="14084" xr:uid="{00000000-0005-0000-0000-0000B4860000}"/>
    <cellStyle name="Percent 3 2 12 5 2 2" xfId="34136" xr:uid="{00000000-0005-0000-0000-0000B5860000}"/>
    <cellStyle name="Percent 3 2 12 5 3" xfId="25106" xr:uid="{00000000-0005-0000-0000-0000B6860000}"/>
    <cellStyle name="Percent 3 2 12 6" xfId="9602" xr:uid="{00000000-0005-0000-0000-0000B7860000}"/>
    <cellStyle name="Percent 3 2 12 6 2" xfId="29654" xr:uid="{00000000-0005-0000-0000-0000B8860000}"/>
    <cellStyle name="Percent 3 2 12 7" xfId="20624" xr:uid="{00000000-0005-0000-0000-0000B9860000}"/>
    <cellStyle name="Percent 3 2 13" xfId="759" xr:uid="{00000000-0005-0000-0000-0000BA860000}"/>
    <cellStyle name="Percent 3 2 13 2" xfId="2253" xr:uid="{00000000-0005-0000-0000-0000BB860000}"/>
    <cellStyle name="Percent 3 2 13 2 2" xfId="6735" xr:uid="{00000000-0005-0000-0000-0000BC860000}"/>
    <cellStyle name="Percent 3 2 13 2 2 2" xfId="15765" xr:uid="{00000000-0005-0000-0000-0000BD860000}"/>
    <cellStyle name="Percent 3 2 13 2 2 2 2" xfId="35817" xr:uid="{00000000-0005-0000-0000-0000BE860000}"/>
    <cellStyle name="Percent 3 2 13 2 2 3" xfId="26787" xr:uid="{00000000-0005-0000-0000-0000BF860000}"/>
    <cellStyle name="Percent 3 2 13 2 3" xfId="11283" xr:uid="{00000000-0005-0000-0000-0000C0860000}"/>
    <cellStyle name="Percent 3 2 13 2 3 2" xfId="31335" xr:uid="{00000000-0005-0000-0000-0000C1860000}"/>
    <cellStyle name="Percent 3 2 13 2 4" xfId="22305" xr:uid="{00000000-0005-0000-0000-0000C2860000}"/>
    <cellStyle name="Percent 3 2 13 3" xfId="3747" xr:uid="{00000000-0005-0000-0000-0000C3860000}"/>
    <cellStyle name="Percent 3 2 13 3 2" xfId="8229" xr:uid="{00000000-0005-0000-0000-0000C4860000}"/>
    <cellStyle name="Percent 3 2 13 3 2 2" xfId="17259" xr:uid="{00000000-0005-0000-0000-0000C5860000}"/>
    <cellStyle name="Percent 3 2 13 3 2 2 2" xfId="37311" xr:uid="{00000000-0005-0000-0000-0000C6860000}"/>
    <cellStyle name="Percent 3 2 13 3 2 3" xfId="28281" xr:uid="{00000000-0005-0000-0000-0000C7860000}"/>
    <cellStyle name="Percent 3 2 13 3 3" xfId="12777" xr:uid="{00000000-0005-0000-0000-0000C8860000}"/>
    <cellStyle name="Percent 3 2 13 3 3 2" xfId="32829" xr:uid="{00000000-0005-0000-0000-0000C9860000}"/>
    <cellStyle name="Percent 3 2 13 3 4" xfId="23799" xr:uid="{00000000-0005-0000-0000-0000CA860000}"/>
    <cellStyle name="Percent 3 2 13 4" xfId="5241" xr:uid="{00000000-0005-0000-0000-0000CB860000}"/>
    <cellStyle name="Percent 3 2 13 4 2" xfId="14271" xr:uid="{00000000-0005-0000-0000-0000CC860000}"/>
    <cellStyle name="Percent 3 2 13 4 2 2" xfId="34323" xr:uid="{00000000-0005-0000-0000-0000CD860000}"/>
    <cellStyle name="Percent 3 2 13 4 3" xfId="25293" xr:uid="{00000000-0005-0000-0000-0000CE860000}"/>
    <cellStyle name="Percent 3 2 13 5" xfId="9789" xr:uid="{00000000-0005-0000-0000-0000CF860000}"/>
    <cellStyle name="Percent 3 2 13 5 2" xfId="29841" xr:uid="{00000000-0005-0000-0000-0000D0860000}"/>
    <cellStyle name="Percent 3 2 13 6" xfId="20811" xr:uid="{00000000-0005-0000-0000-0000D1860000}"/>
    <cellStyle name="Percent 3 2 14" xfId="1508" xr:uid="{00000000-0005-0000-0000-0000D2860000}"/>
    <cellStyle name="Percent 3 2 14 2" xfId="5990" xr:uid="{00000000-0005-0000-0000-0000D3860000}"/>
    <cellStyle name="Percent 3 2 14 2 2" xfId="15020" xr:uid="{00000000-0005-0000-0000-0000D4860000}"/>
    <cellStyle name="Percent 3 2 14 2 2 2" xfId="35072" xr:uid="{00000000-0005-0000-0000-0000D5860000}"/>
    <cellStyle name="Percent 3 2 14 2 3" xfId="26042" xr:uid="{00000000-0005-0000-0000-0000D6860000}"/>
    <cellStyle name="Percent 3 2 14 3" xfId="10538" xr:uid="{00000000-0005-0000-0000-0000D7860000}"/>
    <cellStyle name="Percent 3 2 14 3 2" xfId="30590" xr:uid="{00000000-0005-0000-0000-0000D8860000}"/>
    <cellStyle name="Percent 3 2 14 4" xfId="21560" xr:uid="{00000000-0005-0000-0000-0000D9860000}"/>
    <cellStyle name="Percent 3 2 15" xfId="3002" xr:uid="{00000000-0005-0000-0000-0000DA860000}"/>
    <cellStyle name="Percent 3 2 15 2" xfId="7484" xr:uid="{00000000-0005-0000-0000-0000DB860000}"/>
    <cellStyle name="Percent 3 2 15 2 2" xfId="16514" xr:uid="{00000000-0005-0000-0000-0000DC860000}"/>
    <cellStyle name="Percent 3 2 15 2 2 2" xfId="36566" xr:uid="{00000000-0005-0000-0000-0000DD860000}"/>
    <cellStyle name="Percent 3 2 15 2 3" xfId="27536" xr:uid="{00000000-0005-0000-0000-0000DE860000}"/>
    <cellStyle name="Percent 3 2 15 3" xfId="12032" xr:uid="{00000000-0005-0000-0000-0000DF860000}"/>
    <cellStyle name="Percent 3 2 15 3 2" xfId="32084" xr:uid="{00000000-0005-0000-0000-0000E0860000}"/>
    <cellStyle name="Percent 3 2 15 4" xfId="23054" xr:uid="{00000000-0005-0000-0000-0000E1860000}"/>
    <cellStyle name="Percent 3 2 16" xfId="4496" xr:uid="{00000000-0005-0000-0000-0000E2860000}"/>
    <cellStyle name="Percent 3 2 16 2" xfId="13526" xr:uid="{00000000-0005-0000-0000-0000E3860000}"/>
    <cellStyle name="Percent 3 2 16 2 2" xfId="33578" xr:uid="{00000000-0005-0000-0000-0000E4860000}"/>
    <cellStyle name="Percent 3 2 16 3" xfId="24548" xr:uid="{00000000-0005-0000-0000-0000E5860000}"/>
    <cellStyle name="Percent 3 2 17" xfId="9044" xr:uid="{00000000-0005-0000-0000-0000E6860000}"/>
    <cellStyle name="Percent 3 2 17 2" xfId="29096" xr:uid="{00000000-0005-0000-0000-0000E7860000}"/>
    <cellStyle name="Percent 3 2 18" xfId="20067" xr:uid="{00000000-0005-0000-0000-0000E8860000}"/>
    <cellStyle name="Percent 3 2 2" xfId="24" xr:uid="{00000000-0005-0000-0000-0000E9860000}"/>
    <cellStyle name="Percent 3 2 2 10" xfId="396" xr:uid="{00000000-0005-0000-0000-0000EA860000}"/>
    <cellStyle name="Percent 3 2 2 10 2" xfId="1143" xr:uid="{00000000-0005-0000-0000-0000EB860000}"/>
    <cellStyle name="Percent 3 2 2 10 2 2" xfId="2637" xr:uid="{00000000-0005-0000-0000-0000EC860000}"/>
    <cellStyle name="Percent 3 2 2 10 2 2 2" xfId="7119" xr:uid="{00000000-0005-0000-0000-0000ED860000}"/>
    <cellStyle name="Percent 3 2 2 10 2 2 2 2" xfId="16149" xr:uid="{00000000-0005-0000-0000-0000EE860000}"/>
    <cellStyle name="Percent 3 2 2 10 2 2 2 2 2" xfId="36201" xr:uid="{00000000-0005-0000-0000-0000EF860000}"/>
    <cellStyle name="Percent 3 2 2 10 2 2 2 3" xfId="27171" xr:uid="{00000000-0005-0000-0000-0000F0860000}"/>
    <cellStyle name="Percent 3 2 2 10 2 2 3" xfId="11667" xr:uid="{00000000-0005-0000-0000-0000F1860000}"/>
    <cellStyle name="Percent 3 2 2 10 2 2 3 2" xfId="31719" xr:uid="{00000000-0005-0000-0000-0000F2860000}"/>
    <cellStyle name="Percent 3 2 2 10 2 2 4" xfId="22689" xr:uid="{00000000-0005-0000-0000-0000F3860000}"/>
    <cellStyle name="Percent 3 2 2 10 2 3" xfId="4131" xr:uid="{00000000-0005-0000-0000-0000F4860000}"/>
    <cellStyle name="Percent 3 2 2 10 2 3 2" xfId="8613" xr:uid="{00000000-0005-0000-0000-0000F5860000}"/>
    <cellStyle name="Percent 3 2 2 10 2 3 2 2" xfId="17643" xr:uid="{00000000-0005-0000-0000-0000F6860000}"/>
    <cellStyle name="Percent 3 2 2 10 2 3 2 2 2" xfId="37695" xr:uid="{00000000-0005-0000-0000-0000F7860000}"/>
    <cellStyle name="Percent 3 2 2 10 2 3 2 3" xfId="28665" xr:uid="{00000000-0005-0000-0000-0000F8860000}"/>
    <cellStyle name="Percent 3 2 2 10 2 3 3" xfId="13161" xr:uid="{00000000-0005-0000-0000-0000F9860000}"/>
    <cellStyle name="Percent 3 2 2 10 2 3 3 2" xfId="33213" xr:uid="{00000000-0005-0000-0000-0000FA860000}"/>
    <cellStyle name="Percent 3 2 2 10 2 3 4" xfId="24183" xr:uid="{00000000-0005-0000-0000-0000FB860000}"/>
    <cellStyle name="Percent 3 2 2 10 2 4" xfId="5625" xr:uid="{00000000-0005-0000-0000-0000FC860000}"/>
    <cellStyle name="Percent 3 2 2 10 2 4 2" xfId="14655" xr:uid="{00000000-0005-0000-0000-0000FD860000}"/>
    <cellStyle name="Percent 3 2 2 10 2 4 2 2" xfId="34707" xr:uid="{00000000-0005-0000-0000-0000FE860000}"/>
    <cellStyle name="Percent 3 2 2 10 2 4 3" xfId="25677" xr:uid="{00000000-0005-0000-0000-0000FF860000}"/>
    <cellStyle name="Percent 3 2 2 10 2 5" xfId="10173" xr:uid="{00000000-0005-0000-0000-000000870000}"/>
    <cellStyle name="Percent 3 2 2 10 2 5 2" xfId="30225" xr:uid="{00000000-0005-0000-0000-000001870000}"/>
    <cellStyle name="Percent 3 2 2 10 2 6" xfId="21195" xr:uid="{00000000-0005-0000-0000-000002870000}"/>
    <cellStyle name="Percent 3 2 2 10 3" xfId="1890" xr:uid="{00000000-0005-0000-0000-000003870000}"/>
    <cellStyle name="Percent 3 2 2 10 3 2" xfId="6372" xr:uid="{00000000-0005-0000-0000-000004870000}"/>
    <cellStyle name="Percent 3 2 2 10 3 2 2" xfId="15402" xr:uid="{00000000-0005-0000-0000-000005870000}"/>
    <cellStyle name="Percent 3 2 2 10 3 2 2 2" xfId="35454" xr:uid="{00000000-0005-0000-0000-000006870000}"/>
    <cellStyle name="Percent 3 2 2 10 3 2 3" xfId="26424" xr:uid="{00000000-0005-0000-0000-000007870000}"/>
    <cellStyle name="Percent 3 2 2 10 3 3" xfId="10920" xr:uid="{00000000-0005-0000-0000-000008870000}"/>
    <cellStyle name="Percent 3 2 2 10 3 3 2" xfId="30972" xr:uid="{00000000-0005-0000-0000-000009870000}"/>
    <cellStyle name="Percent 3 2 2 10 3 4" xfId="21942" xr:uid="{00000000-0005-0000-0000-00000A870000}"/>
    <cellStyle name="Percent 3 2 2 10 4" xfId="3384" xr:uid="{00000000-0005-0000-0000-00000B870000}"/>
    <cellStyle name="Percent 3 2 2 10 4 2" xfId="7866" xr:uid="{00000000-0005-0000-0000-00000C870000}"/>
    <cellStyle name="Percent 3 2 2 10 4 2 2" xfId="16896" xr:uid="{00000000-0005-0000-0000-00000D870000}"/>
    <cellStyle name="Percent 3 2 2 10 4 2 2 2" xfId="36948" xr:uid="{00000000-0005-0000-0000-00000E870000}"/>
    <cellStyle name="Percent 3 2 2 10 4 2 3" xfId="27918" xr:uid="{00000000-0005-0000-0000-00000F870000}"/>
    <cellStyle name="Percent 3 2 2 10 4 3" xfId="12414" xr:uid="{00000000-0005-0000-0000-000010870000}"/>
    <cellStyle name="Percent 3 2 2 10 4 3 2" xfId="32466" xr:uid="{00000000-0005-0000-0000-000011870000}"/>
    <cellStyle name="Percent 3 2 2 10 4 4" xfId="23436" xr:uid="{00000000-0005-0000-0000-000012870000}"/>
    <cellStyle name="Percent 3 2 2 10 5" xfId="4878" xr:uid="{00000000-0005-0000-0000-000013870000}"/>
    <cellStyle name="Percent 3 2 2 10 5 2" xfId="13908" xr:uid="{00000000-0005-0000-0000-000014870000}"/>
    <cellStyle name="Percent 3 2 2 10 5 2 2" xfId="33960" xr:uid="{00000000-0005-0000-0000-000015870000}"/>
    <cellStyle name="Percent 3 2 2 10 5 3" xfId="24930" xr:uid="{00000000-0005-0000-0000-000016870000}"/>
    <cellStyle name="Percent 3 2 2 10 6" xfId="9426" xr:uid="{00000000-0005-0000-0000-000017870000}"/>
    <cellStyle name="Percent 3 2 2 10 6 2" xfId="29478" xr:uid="{00000000-0005-0000-0000-000018870000}"/>
    <cellStyle name="Percent 3 2 2 10 7" xfId="20448" xr:uid="{00000000-0005-0000-0000-000019870000}"/>
    <cellStyle name="Percent 3 2 2 11" xfId="582" xr:uid="{00000000-0005-0000-0000-00001A870000}"/>
    <cellStyle name="Percent 3 2 2 11 2" xfId="1329" xr:uid="{00000000-0005-0000-0000-00001B870000}"/>
    <cellStyle name="Percent 3 2 2 11 2 2" xfId="2823" xr:uid="{00000000-0005-0000-0000-00001C870000}"/>
    <cellStyle name="Percent 3 2 2 11 2 2 2" xfId="7305" xr:uid="{00000000-0005-0000-0000-00001D870000}"/>
    <cellStyle name="Percent 3 2 2 11 2 2 2 2" xfId="16335" xr:uid="{00000000-0005-0000-0000-00001E870000}"/>
    <cellStyle name="Percent 3 2 2 11 2 2 2 2 2" xfId="36387" xr:uid="{00000000-0005-0000-0000-00001F870000}"/>
    <cellStyle name="Percent 3 2 2 11 2 2 2 3" xfId="27357" xr:uid="{00000000-0005-0000-0000-000020870000}"/>
    <cellStyle name="Percent 3 2 2 11 2 2 3" xfId="11853" xr:uid="{00000000-0005-0000-0000-000021870000}"/>
    <cellStyle name="Percent 3 2 2 11 2 2 3 2" xfId="31905" xr:uid="{00000000-0005-0000-0000-000022870000}"/>
    <cellStyle name="Percent 3 2 2 11 2 2 4" xfId="22875" xr:uid="{00000000-0005-0000-0000-000023870000}"/>
    <cellStyle name="Percent 3 2 2 11 2 3" xfId="4317" xr:uid="{00000000-0005-0000-0000-000024870000}"/>
    <cellStyle name="Percent 3 2 2 11 2 3 2" xfId="8799" xr:uid="{00000000-0005-0000-0000-000025870000}"/>
    <cellStyle name="Percent 3 2 2 11 2 3 2 2" xfId="17829" xr:uid="{00000000-0005-0000-0000-000026870000}"/>
    <cellStyle name="Percent 3 2 2 11 2 3 2 2 2" xfId="37881" xr:uid="{00000000-0005-0000-0000-000027870000}"/>
    <cellStyle name="Percent 3 2 2 11 2 3 2 3" xfId="28851" xr:uid="{00000000-0005-0000-0000-000028870000}"/>
    <cellStyle name="Percent 3 2 2 11 2 3 3" xfId="13347" xr:uid="{00000000-0005-0000-0000-000029870000}"/>
    <cellStyle name="Percent 3 2 2 11 2 3 3 2" xfId="33399" xr:uid="{00000000-0005-0000-0000-00002A870000}"/>
    <cellStyle name="Percent 3 2 2 11 2 3 4" xfId="24369" xr:uid="{00000000-0005-0000-0000-00002B870000}"/>
    <cellStyle name="Percent 3 2 2 11 2 4" xfId="5811" xr:uid="{00000000-0005-0000-0000-00002C870000}"/>
    <cellStyle name="Percent 3 2 2 11 2 4 2" xfId="14841" xr:uid="{00000000-0005-0000-0000-00002D870000}"/>
    <cellStyle name="Percent 3 2 2 11 2 4 2 2" xfId="34893" xr:uid="{00000000-0005-0000-0000-00002E870000}"/>
    <cellStyle name="Percent 3 2 2 11 2 4 3" xfId="25863" xr:uid="{00000000-0005-0000-0000-00002F870000}"/>
    <cellStyle name="Percent 3 2 2 11 2 5" xfId="10359" xr:uid="{00000000-0005-0000-0000-000030870000}"/>
    <cellStyle name="Percent 3 2 2 11 2 5 2" xfId="30411" xr:uid="{00000000-0005-0000-0000-000031870000}"/>
    <cellStyle name="Percent 3 2 2 11 2 6" xfId="21381" xr:uid="{00000000-0005-0000-0000-000032870000}"/>
    <cellStyle name="Percent 3 2 2 11 3" xfId="2076" xr:uid="{00000000-0005-0000-0000-000033870000}"/>
    <cellStyle name="Percent 3 2 2 11 3 2" xfId="6558" xr:uid="{00000000-0005-0000-0000-000034870000}"/>
    <cellStyle name="Percent 3 2 2 11 3 2 2" xfId="15588" xr:uid="{00000000-0005-0000-0000-000035870000}"/>
    <cellStyle name="Percent 3 2 2 11 3 2 2 2" xfId="35640" xr:uid="{00000000-0005-0000-0000-000036870000}"/>
    <cellStyle name="Percent 3 2 2 11 3 2 3" xfId="26610" xr:uid="{00000000-0005-0000-0000-000037870000}"/>
    <cellStyle name="Percent 3 2 2 11 3 3" xfId="11106" xr:uid="{00000000-0005-0000-0000-000038870000}"/>
    <cellStyle name="Percent 3 2 2 11 3 3 2" xfId="31158" xr:uid="{00000000-0005-0000-0000-000039870000}"/>
    <cellStyle name="Percent 3 2 2 11 3 4" xfId="22128" xr:uid="{00000000-0005-0000-0000-00003A870000}"/>
    <cellStyle name="Percent 3 2 2 11 4" xfId="3570" xr:uid="{00000000-0005-0000-0000-00003B870000}"/>
    <cellStyle name="Percent 3 2 2 11 4 2" xfId="8052" xr:uid="{00000000-0005-0000-0000-00003C870000}"/>
    <cellStyle name="Percent 3 2 2 11 4 2 2" xfId="17082" xr:uid="{00000000-0005-0000-0000-00003D870000}"/>
    <cellStyle name="Percent 3 2 2 11 4 2 2 2" xfId="37134" xr:uid="{00000000-0005-0000-0000-00003E870000}"/>
    <cellStyle name="Percent 3 2 2 11 4 2 3" xfId="28104" xr:uid="{00000000-0005-0000-0000-00003F870000}"/>
    <cellStyle name="Percent 3 2 2 11 4 3" xfId="12600" xr:uid="{00000000-0005-0000-0000-000040870000}"/>
    <cellStyle name="Percent 3 2 2 11 4 3 2" xfId="32652" xr:uid="{00000000-0005-0000-0000-000041870000}"/>
    <cellStyle name="Percent 3 2 2 11 4 4" xfId="23622" xr:uid="{00000000-0005-0000-0000-000042870000}"/>
    <cellStyle name="Percent 3 2 2 11 5" xfId="5064" xr:uid="{00000000-0005-0000-0000-000043870000}"/>
    <cellStyle name="Percent 3 2 2 11 5 2" xfId="14094" xr:uid="{00000000-0005-0000-0000-000044870000}"/>
    <cellStyle name="Percent 3 2 2 11 5 2 2" xfId="34146" xr:uid="{00000000-0005-0000-0000-000045870000}"/>
    <cellStyle name="Percent 3 2 2 11 5 3" xfId="25116" xr:uid="{00000000-0005-0000-0000-000046870000}"/>
    <cellStyle name="Percent 3 2 2 11 6" xfId="9612" xr:uid="{00000000-0005-0000-0000-000047870000}"/>
    <cellStyle name="Percent 3 2 2 11 6 2" xfId="29664" xr:uid="{00000000-0005-0000-0000-000048870000}"/>
    <cellStyle name="Percent 3 2 2 11 7" xfId="20634" xr:uid="{00000000-0005-0000-0000-000049870000}"/>
    <cellStyle name="Percent 3 2 2 12" xfId="769" xr:uid="{00000000-0005-0000-0000-00004A870000}"/>
    <cellStyle name="Percent 3 2 2 12 2" xfId="2263" xr:uid="{00000000-0005-0000-0000-00004B870000}"/>
    <cellStyle name="Percent 3 2 2 12 2 2" xfId="6745" xr:uid="{00000000-0005-0000-0000-00004C870000}"/>
    <cellStyle name="Percent 3 2 2 12 2 2 2" xfId="15775" xr:uid="{00000000-0005-0000-0000-00004D870000}"/>
    <cellStyle name="Percent 3 2 2 12 2 2 2 2" xfId="35827" xr:uid="{00000000-0005-0000-0000-00004E870000}"/>
    <cellStyle name="Percent 3 2 2 12 2 2 3" xfId="26797" xr:uid="{00000000-0005-0000-0000-00004F870000}"/>
    <cellStyle name="Percent 3 2 2 12 2 3" xfId="11293" xr:uid="{00000000-0005-0000-0000-000050870000}"/>
    <cellStyle name="Percent 3 2 2 12 2 3 2" xfId="31345" xr:uid="{00000000-0005-0000-0000-000051870000}"/>
    <cellStyle name="Percent 3 2 2 12 2 4" xfId="22315" xr:uid="{00000000-0005-0000-0000-000052870000}"/>
    <cellStyle name="Percent 3 2 2 12 3" xfId="3757" xr:uid="{00000000-0005-0000-0000-000053870000}"/>
    <cellStyle name="Percent 3 2 2 12 3 2" xfId="8239" xr:uid="{00000000-0005-0000-0000-000054870000}"/>
    <cellStyle name="Percent 3 2 2 12 3 2 2" xfId="17269" xr:uid="{00000000-0005-0000-0000-000055870000}"/>
    <cellStyle name="Percent 3 2 2 12 3 2 2 2" xfId="37321" xr:uid="{00000000-0005-0000-0000-000056870000}"/>
    <cellStyle name="Percent 3 2 2 12 3 2 3" xfId="28291" xr:uid="{00000000-0005-0000-0000-000057870000}"/>
    <cellStyle name="Percent 3 2 2 12 3 3" xfId="12787" xr:uid="{00000000-0005-0000-0000-000058870000}"/>
    <cellStyle name="Percent 3 2 2 12 3 3 2" xfId="32839" xr:uid="{00000000-0005-0000-0000-000059870000}"/>
    <cellStyle name="Percent 3 2 2 12 3 4" xfId="23809" xr:uid="{00000000-0005-0000-0000-00005A870000}"/>
    <cellStyle name="Percent 3 2 2 12 4" xfId="5251" xr:uid="{00000000-0005-0000-0000-00005B870000}"/>
    <cellStyle name="Percent 3 2 2 12 4 2" xfId="14281" xr:uid="{00000000-0005-0000-0000-00005C870000}"/>
    <cellStyle name="Percent 3 2 2 12 4 2 2" xfId="34333" xr:uid="{00000000-0005-0000-0000-00005D870000}"/>
    <cellStyle name="Percent 3 2 2 12 4 3" xfId="25303" xr:uid="{00000000-0005-0000-0000-00005E870000}"/>
    <cellStyle name="Percent 3 2 2 12 5" xfId="9799" xr:uid="{00000000-0005-0000-0000-00005F870000}"/>
    <cellStyle name="Percent 3 2 2 12 5 2" xfId="29851" xr:uid="{00000000-0005-0000-0000-000060870000}"/>
    <cellStyle name="Percent 3 2 2 12 6" xfId="20821" xr:uid="{00000000-0005-0000-0000-000061870000}"/>
    <cellStyle name="Percent 3 2 2 13" xfId="1518" xr:uid="{00000000-0005-0000-0000-000062870000}"/>
    <cellStyle name="Percent 3 2 2 13 2" xfId="6000" xr:uid="{00000000-0005-0000-0000-000063870000}"/>
    <cellStyle name="Percent 3 2 2 13 2 2" xfId="15030" xr:uid="{00000000-0005-0000-0000-000064870000}"/>
    <cellStyle name="Percent 3 2 2 13 2 2 2" xfId="35082" xr:uid="{00000000-0005-0000-0000-000065870000}"/>
    <cellStyle name="Percent 3 2 2 13 2 3" xfId="26052" xr:uid="{00000000-0005-0000-0000-000066870000}"/>
    <cellStyle name="Percent 3 2 2 13 3" xfId="10548" xr:uid="{00000000-0005-0000-0000-000067870000}"/>
    <cellStyle name="Percent 3 2 2 13 3 2" xfId="30600" xr:uid="{00000000-0005-0000-0000-000068870000}"/>
    <cellStyle name="Percent 3 2 2 13 4" xfId="21570" xr:uid="{00000000-0005-0000-0000-000069870000}"/>
    <cellStyle name="Percent 3 2 2 14" xfId="3012" xr:uid="{00000000-0005-0000-0000-00006A870000}"/>
    <cellStyle name="Percent 3 2 2 14 2" xfId="7494" xr:uid="{00000000-0005-0000-0000-00006B870000}"/>
    <cellStyle name="Percent 3 2 2 14 2 2" xfId="16524" xr:uid="{00000000-0005-0000-0000-00006C870000}"/>
    <cellStyle name="Percent 3 2 2 14 2 2 2" xfId="36576" xr:uid="{00000000-0005-0000-0000-00006D870000}"/>
    <cellStyle name="Percent 3 2 2 14 2 3" xfId="27546" xr:uid="{00000000-0005-0000-0000-00006E870000}"/>
    <cellStyle name="Percent 3 2 2 14 3" xfId="12042" xr:uid="{00000000-0005-0000-0000-00006F870000}"/>
    <cellStyle name="Percent 3 2 2 14 3 2" xfId="32094" xr:uid="{00000000-0005-0000-0000-000070870000}"/>
    <cellStyle name="Percent 3 2 2 14 4" xfId="23064" xr:uid="{00000000-0005-0000-0000-000071870000}"/>
    <cellStyle name="Percent 3 2 2 15" xfId="4506" xr:uid="{00000000-0005-0000-0000-000072870000}"/>
    <cellStyle name="Percent 3 2 2 15 2" xfId="13536" xr:uid="{00000000-0005-0000-0000-000073870000}"/>
    <cellStyle name="Percent 3 2 2 15 2 2" xfId="33588" xr:uid="{00000000-0005-0000-0000-000074870000}"/>
    <cellStyle name="Percent 3 2 2 15 3" xfId="24558" xr:uid="{00000000-0005-0000-0000-000075870000}"/>
    <cellStyle name="Percent 3 2 2 16" xfId="9054" xr:uid="{00000000-0005-0000-0000-000076870000}"/>
    <cellStyle name="Percent 3 2 2 16 2" xfId="29106" xr:uid="{00000000-0005-0000-0000-000077870000}"/>
    <cellStyle name="Percent 3 2 2 17" xfId="20076" xr:uid="{00000000-0005-0000-0000-000078870000}"/>
    <cellStyle name="Percent 3 2 2 2" xfId="47" xr:uid="{00000000-0005-0000-0000-000079870000}"/>
    <cellStyle name="Percent 3 2 2 2 10" xfId="20099" xr:uid="{00000000-0005-0000-0000-00007A870000}"/>
    <cellStyle name="Percent 3 2 2 2 2" xfId="233" xr:uid="{00000000-0005-0000-0000-00007B870000}"/>
    <cellStyle name="Percent 3 2 2 2 2 2" xfId="978" xr:uid="{00000000-0005-0000-0000-00007C870000}"/>
    <cellStyle name="Percent 3 2 2 2 2 2 2" xfId="2472" xr:uid="{00000000-0005-0000-0000-00007D870000}"/>
    <cellStyle name="Percent 3 2 2 2 2 2 2 2" xfId="6954" xr:uid="{00000000-0005-0000-0000-00007E870000}"/>
    <cellStyle name="Percent 3 2 2 2 2 2 2 2 2" xfId="15984" xr:uid="{00000000-0005-0000-0000-00007F870000}"/>
    <cellStyle name="Percent 3 2 2 2 2 2 2 2 2 2" xfId="36036" xr:uid="{00000000-0005-0000-0000-000080870000}"/>
    <cellStyle name="Percent 3 2 2 2 2 2 2 2 3" xfId="27006" xr:uid="{00000000-0005-0000-0000-000081870000}"/>
    <cellStyle name="Percent 3 2 2 2 2 2 2 3" xfId="11502" xr:uid="{00000000-0005-0000-0000-000082870000}"/>
    <cellStyle name="Percent 3 2 2 2 2 2 2 3 2" xfId="31554" xr:uid="{00000000-0005-0000-0000-000083870000}"/>
    <cellStyle name="Percent 3 2 2 2 2 2 2 4" xfId="22524" xr:uid="{00000000-0005-0000-0000-000084870000}"/>
    <cellStyle name="Percent 3 2 2 2 2 2 3" xfId="3966" xr:uid="{00000000-0005-0000-0000-000085870000}"/>
    <cellStyle name="Percent 3 2 2 2 2 2 3 2" xfId="8448" xr:uid="{00000000-0005-0000-0000-000086870000}"/>
    <cellStyle name="Percent 3 2 2 2 2 2 3 2 2" xfId="17478" xr:uid="{00000000-0005-0000-0000-000087870000}"/>
    <cellStyle name="Percent 3 2 2 2 2 2 3 2 2 2" xfId="37530" xr:uid="{00000000-0005-0000-0000-000088870000}"/>
    <cellStyle name="Percent 3 2 2 2 2 2 3 2 3" xfId="28500" xr:uid="{00000000-0005-0000-0000-000089870000}"/>
    <cellStyle name="Percent 3 2 2 2 2 2 3 3" xfId="12996" xr:uid="{00000000-0005-0000-0000-00008A870000}"/>
    <cellStyle name="Percent 3 2 2 2 2 2 3 3 2" xfId="33048" xr:uid="{00000000-0005-0000-0000-00008B870000}"/>
    <cellStyle name="Percent 3 2 2 2 2 2 3 4" xfId="24018" xr:uid="{00000000-0005-0000-0000-00008C870000}"/>
    <cellStyle name="Percent 3 2 2 2 2 2 4" xfId="5460" xr:uid="{00000000-0005-0000-0000-00008D870000}"/>
    <cellStyle name="Percent 3 2 2 2 2 2 4 2" xfId="14490" xr:uid="{00000000-0005-0000-0000-00008E870000}"/>
    <cellStyle name="Percent 3 2 2 2 2 2 4 2 2" xfId="34542" xr:uid="{00000000-0005-0000-0000-00008F870000}"/>
    <cellStyle name="Percent 3 2 2 2 2 2 4 3" xfId="25512" xr:uid="{00000000-0005-0000-0000-000090870000}"/>
    <cellStyle name="Percent 3 2 2 2 2 2 5" xfId="10008" xr:uid="{00000000-0005-0000-0000-000091870000}"/>
    <cellStyle name="Percent 3 2 2 2 2 2 5 2" xfId="30060" xr:uid="{00000000-0005-0000-0000-000092870000}"/>
    <cellStyle name="Percent 3 2 2 2 2 2 6" xfId="21030" xr:uid="{00000000-0005-0000-0000-000093870000}"/>
    <cellStyle name="Percent 3 2 2 2 2 3" xfId="1727" xr:uid="{00000000-0005-0000-0000-000094870000}"/>
    <cellStyle name="Percent 3 2 2 2 2 3 2" xfId="6209" xr:uid="{00000000-0005-0000-0000-000095870000}"/>
    <cellStyle name="Percent 3 2 2 2 2 3 2 2" xfId="15239" xr:uid="{00000000-0005-0000-0000-000096870000}"/>
    <cellStyle name="Percent 3 2 2 2 2 3 2 2 2" xfId="35291" xr:uid="{00000000-0005-0000-0000-000097870000}"/>
    <cellStyle name="Percent 3 2 2 2 2 3 2 3" xfId="26261" xr:uid="{00000000-0005-0000-0000-000098870000}"/>
    <cellStyle name="Percent 3 2 2 2 2 3 3" xfId="10757" xr:uid="{00000000-0005-0000-0000-000099870000}"/>
    <cellStyle name="Percent 3 2 2 2 2 3 3 2" xfId="30809" xr:uid="{00000000-0005-0000-0000-00009A870000}"/>
    <cellStyle name="Percent 3 2 2 2 2 3 4" xfId="21779" xr:uid="{00000000-0005-0000-0000-00009B870000}"/>
    <cellStyle name="Percent 3 2 2 2 2 4" xfId="3221" xr:uid="{00000000-0005-0000-0000-00009C870000}"/>
    <cellStyle name="Percent 3 2 2 2 2 4 2" xfId="7703" xr:uid="{00000000-0005-0000-0000-00009D870000}"/>
    <cellStyle name="Percent 3 2 2 2 2 4 2 2" xfId="16733" xr:uid="{00000000-0005-0000-0000-00009E870000}"/>
    <cellStyle name="Percent 3 2 2 2 2 4 2 2 2" xfId="36785" xr:uid="{00000000-0005-0000-0000-00009F870000}"/>
    <cellStyle name="Percent 3 2 2 2 2 4 2 3" xfId="27755" xr:uid="{00000000-0005-0000-0000-0000A0870000}"/>
    <cellStyle name="Percent 3 2 2 2 2 4 3" xfId="12251" xr:uid="{00000000-0005-0000-0000-0000A1870000}"/>
    <cellStyle name="Percent 3 2 2 2 2 4 3 2" xfId="32303" xr:uid="{00000000-0005-0000-0000-0000A2870000}"/>
    <cellStyle name="Percent 3 2 2 2 2 4 4" xfId="23273" xr:uid="{00000000-0005-0000-0000-0000A3870000}"/>
    <cellStyle name="Percent 3 2 2 2 2 5" xfId="4715" xr:uid="{00000000-0005-0000-0000-0000A4870000}"/>
    <cellStyle name="Percent 3 2 2 2 2 5 2" xfId="13745" xr:uid="{00000000-0005-0000-0000-0000A5870000}"/>
    <cellStyle name="Percent 3 2 2 2 2 5 2 2" xfId="33797" xr:uid="{00000000-0005-0000-0000-0000A6870000}"/>
    <cellStyle name="Percent 3 2 2 2 2 5 3" xfId="24767" xr:uid="{00000000-0005-0000-0000-0000A7870000}"/>
    <cellStyle name="Percent 3 2 2 2 2 6" xfId="9263" xr:uid="{00000000-0005-0000-0000-0000A8870000}"/>
    <cellStyle name="Percent 3 2 2 2 2 6 2" xfId="29315" xr:uid="{00000000-0005-0000-0000-0000A9870000}"/>
    <cellStyle name="Percent 3 2 2 2 2 7" xfId="20285" xr:uid="{00000000-0005-0000-0000-0000AA870000}"/>
    <cellStyle name="Percent 3 2 2 2 3" xfId="419" xr:uid="{00000000-0005-0000-0000-0000AB870000}"/>
    <cellStyle name="Percent 3 2 2 2 3 2" xfId="1166" xr:uid="{00000000-0005-0000-0000-0000AC870000}"/>
    <cellStyle name="Percent 3 2 2 2 3 2 2" xfId="2660" xr:uid="{00000000-0005-0000-0000-0000AD870000}"/>
    <cellStyle name="Percent 3 2 2 2 3 2 2 2" xfId="7142" xr:uid="{00000000-0005-0000-0000-0000AE870000}"/>
    <cellStyle name="Percent 3 2 2 2 3 2 2 2 2" xfId="16172" xr:uid="{00000000-0005-0000-0000-0000AF870000}"/>
    <cellStyle name="Percent 3 2 2 2 3 2 2 2 2 2" xfId="36224" xr:uid="{00000000-0005-0000-0000-0000B0870000}"/>
    <cellStyle name="Percent 3 2 2 2 3 2 2 2 3" xfId="27194" xr:uid="{00000000-0005-0000-0000-0000B1870000}"/>
    <cellStyle name="Percent 3 2 2 2 3 2 2 3" xfId="11690" xr:uid="{00000000-0005-0000-0000-0000B2870000}"/>
    <cellStyle name="Percent 3 2 2 2 3 2 2 3 2" xfId="31742" xr:uid="{00000000-0005-0000-0000-0000B3870000}"/>
    <cellStyle name="Percent 3 2 2 2 3 2 2 4" xfId="22712" xr:uid="{00000000-0005-0000-0000-0000B4870000}"/>
    <cellStyle name="Percent 3 2 2 2 3 2 3" xfId="4154" xr:uid="{00000000-0005-0000-0000-0000B5870000}"/>
    <cellStyle name="Percent 3 2 2 2 3 2 3 2" xfId="8636" xr:uid="{00000000-0005-0000-0000-0000B6870000}"/>
    <cellStyle name="Percent 3 2 2 2 3 2 3 2 2" xfId="17666" xr:uid="{00000000-0005-0000-0000-0000B7870000}"/>
    <cellStyle name="Percent 3 2 2 2 3 2 3 2 2 2" xfId="37718" xr:uid="{00000000-0005-0000-0000-0000B8870000}"/>
    <cellStyle name="Percent 3 2 2 2 3 2 3 2 3" xfId="28688" xr:uid="{00000000-0005-0000-0000-0000B9870000}"/>
    <cellStyle name="Percent 3 2 2 2 3 2 3 3" xfId="13184" xr:uid="{00000000-0005-0000-0000-0000BA870000}"/>
    <cellStyle name="Percent 3 2 2 2 3 2 3 3 2" xfId="33236" xr:uid="{00000000-0005-0000-0000-0000BB870000}"/>
    <cellStyle name="Percent 3 2 2 2 3 2 3 4" xfId="24206" xr:uid="{00000000-0005-0000-0000-0000BC870000}"/>
    <cellStyle name="Percent 3 2 2 2 3 2 4" xfId="5648" xr:uid="{00000000-0005-0000-0000-0000BD870000}"/>
    <cellStyle name="Percent 3 2 2 2 3 2 4 2" xfId="14678" xr:uid="{00000000-0005-0000-0000-0000BE870000}"/>
    <cellStyle name="Percent 3 2 2 2 3 2 4 2 2" xfId="34730" xr:uid="{00000000-0005-0000-0000-0000BF870000}"/>
    <cellStyle name="Percent 3 2 2 2 3 2 4 3" xfId="25700" xr:uid="{00000000-0005-0000-0000-0000C0870000}"/>
    <cellStyle name="Percent 3 2 2 2 3 2 5" xfId="10196" xr:uid="{00000000-0005-0000-0000-0000C1870000}"/>
    <cellStyle name="Percent 3 2 2 2 3 2 5 2" xfId="30248" xr:uid="{00000000-0005-0000-0000-0000C2870000}"/>
    <cellStyle name="Percent 3 2 2 2 3 2 6" xfId="21218" xr:uid="{00000000-0005-0000-0000-0000C3870000}"/>
    <cellStyle name="Percent 3 2 2 2 3 3" xfId="1913" xr:uid="{00000000-0005-0000-0000-0000C4870000}"/>
    <cellStyle name="Percent 3 2 2 2 3 3 2" xfId="6395" xr:uid="{00000000-0005-0000-0000-0000C5870000}"/>
    <cellStyle name="Percent 3 2 2 2 3 3 2 2" xfId="15425" xr:uid="{00000000-0005-0000-0000-0000C6870000}"/>
    <cellStyle name="Percent 3 2 2 2 3 3 2 2 2" xfId="35477" xr:uid="{00000000-0005-0000-0000-0000C7870000}"/>
    <cellStyle name="Percent 3 2 2 2 3 3 2 3" xfId="26447" xr:uid="{00000000-0005-0000-0000-0000C8870000}"/>
    <cellStyle name="Percent 3 2 2 2 3 3 3" xfId="10943" xr:uid="{00000000-0005-0000-0000-0000C9870000}"/>
    <cellStyle name="Percent 3 2 2 2 3 3 3 2" xfId="30995" xr:uid="{00000000-0005-0000-0000-0000CA870000}"/>
    <cellStyle name="Percent 3 2 2 2 3 3 4" xfId="21965" xr:uid="{00000000-0005-0000-0000-0000CB870000}"/>
    <cellStyle name="Percent 3 2 2 2 3 4" xfId="3407" xr:uid="{00000000-0005-0000-0000-0000CC870000}"/>
    <cellStyle name="Percent 3 2 2 2 3 4 2" xfId="7889" xr:uid="{00000000-0005-0000-0000-0000CD870000}"/>
    <cellStyle name="Percent 3 2 2 2 3 4 2 2" xfId="16919" xr:uid="{00000000-0005-0000-0000-0000CE870000}"/>
    <cellStyle name="Percent 3 2 2 2 3 4 2 2 2" xfId="36971" xr:uid="{00000000-0005-0000-0000-0000CF870000}"/>
    <cellStyle name="Percent 3 2 2 2 3 4 2 3" xfId="27941" xr:uid="{00000000-0005-0000-0000-0000D0870000}"/>
    <cellStyle name="Percent 3 2 2 2 3 4 3" xfId="12437" xr:uid="{00000000-0005-0000-0000-0000D1870000}"/>
    <cellStyle name="Percent 3 2 2 2 3 4 3 2" xfId="32489" xr:uid="{00000000-0005-0000-0000-0000D2870000}"/>
    <cellStyle name="Percent 3 2 2 2 3 4 4" xfId="23459" xr:uid="{00000000-0005-0000-0000-0000D3870000}"/>
    <cellStyle name="Percent 3 2 2 2 3 5" xfId="4901" xr:uid="{00000000-0005-0000-0000-0000D4870000}"/>
    <cellStyle name="Percent 3 2 2 2 3 5 2" xfId="13931" xr:uid="{00000000-0005-0000-0000-0000D5870000}"/>
    <cellStyle name="Percent 3 2 2 2 3 5 2 2" xfId="33983" xr:uid="{00000000-0005-0000-0000-0000D6870000}"/>
    <cellStyle name="Percent 3 2 2 2 3 5 3" xfId="24953" xr:uid="{00000000-0005-0000-0000-0000D7870000}"/>
    <cellStyle name="Percent 3 2 2 2 3 6" xfId="9449" xr:uid="{00000000-0005-0000-0000-0000D8870000}"/>
    <cellStyle name="Percent 3 2 2 2 3 6 2" xfId="29501" xr:uid="{00000000-0005-0000-0000-0000D9870000}"/>
    <cellStyle name="Percent 3 2 2 2 3 7" xfId="20471" xr:uid="{00000000-0005-0000-0000-0000DA870000}"/>
    <cellStyle name="Percent 3 2 2 2 4" xfId="605" xr:uid="{00000000-0005-0000-0000-0000DB870000}"/>
    <cellStyle name="Percent 3 2 2 2 4 2" xfId="1352" xr:uid="{00000000-0005-0000-0000-0000DC870000}"/>
    <cellStyle name="Percent 3 2 2 2 4 2 2" xfId="2846" xr:uid="{00000000-0005-0000-0000-0000DD870000}"/>
    <cellStyle name="Percent 3 2 2 2 4 2 2 2" xfId="7328" xr:uid="{00000000-0005-0000-0000-0000DE870000}"/>
    <cellStyle name="Percent 3 2 2 2 4 2 2 2 2" xfId="16358" xr:uid="{00000000-0005-0000-0000-0000DF870000}"/>
    <cellStyle name="Percent 3 2 2 2 4 2 2 2 2 2" xfId="36410" xr:uid="{00000000-0005-0000-0000-0000E0870000}"/>
    <cellStyle name="Percent 3 2 2 2 4 2 2 2 3" xfId="27380" xr:uid="{00000000-0005-0000-0000-0000E1870000}"/>
    <cellStyle name="Percent 3 2 2 2 4 2 2 3" xfId="11876" xr:uid="{00000000-0005-0000-0000-0000E2870000}"/>
    <cellStyle name="Percent 3 2 2 2 4 2 2 3 2" xfId="31928" xr:uid="{00000000-0005-0000-0000-0000E3870000}"/>
    <cellStyle name="Percent 3 2 2 2 4 2 2 4" xfId="22898" xr:uid="{00000000-0005-0000-0000-0000E4870000}"/>
    <cellStyle name="Percent 3 2 2 2 4 2 3" xfId="4340" xr:uid="{00000000-0005-0000-0000-0000E5870000}"/>
    <cellStyle name="Percent 3 2 2 2 4 2 3 2" xfId="8822" xr:uid="{00000000-0005-0000-0000-0000E6870000}"/>
    <cellStyle name="Percent 3 2 2 2 4 2 3 2 2" xfId="17852" xr:uid="{00000000-0005-0000-0000-0000E7870000}"/>
    <cellStyle name="Percent 3 2 2 2 4 2 3 2 2 2" xfId="37904" xr:uid="{00000000-0005-0000-0000-0000E8870000}"/>
    <cellStyle name="Percent 3 2 2 2 4 2 3 2 3" xfId="28874" xr:uid="{00000000-0005-0000-0000-0000E9870000}"/>
    <cellStyle name="Percent 3 2 2 2 4 2 3 3" xfId="13370" xr:uid="{00000000-0005-0000-0000-0000EA870000}"/>
    <cellStyle name="Percent 3 2 2 2 4 2 3 3 2" xfId="33422" xr:uid="{00000000-0005-0000-0000-0000EB870000}"/>
    <cellStyle name="Percent 3 2 2 2 4 2 3 4" xfId="24392" xr:uid="{00000000-0005-0000-0000-0000EC870000}"/>
    <cellStyle name="Percent 3 2 2 2 4 2 4" xfId="5834" xr:uid="{00000000-0005-0000-0000-0000ED870000}"/>
    <cellStyle name="Percent 3 2 2 2 4 2 4 2" xfId="14864" xr:uid="{00000000-0005-0000-0000-0000EE870000}"/>
    <cellStyle name="Percent 3 2 2 2 4 2 4 2 2" xfId="34916" xr:uid="{00000000-0005-0000-0000-0000EF870000}"/>
    <cellStyle name="Percent 3 2 2 2 4 2 4 3" xfId="25886" xr:uid="{00000000-0005-0000-0000-0000F0870000}"/>
    <cellStyle name="Percent 3 2 2 2 4 2 5" xfId="10382" xr:uid="{00000000-0005-0000-0000-0000F1870000}"/>
    <cellStyle name="Percent 3 2 2 2 4 2 5 2" xfId="30434" xr:uid="{00000000-0005-0000-0000-0000F2870000}"/>
    <cellStyle name="Percent 3 2 2 2 4 2 6" xfId="21404" xr:uid="{00000000-0005-0000-0000-0000F3870000}"/>
    <cellStyle name="Percent 3 2 2 2 4 3" xfId="2099" xr:uid="{00000000-0005-0000-0000-0000F4870000}"/>
    <cellStyle name="Percent 3 2 2 2 4 3 2" xfId="6581" xr:uid="{00000000-0005-0000-0000-0000F5870000}"/>
    <cellStyle name="Percent 3 2 2 2 4 3 2 2" xfId="15611" xr:uid="{00000000-0005-0000-0000-0000F6870000}"/>
    <cellStyle name="Percent 3 2 2 2 4 3 2 2 2" xfId="35663" xr:uid="{00000000-0005-0000-0000-0000F7870000}"/>
    <cellStyle name="Percent 3 2 2 2 4 3 2 3" xfId="26633" xr:uid="{00000000-0005-0000-0000-0000F8870000}"/>
    <cellStyle name="Percent 3 2 2 2 4 3 3" xfId="11129" xr:uid="{00000000-0005-0000-0000-0000F9870000}"/>
    <cellStyle name="Percent 3 2 2 2 4 3 3 2" xfId="31181" xr:uid="{00000000-0005-0000-0000-0000FA870000}"/>
    <cellStyle name="Percent 3 2 2 2 4 3 4" xfId="22151" xr:uid="{00000000-0005-0000-0000-0000FB870000}"/>
    <cellStyle name="Percent 3 2 2 2 4 4" xfId="3593" xr:uid="{00000000-0005-0000-0000-0000FC870000}"/>
    <cellStyle name="Percent 3 2 2 2 4 4 2" xfId="8075" xr:uid="{00000000-0005-0000-0000-0000FD870000}"/>
    <cellStyle name="Percent 3 2 2 2 4 4 2 2" xfId="17105" xr:uid="{00000000-0005-0000-0000-0000FE870000}"/>
    <cellStyle name="Percent 3 2 2 2 4 4 2 2 2" xfId="37157" xr:uid="{00000000-0005-0000-0000-0000FF870000}"/>
    <cellStyle name="Percent 3 2 2 2 4 4 2 3" xfId="28127" xr:uid="{00000000-0005-0000-0000-000000880000}"/>
    <cellStyle name="Percent 3 2 2 2 4 4 3" xfId="12623" xr:uid="{00000000-0005-0000-0000-000001880000}"/>
    <cellStyle name="Percent 3 2 2 2 4 4 3 2" xfId="32675" xr:uid="{00000000-0005-0000-0000-000002880000}"/>
    <cellStyle name="Percent 3 2 2 2 4 4 4" xfId="23645" xr:uid="{00000000-0005-0000-0000-000003880000}"/>
    <cellStyle name="Percent 3 2 2 2 4 5" xfId="5087" xr:uid="{00000000-0005-0000-0000-000004880000}"/>
    <cellStyle name="Percent 3 2 2 2 4 5 2" xfId="14117" xr:uid="{00000000-0005-0000-0000-000005880000}"/>
    <cellStyle name="Percent 3 2 2 2 4 5 2 2" xfId="34169" xr:uid="{00000000-0005-0000-0000-000006880000}"/>
    <cellStyle name="Percent 3 2 2 2 4 5 3" xfId="25139" xr:uid="{00000000-0005-0000-0000-000007880000}"/>
    <cellStyle name="Percent 3 2 2 2 4 6" xfId="9635" xr:uid="{00000000-0005-0000-0000-000008880000}"/>
    <cellStyle name="Percent 3 2 2 2 4 6 2" xfId="29687" xr:uid="{00000000-0005-0000-0000-000009880000}"/>
    <cellStyle name="Percent 3 2 2 2 4 7" xfId="20657" xr:uid="{00000000-0005-0000-0000-00000A880000}"/>
    <cellStyle name="Percent 3 2 2 2 5" xfId="792" xr:uid="{00000000-0005-0000-0000-00000B880000}"/>
    <cellStyle name="Percent 3 2 2 2 5 2" xfId="2286" xr:uid="{00000000-0005-0000-0000-00000C880000}"/>
    <cellStyle name="Percent 3 2 2 2 5 2 2" xfId="6768" xr:uid="{00000000-0005-0000-0000-00000D880000}"/>
    <cellStyle name="Percent 3 2 2 2 5 2 2 2" xfId="15798" xr:uid="{00000000-0005-0000-0000-00000E880000}"/>
    <cellStyle name="Percent 3 2 2 2 5 2 2 2 2" xfId="35850" xr:uid="{00000000-0005-0000-0000-00000F880000}"/>
    <cellStyle name="Percent 3 2 2 2 5 2 2 3" xfId="26820" xr:uid="{00000000-0005-0000-0000-000010880000}"/>
    <cellStyle name="Percent 3 2 2 2 5 2 3" xfId="11316" xr:uid="{00000000-0005-0000-0000-000011880000}"/>
    <cellStyle name="Percent 3 2 2 2 5 2 3 2" xfId="31368" xr:uid="{00000000-0005-0000-0000-000012880000}"/>
    <cellStyle name="Percent 3 2 2 2 5 2 4" xfId="22338" xr:uid="{00000000-0005-0000-0000-000013880000}"/>
    <cellStyle name="Percent 3 2 2 2 5 3" xfId="3780" xr:uid="{00000000-0005-0000-0000-000014880000}"/>
    <cellStyle name="Percent 3 2 2 2 5 3 2" xfId="8262" xr:uid="{00000000-0005-0000-0000-000015880000}"/>
    <cellStyle name="Percent 3 2 2 2 5 3 2 2" xfId="17292" xr:uid="{00000000-0005-0000-0000-000016880000}"/>
    <cellStyle name="Percent 3 2 2 2 5 3 2 2 2" xfId="37344" xr:uid="{00000000-0005-0000-0000-000017880000}"/>
    <cellStyle name="Percent 3 2 2 2 5 3 2 3" xfId="28314" xr:uid="{00000000-0005-0000-0000-000018880000}"/>
    <cellStyle name="Percent 3 2 2 2 5 3 3" xfId="12810" xr:uid="{00000000-0005-0000-0000-000019880000}"/>
    <cellStyle name="Percent 3 2 2 2 5 3 3 2" xfId="32862" xr:uid="{00000000-0005-0000-0000-00001A880000}"/>
    <cellStyle name="Percent 3 2 2 2 5 3 4" xfId="23832" xr:uid="{00000000-0005-0000-0000-00001B880000}"/>
    <cellStyle name="Percent 3 2 2 2 5 4" xfId="5274" xr:uid="{00000000-0005-0000-0000-00001C880000}"/>
    <cellStyle name="Percent 3 2 2 2 5 4 2" xfId="14304" xr:uid="{00000000-0005-0000-0000-00001D880000}"/>
    <cellStyle name="Percent 3 2 2 2 5 4 2 2" xfId="34356" xr:uid="{00000000-0005-0000-0000-00001E880000}"/>
    <cellStyle name="Percent 3 2 2 2 5 4 3" xfId="25326" xr:uid="{00000000-0005-0000-0000-00001F880000}"/>
    <cellStyle name="Percent 3 2 2 2 5 5" xfId="9822" xr:uid="{00000000-0005-0000-0000-000020880000}"/>
    <cellStyle name="Percent 3 2 2 2 5 5 2" xfId="29874" xr:uid="{00000000-0005-0000-0000-000021880000}"/>
    <cellStyle name="Percent 3 2 2 2 5 6" xfId="20844" xr:uid="{00000000-0005-0000-0000-000022880000}"/>
    <cellStyle name="Percent 3 2 2 2 6" xfId="1541" xr:uid="{00000000-0005-0000-0000-000023880000}"/>
    <cellStyle name="Percent 3 2 2 2 6 2" xfId="6023" xr:uid="{00000000-0005-0000-0000-000024880000}"/>
    <cellStyle name="Percent 3 2 2 2 6 2 2" xfId="15053" xr:uid="{00000000-0005-0000-0000-000025880000}"/>
    <cellStyle name="Percent 3 2 2 2 6 2 2 2" xfId="35105" xr:uid="{00000000-0005-0000-0000-000026880000}"/>
    <cellStyle name="Percent 3 2 2 2 6 2 3" xfId="26075" xr:uid="{00000000-0005-0000-0000-000027880000}"/>
    <cellStyle name="Percent 3 2 2 2 6 3" xfId="10571" xr:uid="{00000000-0005-0000-0000-000028880000}"/>
    <cellStyle name="Percent 3 2 2 2 6 3 2" xfId="30623" xr:uid="{00000000-0005-0000-0000-000029880000}"/>
    <cellStyle name="Percent 3 2 2 2 6 4" xfId="21593" xr:uid="{00000000-0005-0000-0000-00002A880000}"/>
    <cellStyle name="Percent 3 2 2 2 7" xfId="3035" xr:uid="{00000000-0005-0000-0000-00002B880000}"/>
    <cellStyle name="Percent 3 2 2 2 7 2" xfId="7517" xr:uid="{00000000-0005-0000-0000-00002C880000}"/>
    <cellStyle name="Percent 3 2 2 2 7 2 2" xfId="16547" xr:uid="{00000000-0005-0000-0000-00002D880000}"/>
    <cellStyle name="Percent 3 2 2 2 7 2 2 2" xfId="36599" xr:uid="{00000000-0005-0000-0000-00002E880000}"/>
    <cellStyle name="Percent 3 2 2 2 7 2 3" xfId="27569" xr:uid="{00000000-0005-0000-0000-00002F880000}"/>
    <cellStyle name="Percent 3 2 2 2 7 3" xfId="12065" xr:uid="{00000000-0005-0000-0000-000030880000}"/>
    <cellStyle name="Percent 3 2 2 2 7 3 2" xfId="32117" xr:uid="{00000000-0005-0000-0000-000031880000}"/>
    <cellStyle name="Percent 3 2 2 2 7 4" xfId="23087" xr:uid="{00000000-0005-0000-0000-000032880000}"/>
    <cellStyle name="Percent 3 2 2 2 8" xfId="4529" xr:uid="{00000000-0005-0000-0000-000033880000}"/>
    <cellStyle name="Percent 3 2 2 2 8 2" xfId="13559" xr:uid="{00000000-0005-0000-0000-000034880000}"/>
    <cellStyle name="Percent 3 2 2 2 8 2 2" xfId="33611" xr:uid="{00000000-0005-0000-0000-000035880000}"/>
    <cellStyle name="Percent 3 2 2 2 8 3" xfId="24581" xr:uid="{00000000-0005-0000-0000-000036880000}"/>
    <cellStyle name="Percent 3 2 2 2 9" xfId="9077" xr:uid="{00000000-0005-0000-0000-000037880000}"/>
    <cellStyle name="Percent 3 2 2 2 9 2" xfId="29129" xr:uid="{00000000-0005-0000-0000-000038880000}"/>
    <cellStyle name="Percent 3 2 2 3" xfId="70" xr:uid="{00000000-0005-0000-0000-000039880000}"/>
    <cellStyle name="Percent 3 2 2 3 10" xfId="20122" xr:uid="{00000000-0005-0000-0000-00003A880000}"/>
    <cellStyle name="Percent 3 2 2 3 2" xfId="256" xr:uid="{00000000-0005-0000-0000-00003B880000}"/>
    <cellStyle name="Percent 3 2 2 3 2 2" xfId="1001" xr:uid="{00000000-0005-0000-0000-00003C880000}"/>
    <cellStyle name="Percent 3 2 2 3 2 2 2" xfId="2495" xr:uid="{00000000-0005-0000-0000-00003D880000}"/>
    <cellStyle name="Percent 3 2 2 3 2 2 2 2" xfId="6977" xr:uid="{00000000-0005-0000-0000-00003E880000}"/>
    <cellStyle name="Percent 3 2 2 3 2 2 2 2 2" xfId="16007" xr:uid="{00000000-0005-0000-0000-00003F880000}"/>
    <cellStyle name="Percent 3 2 2 3 2 2 2 2 2 2" xfId="36059" xr:uid="{00000000-0005-0000-0000-000040880000}"/>
    <cellStyle name="Percent 3 2 2 3 2 2 2 2 3" xfId="27029" xr:uid="{00000000-0005-0000-0000-000041880000}"/>
    <cellStyle name="Percent 3 2 2 3 2 2 2 3" xfId="11525" xr:uid="{00000000-0005-0000-0000-000042880000}"/>
    <cellStyle name="Percent 3 2 2 3 2 2 2 3 2" xfId="31577" xr:uid="{00000000-0005-0000-0000-000043880000}"/>
    <cellStyle name="Percent 3 2 2 3 2 2 2 4" xfId="22547" xr:uid="{00000000-0005-0000-0000-000044880000}"/>
    <cellStyle name="Percent 3 2 2 3 2 2 3" xfId="3989" xr:uid="{00000000-0005-0000-0000-000045880000}"/>
    <cellStyle name="Percent 3 2 2 3 2 2 3 2" xfId="8471" xr:uid="{00000000-0005-0000-0000-000046880000}"/>
    <cellStyle name="Percent 3 2 2 3 2 2 3 2 2" xfId="17501" xr:uid="{00000000-0005-0000-0000-000047880000}"/>
    <cellStyle name="Percent 3 2 2 3 2 2 3 2 2 2" xfId="37553" xr:uid="{00000000-0005-0000-0000-000048880000}"/>
    <cellStyle name="Percent 3 2 2 3 2 2 3 2 3" xfId="28523" xr:uid="{00000000-0005-0000-0000-000049880000}"/>
    <cellStyle name="Percent 3 2 2 3 2 2 3 3" xfId="13019" xr:uid="{00000000-0005-0000-0000-00004A880000}"/>
    <cellStyle name="Percent 3 2 2 3 2 2 3 3 2" xfId="33071" xr:uid="{00000000-0005-0000-0000-00004B880000}"/>
    <cellStyle name="Percent 3 2 2 3 2 2 3 4" xfId="24041" xr:uid="{00000000-0005-0000-0000-00004C880000}"/>
    <cellStyle name="Percent 3 2 2 3 2 2 4" xfId="5483" xr:uid="{00000000-0005-0000-0000-00004D880000}"/>
    <cellStyle name="Percent 3 2 2 3 2 2 4 2" xfId="14513" xr:uid="{00000000-0005-0000-0000-00004E880000}"/>
    <cellStyle name="Percent 3 2 2 3 2 2 4 2 2" xfId="34565" xr:uid="{00000000-0005-0000-0000-00004F880000}"/>
    <cellStyle name="Percent 3 2 2 3 2 2 4 3" xfId="25535" xr:uid="{00000000-0005-0000-0000-000050880000}"/>
    <cellStyle name="Percent 3 2 2 3 2 2 5" xfId="10031" xr:uid="{00000000-0005-0000-0000-000051880000}"/>
    <cellStyle name="Percent 3 2 2 3 2 2 5 2" xfId="30083" xr:uid="{00000000-0005-0000-0000-000052880000}"/>
    <cellStyle name="Percent 3 2 2 3 2 2 6" xfId="21053" xr:uid="{00000000-0005-0000-0000-000053880000}"/>
    <cellStyle name="Percent 3 2 2 3 2 3" xfId="1750" xr:uid="{00000000-0005-0000-0000-000054880000}"/>
    <cellStyle name="Percent 3 2 2 3 2 3 2" xfId="6232" xr:uid="{00000000-0005-0000-0000-000055880000}"/>
    <cellStyle name="Percent 3 2 2 3 2 3 2 2" xfId="15262" xr:uid="{00000000-0005-0000-0000-000056880000}"/>
    <cellStyle name="Percent 3 2 2 3 2 3 2 2 2" xfId="35314" xr:uid="{00000000-0005-0000-0000-000057880000}"/>
    <cellStyle name="Percent 3 2 2 3 2 3 2 3" xfId="26284" xr:uid="{00000000-0005-0000-0000-000058880000}"/>
    <cellStyle name="Percent 3 2 2 3 2 3 3" xfId="10780" xr:uid="{00000000-0005-0000-0000-000059880000}"/>
    <cellStyle name="Percent 3 2 2 3 2 3 3 2" xfId="30832" xr:uid="{00000000-0005-0000-0000-00005A880000}"/>
    <cellStyle name="Percent 3 2 2 3 2 3 4" xfId="21802" xr:uid="{00000000-0005-0000-0000-00005B880000}"/>
    <cellStyle name="Percent 3 2 2 3 2 4" xfId="3244" xr:uid="{00000000-0005-0000-0000-00005C880000}"/>
    <cellStyle name="Percent 3 2 2 3 2 4 2" xfId="7726" xr:uid="{00000000-0005-0000-0000-00005D880000}"/>
    <cellStyle name="Percent 3 2 2 3 2 4 2 2" xfId="16756" xr:uid="{00000000-0005-0000-0000-00005E880000}"/>
    <cellStyle name="Percent 3 2 2 3 2 4 2 2 2" xfId="36808" xr:uid="{00000000-0005-0000-0000-00005F880000}"/>
    <cellStyle name="Percent 3 2 2 3 2 4 2 3" xfId="27778" xr:uid="{00000000-0005-0000-0000-000060880000}"/>
    <cellStyle name="Percent 3 2 2 3 2 4 3" xfId="12274" xr:uid="{00000000-0005-0000-0000-000061880000}"/>
    <cellStyle name="Percent 3 2 2 3 2 4 3 2" xfId="32326" xr:uid="{00000000-0005-0000-0000-000062880000}"/>
    <cellStyle name="Percent 3 2 2 3 2 4 4" xfId="23296" xr:uid="{00000000-0005-0000-0000-000063880000}"/>
    <cellStyle name="Percent 3 2 2 3 2 5" xfId="4738" xr:uid="{00000000-0005-0000-0000-000064880000}"/>
    <cellStyle name="Percent 3 2 2 3 2 5 2" xfId="13768" xr:uid="{00000000-0005-0000-0000-000065880000}"/>
    <cellStyle name="Percent 3 2 2 3 2 5 2 2" xfId="33820" xr:uid="{00000000-0005-0000-0000-000066880000}"/>
    <cellStyle name="Percent 3 2 2 3 2 5 3" xfId="24790" xr:uid="{00000000-0005-0000-0000-000067880000}"/>
    <cellStyle name="Percent 3 2 2 3 2 6" xfId="9286" xr:uid="{00000000-0005-0000-0000-000068880000}"/>
    <cellStyle name="Percent 3 2 2 3 2 6 2" xfId="29338" xr:uid="{00000000-0005-0000-0000-000069880000}"/>
    <cellStyle name="Percent 3 2 2 3 2 7" xfId="20308" xr:uid="{00000000-0005-0000-0000-00006A880000}"/>
    <cellStyle name="Percent 3 2 2 3 3" xfId="442" xr:uid="{00000000-0005-0000-0000-00006B880000}"/>
    <cellStyle name="Percent 3 2 2 3 3 2" xfId="1189" xr:uid="{00000000-0005-0000-0000-00006C880000}"/>
    <cellStyle name="Percent 3 2 2 3 3 2 2" xfId="2683" xr:uid="{00000000-0005-0000-0000-00006D880000}"/>
    <cellStyle name="Percent 3 2 2 3 3 2 2 2" xfId="7165" xr:uid="{00000000-0005-0000-0000-00006E880000}"/>
    <cellStyle name="Percent 3 2 2 3 3 2 2 2 2" xfId="16195" xr:uid="{00000000-0005-0000-0000-00006F880000}"/>
    <cellStyle name="Percent 3 2 2 3 3 2 2 2 2 2" xfId="36247" xr:uid="{00000000-0005-0000-0000-000070880000}"/>
    <cellStyle name="Percent 3 2 2 3 3 2 2 2 3" xfId="27217" xr:uid="{00000000-0005-0000-0000-000071880000}"/>
    <cellStyle name="Percent 3 2 2 3 3 2 2 3" xfId="11713" xr:uid="{00000000-0005-0000-0000-000072880000}"/>
    <cellStyle name="Percent 3 2 2 3 3 2 2 3 2" xfId="31765" xr:uid="{00000000-0005-0000-0000-000073880000}"/>
    <cellStyle name="Percent 3 2 2 3 3 2 2 4" xfId="22735" xr:uid="{00000000-0005-0000-0000-000074880000}"/>
    <cellStyle name="Percent 3 2 2 3 3 2 3" xfId="4177" xr:uid="{00000000-0005-0000-0000-000075880000}"/>
    <cellStyle name="Percent 3 2 2 3 3 2 3 2" xfId="8659" xr:uid="{00000000-0005-0000-0000-000076880000}"/>
    <cellStyle name="Percent 3 2 2 3 3 2 3 2 2" xfId="17689" xr:uid="{00000000-0005-0000-0000-000077880000}"/>
    <cellStyle name="Percent 3 2 2 3 3 2 3 2 2 2" xfId="37741" xr:uid="{00000000-0005-0000-0000-000078880000}"/>
    <cellStyle name="Percent 3 2 2 3 3 2 3 2 3" xfId="28711" xr:uid="{00000000-0005-0000-0000-000079880000}"/>
    <cellStyle name="Percent 3 2 2 3 3 2 3 3" xfId="13207" xr:uid="{00000000-0005-0000-0000-00007A880000}"/>
    <cellStyle name="Percent 3 2 2 3 3 2 3 3 2" xfId="33259" xr:uid="{00000000-0005-0000-0000-00007B880000}"/>
    <cellStyle name="Percent 3 2 2 3 3 2 3 4" xfId="24229" xr:uid="{00000000-0005-0000-0000-00007C880000}"/>
    <cellStyle name="Percent 3 2 2 3 3 2 4" xfId="5671" xr:uid="{00000000-0005-0000-0000-00007D880000}"/>
    <cellStyle name="Percent 3 2 2 3 3 2 4 2" xfId="14701" xr:uid="{00000000-0005-0000-0000-00007E880000}"/>
    <cellStyle name="Percent 3 2 2 3 3 2 4 2 2" xfId="34753" xr:uid="{00000000-0005-0000-0000-00007F880000}"/>
    <cellStyle name="Percent 3 2 2 3 3 2 4 3" xfId="25723" xr:uid="{00000000-0005-0000-0000-000080880000}"/>
    <cellStyle name="Percent 3 2 2 3 3 2 5" xfId="10219" xr:uid="{00000000-0005-0000-0000-000081880000}"/>
    <cellStyle name="Percent 3 2 2 3 3 2 5 2" xfId="30271" xr:uid="{00000000-0005-0000-0000-000082880000}"/>
    <cellStyle name="Percent 3 2 2 3 3 2 6" xfId="21241" xr:uid="{00000000-0005-0000-0000-000083880000}"/>
    <cellStyle name="Percent 3 2 2 3 3 3" xfId="1936" xr:uid="{00000000-0005-0000-0000-000084880000}"/>
    <cellStyle name="Percent 3 2 2 3 3 3 2" xfId="6418" xr:uid="{00000000-0005-0000-0000-000085880000}"/>
    <cellStyle name="Percent 3 2 2 3 3 3 2 2" xfId="15448" xr:uid="{00000000-0005-0000-0000-000086880000}"/>
    <cellStyle name="Percent 3 2 2 3 3 3 2 2 2" xfId="35500" xr:uid="{00000000-0005-0000-0000-000087880000}"/>
    <cellStyle name="Percent 3 2 2 3 3 3 2 3" xfId="26470" xr:uid="{00000000-0005-0000-0000-000088880000}"/>
    <cellStyle name="Percent 3 2 2 3 3 3 3" xfId="10966" xr:uid="{00000000-0005-0000-0000-000089880000}"/>
    <cellStyle name="Percent 3 2 2 3 3 3 3 2" xfId="31018" xr:uid="{00000000-0005-0000-0000-00008A880000}"/>
    <cellStyle name="Percent 3 2 2 3 3 3 4" xfId="21988" xr:uid="{00000000-0005-0000-0000-00008B880000}"/>
    <cellStyle name="Percent 3 2 2 3 3 4" xfId="3430" xr:uid="{00000000-0005-0000-0000-00008C880000}"/>
    <cellStyle name="Percent 3 2 2 3 3 4 2" xfId="7912" xr:uid="{00000000-0005-0000-0000-00008D880000}"/>
    <cellStyle name="Percent 3 2 2 3 3 4 2 2" xfId="16942" xr:uid="{00000000-0005-0000-0000-00008E880000}"/>
    <cellStyle name="Percent 3 2 2 3 3 4 2 2 2" xfId="36994" xr:uid="{00000000-0005-0000-0000-00008F880000}"/>
    <cellStyle name="Percent 3 2 2 3 3 4 2 3" xfId="27964" xr:uid="{00000000-0005-0000-0000-000090880000}"/>
    <cellStyle name="Percent 3 2 2 3 3 4 3" xfId="12460" xr:uid="{00000000-0005-0000-0000-000091880000}"/>
    <cellStyle name="Percent 3 2 2 3 3 4 3 2" xfId="32512" xr:uid="{00000000-0005-0000-0000-000092880000}"/>
    <cellStyle name="Percent 3 2 2 3 3 4 4" xfId="23482" xr:uid="{00000000-0005-0000-0000-000093880000}"/>
    <cellStyle name="Percent 3 2 2 3 3 5" xfId="4924" xr:uid="{00000000-0005-0000-0000-000094880000}"/>
    <cellStyle name="Percent 3 2 2 3 3 5 2" xfId="13954" xr:uid="{00000000-0005-0000-0000-000095880000}"/>
    <cellStyle name="Percent 3 2 2 3 3 5 2 2" xfId="34006" xr:uid="{00000000-0005-0000-0000-000096880000}"/>
    <cellStyle name="Percent 3 2 2 3 3 5 3" xfId="24976" xr:uid="{00000000-0005-0000-0000-000097880000}"/>
    <cellStyle name="Percent 3 2 2 3 3 6" xfId="9472" xr:uid="{00000000-0005-0000-0000-000098880000}"/>
    <cellStyle name="Percent 3 2 2 3 3 6 2" xfId="29524" xr:uid="{00000000-0005-0000-0000-000099880000}"/>
    <cellStyle name="Percent 3 2 2 3 3 7" xfId="20494" xr:uid="{00000000-0005-0000-0000-00009A880000}"/>
    <cellStyle name="Percent 3 2 2 3 4" xfId="628" xr:uid="{00000000-0005-0000-0000-00009B880000}"/>
    <cellStyle name="Percent 3 2 2 3 4 2" xfId="1375" xr:uid="{00000000-0005-0000-0000-00009C880000}"/>
    <cellStyle name="Percent 3 2 2 3 4 2 2" xfId="2869" xr:uid="{00000000-0005-0000-0000-00009D880000}"/>
    <cellStyle name="Percent 3 2 2 3 4 2 2 2" xfId="7351" xr:uid="{00000000-0005-0000-0000-00009E880000}"/>
    <cellStyle name="Percent 3 2 2 3 4 2 2 2 2" xfId="16381" xr:uid="{00000000-0005-0000-0000-00009F880000}"/>
    <cellStyle name="Percent 3 2 2 3 4 2 2 2 2 2" xfId="36433" xr:uid="{00000000-0005-0000-0000-0000A0880000}"/>
    <cellStyle name="Percent 3 2 2 3 4 2 2 2 3" xfId="27403" xr:uid="{00000000-0005-0000-0000-0000A1880000}"/>
    <cellStyle name="Percent 3 2 2 3 4 2 2 3" xfId="11899" xr:uid="{00000000-0005-0000-0000-0000A2880000}"/>
    <cellStyle name="Percent 3 2 2 3 4 2 2 3 2" xfId="31951" xr:uid="{00000000-0005-0000-0000-0000A3880000}"/>
    <cellStyle name="Percent 3 2 2 3 4 2 2 4" xfId="22921" xr:uid="{00000000-0005-0000-0000-0000A4880000}"/>
    <cellStyle name="Percent 3 2 2 3 4 2 3" xfId="4363" xr:uid="{00000000-0005-0000-0000-0000A5880000}"/>
    <cellStyle name="Percent 3 2 2 3 4 2 3 2" xfId="8845" xr:uid="{00000000-0005-0000-0000-0000A6880000}"/>
    <cellStyle name="Percent 3 2 2 3 4 2 3 2 2" xfId="17875" xr:uid="{00000000-0005-0000-0000-0000A7880000}"/>
    <cellStyle name="Percent 3 2 2 3 4 2 3 2 2 2" xfId="37927" xr:uid="{00000000-0005-0000-0000-0000A8880000}"/>
    <cellStyle name="Percent 3 2 2 3 4 2 3 2 3" xfId="28897" xr:uid="{00000000-0005-0000-0000-0000A9880000}"/>
    <cellStyle name="Percent 3 2 2 3 4 2 3 3" xfId="13393" xr:uid="{00000000-0005-0000-0000-0000AA880000}"/>
    <cellStyle name="Percent 3 2 2 3 4 2 3 3 2" xfId="33445" xr:uid="{00000000-0005-0000-0000-0000AB880000}"/>
    <cellStyle name="Percent 3 2 2 3 4 2 3 4" xfId="24415" xr:uid="{00000000-0005-0000-0000-0000AC880000}"/>
    <cellStyle name="Percent 3 2 2 3 4 2 4" xfId="5857" xr:uid="{00000000-0005-0000-0000-0000AD880000}"/>
    <cellStyle name="Percent 3 2 2 3 4 2 4 2" xfId="14887" xr:uid="{00000000-0005-0000-0000-0000AE880000}"/>
    <cellStyle name="Percent 3 2 2 3 4 2 4 2 2" xfId="34939" xr:uid="{00000000-0005-0000-0000-0000AF880000}"/>
    <cellStyle name="Percent 3 2 2 3 4 2 4 3" xfId="25909" xr:uid="{00000000-0005-0000-0000-0000B0880000}"/>
    <cellStyle name="Percent 3 2 2 3 4 2 5" xfId="10405" xr:uid="{00000000-0005-0000-0000-0000B1880000}"/>
    <cellStyle name="Percent 3 2 2 3 4 2 5 2" xfId="30457" xr:uid="{00000000-0005-0000-0000-0000B2880000}"/>
    <cellStyle name="Percent 3 2 2 3 4 2 6" xfId="21427" xr:uid="{00000000-0005-0000-0000-0000B3880000}"/>
    <cellStyle name="Percent 3 2 2 3 4 3" xfId="2122" xr:uid="{00000000-0005-0000-0000-0000B4880000}"/>
    <cellStyle name="Percent 3 2 2 3 4 3 2" xfId="6604" xr:uid="{00000000-0005-0000-0000-0000B5880000}"/>
    <cellStyle name="Percent 3 2 2 3 4 3 2 2" xfId="15634" xr:uid="{00000000-0005-0000-0000-0000B6880000}"/>
    <cellStyle name="Percent 3 2 2 3 4 3 2 2 2" xfId="35686" xr:uid="{00000000-0005-0000-0000-0000B7880000}"/>
    <cellStyle name="Percent 3 2 2 3 4 3 2 3" xfId="26656" xr:uid="{00000000-0005-0000-0000-0000B8880000}"/>
    <cellStyle name="Percent 3 2 2 3 4 3 3" xfId="11152" xr:uid="{00000000-0005-0000-0000-0000B9880000}"/>
    <cellStyle name="Percent 3 2 2 3 4 3 3 2" xfId="31204" xr:uid="{00000000-0005-0000-0000-0000BA880000}"/>
    <cellStyle name="Percent 3 2 2 3 4 3 4" xfId="22174" xr:uid="{00000000-0005-0000-0000-0000BB880000}"/>
    <cellStyle name="Percent 3 2 2 3 4 4" xfId="3616" xr:uid="{00000000-0005-0000-0000-0000BC880000}"/>
    <cellStyle name="Percent 3 2 2 3 4 4 2" xfId="8098" xr:uid="{00000000-0005-0000-0000-0000BD880000}"/>
    <cellStyle name="Percent 3 2 2 3 4 4 2 2" xfId="17128" xr:uid="{00000000-0005-0000-0000-0000BE880000}"/>
    <cellStyle name="Percent 3 2 2 3 4 4 2 2 2" xfId="37180" xr:uid="{00000000-0005-0000-0000-0000BF880000}"/>
    <cellStyle name="Percent 3 2 2 3 4 4 2 3" xfId="28150" xr:uid="{00000000-0005-0000-0000-0000C0880000}"/>
    <cellStyle name="Percent 3 2 2 3 4 4 3" xfId="12646" xr:uid="{00000000-0005-0000-0000-0000C1880000}"/>
    <cellStyle name="Percent 3 2 2 3 4 4 3 2" xfId="32698" xr:uid="{00000000-0005-0000-0000-0000C2880000}"/>
    <cellStyle name="Percent 3 2 2 3 4 4 4" xfId="23668" xr:uid="{00000000-0005-0000-0000-0000C3880000}"/>
    <cellStyle name="Percent 3 2 2 3 4 5" xfId="5110" xr:uid="{00000000-0005-0000-0000-0000C4880000}"/>
    <cellStyle name="Percent 3 2 2 3 4 5 2" xfId="14140" xr:uid="{00000000-0005-0000-0000-0000C5880000}"/>
    <cellStyle name="Percent 3 2 2 3 4 5 2 2" xfId="34192" xr:uid="{00000000-0005-0000-0000-0000C6880000}"/>
    <cellStyle name="Percent 3 2 2 3 4 5 3" xfId="25162" xr:uid="{00000000-0005-0000-0000-0000C7880000}"/>
    <cellStyle name="Percent 3 2 2 3 4 6" xfId="9658" xr:uid="{00000000-0005-0000-0000-0000C8880000}"/>
    <cellStyle name="Percent 3 2 2 3 4 6 2" xfId="29710" xr:uid="{00000000-0005-0000-0000-0000C9880000}"/>
    <cellStyle name="Percent 3 2 2 3 4 7" xfId="20680" xr:uid="{00000000-0005-0000-0000-0000CA880000}"/>
    <cellStyle name="Percent 3 2 2 3 5" xfId="815" xr:uid="{00000000-0005-0000-0000-0000CB880000}"/>
    <cellStyle name="Percent 3 2 2 3 5 2" xfId="2309" xr:uid="{00000000-0005-0000-0000-0000CC880000}"/>
    <cellStyle name="Percent 3 2 2 3 5 2 2" xfId="6791" xr:uid="{00000000-0005-0000-0000-0000CD880000}"/>
    <cellStyle name="Percent 3 2 2 3 5 2 2 2" xfId="15821" xr:uid="{00000000-0005-0000-0000-0000CE880000}"/>
    <cellStyle name="Percent 3 2 2 3 5 2 2 2 2" xfId="35873" xr:uid="{00000000-0005-0000-0000-0000CF880000}"/>
    <cellStyle name="Percent 3 2 2 3 5 2 2 3" xfId="26843" xr:uid="{00000000-0005-0000-0000-0000D0880000}"/>
    <cellStyle name="Percent 3 2 2 3 5 2 3" xfId="11339" xr:uid="{00000000-0005-0000-0000-0000D1880000}"/>
    <cellStyle name="Percent 3 2 2 3 5 2 3 2" xfId="31391" xr:uid="{00000000-0005-0000-0000-0000D2880000}"/>
    <cellStyle name="Percent 3 2 2 3 5 2 4" xfId="22361" xr:uid="{00000000-0005-0000-0000-0000D3880000}"/>
    <cellStyle name="Percent 3 2 2 3 5 3" xfId="3803" xr:uid="{00000000-0005-0000-0000-0000D4880000}"/>
    <cellStyle name="Percent 3 2 2 3 5 3 2" xfId="8285" xr:uid="{00000000-0005-0000-0000-0000D5880000}"/>
    <cellStyle name="Percent 3 2 2 3 5 3 2 2" xfId="17315" xr:uid="{00000000-0005-0000-0000-0000D6880000}"/>
    <cellStyle name="Percent 3 2 2 3 5 3 2 2 2" xfId="37367" xr:uid="{00000000-0005-0000-0000-0000D7880000}"/>
    <cellStyle name="Percent 3 2 2 3 5 3 2 3" xfId="28337" xr:uid="{00000000-0005-0000-0000-0000D8880000}"/>
    <cellStyle name="Percent 3 2 2 3 5 3 3" xfId="12833" xr:uid="{00000000-0005-0000-0000-0000D9880000}"/>
    <cellStyle name="Percent 3 2 2 3 5 3 3 2" xfId="32885" xr:uid="{00000000-0005-0000-0000-0000DA880000}"/>
    <cellStyle name="Percent 3 2 2 3 5 3 4" xfId="23855" xr:uid="{00000000-0005-0000-0000-0000DB880000}"/>
    <cellStyle name="Percent 3 2 2 3 5 4" xfId="5297" xr:uid="{00000000-0005-0000-0000-0000DC880000}"/>
    <cellStyle name="Percent 3 2 2 3 5 4 2" xfId="14327" xr:uid="{00000000-0005-0000-0000-0000DD880000}"/>
    <cellStyle name="Percent 3 2 2 3 5 4 2 2" xfId="34379" xr:uid="{00000000-0005-0000-0000-0000DE880000}"/>
    <cellStyle name="Percent 3 2 2 3 5 4 3" xfId="25349" xr:uid="{00000000-0005-0000-0000-0000DF880000}"/>
    <cellStyle name="Percent 3 2 2 3 5 5" xfId="9845" xr:uid="{00000000-0005-0000-0000-0000E0880000}"/>
    <cellStyle name="Percent 3 2 2 3 5 5 2" xfId="29897" xr:uid="{00000000-0005-0000-0000-0000E1880000}"/>
    <cellStyle name="Percent 3 2 2 3 5 6" xfId="20867" xr:uid="{00000000-0005-0000-0000-0000E2880000}"/>
    <cellStyle name="Percent 3 2 2 3 6" xfId="1564" xr:uid="{00000000-0005-0000-0000-0000E3880000}"/>
    <cellStyle name="Percent 3 2 2 3 6 2" xfId="6046" xr:uid="{00000000-0005-0000-0000-0000E4880000}"/>
    <cellStyle name="Percent 3 2 2 3 6 2 2" xfId="15076" xr:uid="{00000000-0005-0000-0000-0000E5880000}"/>
    <cellStyle name="Percent 3 2 2 3 6 2 2 2" xfId="35128" xr:uid="{00000000-0005-0000-0000-0000E6880000}"/>
    <cellStyle name="Percent 3 2 2 3 6 2 3" xfId="26098" xr:uid="{00000000-0005-0000-0000-0000E7880000}"/>
    <cellStyle name="Percent 3 2 2 3 6 3" xfId="10594" xr:uid="{00000000-0005-0000-0000-0000E8880000}"/>
    <cellStyle name="Percent 3 2 2 3 6 3 2" xfId="30646" xr:uid="{00000000-0005-0000-0000-0000E9880000}"/>
    <cellStyle name="Percent 3 2 2 3 6 4" xfId="21616" xr:uid="{00000000-0005-0000-0000-0000EA880000}"/>
    <cellStyle name="Percent 3 2 2 3 7" xfId="3058" xr:uid="{00000000-0005-0000-0000-0000EB880000}"/>
    <cellStyle name="Percent 3 2 2 3 7 2" xfId="7540" xr:uid="{00000000-0005-0000-0000-0000EC880000}"/>
    <cellStyle name="Percent 3 2 2 3 7 2 2" xfId="16570" xr:uid="{00000000-0005-0000-0000-0000ED880000}"/>
    <cellStyle name="Percent 3 2 2 3 7 2 2 2" xfId="36622" xr:uid="{00000000-0005-0000-0000-0000EE880000}"/>
    <cellStyle name="Percent 3 2 2 3 7 2 3" xfId="27592" xr:uid="{00000000-0005-0000-0000-0000EF880000}"/>
    <cellStyle name="Percent 3 2 2 3 7 3" xfId="12088" xr:uid="{00000000-0005-0000-0000-0000F0880000}"/>
    <cellStyle name="Percent 3 2 2 3 7 3 2" xfId="32140" xr:uid="{00000000-0005-0000-0000-0000F1880000}"/>
    <cellStyle name="Percent 3 2 2 3 7 4" xfId="23110" xr:uid="{00000000-0005-0000-0000-0000F2880000}"/>
    <cellStyle name="Percent 3 2 2 3 8" xfId="4552" xr:uid="{00000000-0005-0000-0000-0000F3880000}"/>
    <cellStyle name="Percent 3 2 2 3 8 2" xfId="13582" xr:uid="{00000000-0005-0000-0000-0000F4880000}"/>
    <cellStyle name="Percent 3 2 2 3 8 2 2" xfId="33634" xr:uid="{00000000-0005-0000-0000-0000F5880000}"/>
    <cellStyle name="Percent 3 2 2 3 8 3" xfId="24604" xr:uid="{00000000-0005-0000-0000-0000F6880000}"/>
    <cellStyle name="Percent 3 2 2 3 9" xfId="9100" xr:uid="{00000000-0005-0000-0000-0000F7880000}"/>
    <cellStyle name="Percent 3 2 2 3 9 2" xfId="29152" xr:uid="{00000000-0005-0000-0000-0000F8880000}"/>
    <cellStyle name="Percent 3 2 2 4" xfId="94" xr:uid="{00000000-0005-0000-0000-0000F9880000}"/>
    <cellStyle name="Percent 3 2 2 4 10" xfId="20146" xr:uid="{00000000-0005-0000-0000-0000FA880000}"/>
    <cellStyle name="Percent 3 2 2 4 2" xfId="280" xr:uid="{00000000-0005-0000-0000-0000FB880000}"/>
    <cellStyle name="Percent 3 2 2 4 2 2" xfId="1024" xr:uid="{00000000-0005-0000-0000-0000FC880000}"/>
    <cellStyle name="Percent 3 2 2 4 2 2 2" xfId="2518" xr:uid="{00000000-0005-0000-0000-0000FD880000}"/>
    <cellStyle name="Percent 3 2 2 4 2 2 2 2" xfId="7000" xr:uid="{00000000-0005-0000-0000-0000FE880000}"/>
    <cellStyle name="Percent 3 2 2 4 2 2 2 2 2" xfId="16030" xr:uid="{00000000-0005-0000-0000-0000FF880000}"/>
    <cellStyle name="Percent 3 2 2 4 2 2 2 2 2 2" xfId="36082" xr:uid="{00000000-0005-0000-0000-000000890000}"/>
    <cellStyle name="Percent 3 2 2 4 2 2 2 2 3" xfId="27052" xr:uid="{00000000-0005-0000-0000-000001890000}"/>
    <cellStyle name="Percent 3 2 2 4 2 2 2 3" xfId="11548" xr:uid="{00000000-0005-0000-0000-000002890000}"/>
    <cellStyle name="Percent 3 2 2 4 2 2 2 3 2" xfId="31600" xr:uid="{00000000-0005-0000-0000-000003890000}"/>
    <cellStyle name="Percent 3 2 2 4 2 2 2 4" xfId="22570" xr:uid="{00000000-0005-0000-0000-000004890000}"/>
    <cellStyle name="Percent 3 2 2 4 2 2 3" xfId="4012" xr:uid="{00000000-0005-0000-0000-000005890000}"/>
    <cellStyle name="Percent 3 2 2 4 2 2 3 2" xfId="8494" xr:uid="{00000000-0005-0000-0000-000006890000}"/>
    <cellStyle name="Percent 3 2 2 4 2 2 3 2 2" xfId="17524" xr:uid="{00000000-0005-0000-0000-000007890000}"/>
    <cellStyle name="Percent 3 2 2 4 2 2 3 2 2 2" xfId="37576" xr:uid="{00000000-0005-0000-0000-000008890000}"/>
    <cellStyle name="Percent 3 2 2 4 2 2 3 2 3" xfId="28546" xr:uid="{00000000-0005-0000-0000-000009890000}"/>
    <cellStyle name="Percent 3 2 2 4 2 2 3 3" xfId="13042" xr:uid="{00000000-0005-0000-0000-00000A890000}"/>
    <cellStyle name="Percent 3 2 2 4 2 2 3 3 2" xfId="33094" xr:uid="{00000000-0005-0000-0000-00000B890000}"/>
    <cellStyle name="Percent 3 2 2 4 2 2 3 4" xfId="24064" xr:uid="{00000000-0005-0000-0000-00000C890000}"/>
    <cellStyle name="Percent 3 2 2 4 2 2 4" xfId="5506" xr:uid="{00000000-0005-0000-0000-00000D890000}"/>
    <cellStyle name="Percent 3 2 2 4 2 2 4 2" xfId="14536" xr:uid="{00000000-0005-0000-0000-00000E890000}"/>
    <cellStyle name="Percent 3 2 2 4 2 2 4 2 2" xfId="34588" xr:uid="{00000000-0005-0000-0000-00000F890000}"/>
    <cellStyle name="Percent 3 2 2 4 2 2 4 3" xfId="25558" xr:uid="{00000000-0005-0000-0000-000010890000}"/>
    <cellStyle name="Percent 3 2 2 4 2 2 5" xfId="10054" xr:uid="{00000000-0005-0000-0000-000011890000}"/>
    <cellStyle name="Percent 3 2 2 4 2 2 5 2" xfId="30106" xr:uid="{00000000-0005-0000-0000-000012890000}"/>
    <cellStyle name="Percent 3 2 2 4 2 2 6" xfId="21076" xr:uid="{00000000-0005-0000-0000-000013890000}"/>
    <cellStyle name="Percent 3 2 2 4 2 3" xfId="1774" xr:uid="{00000000-0005-0000-0000-000014890000}"/>
    <cellStyle name="Percent 3 2 2 4 2 3 2" xfId="6256" xr:uid="{00000000-0005-0000-0000-000015890000}"/>
    <cellStyle name="Percent 3 2 2 4 2 3 2 2" xfId="15286" xr:uid="{00000000-0005-0000-0000-000016890000}"/>
    <cellStyle name="Percent 3 2 2 4 2 3 2 2 2" xfId="35338" xr:uid="{00000000-0005-0000-0000-000017890000}"/>
    <cellStyle name="Percent 3 2 2 4 2 3 2 3" xfId="26308" xr:uid="{00000000-0005-0000-0000-000018890000}"/>
    <cellStyle name="Percent 3 2 2 4 2 3 3" xfId="10804" xr:uid="{00000000-0005-0000-0000-000019890000}"/>
    <cellStyle name="Percent 3 2 2 4 2 3 3 2" xfId="30856" xr:uid="{00000000-0005-0000-0000-00001A890000}"/>
    <cellStyle name="Percent 3 2 2 4 2 3 4" xfId="21826" xr:uid="{00000000-0005-0000-0000-00001B890000}"/>
    <cellStyle name="Percent 3 2 2 4 2 4" xfId="3268" xr:uid="{00000000-0005-0000-0000-00001C890000}"/>
    <cellStyle name="Percent 3 2 2 4 2 4 2" xfId="7750" xr:uid="{00000000-0005-0000-0000-00001D890000}"/>
    <cellStyle name="Percent 3 2 2 4 2 4 2 2" xfId="16780" xr:uid="{00000000-0005-0000-0000-00001E890000}"/>
    <cellStyle name="Percent 3 2 2 4 2 4 2 2 2" xfId="36832" xr:uid="{00000000-0005-0000-0000-00001F890000}"/>
    <cellStyle name="Percent 3 2 2 4 2 4 2 3" xfId="27802" xr:uid="{00000000-0005-0000-0000-000020890000}"/>
    <cellStyle name="Percent 3 2 2 4 2 4 3" xfId="12298" xr:uid="{00000000-0005-0000-0000-000021890000}"/>
    <cellStyle name="Percent 3 2 2 4 2 4 3 2" xfId="32350" xr:uid="{00000000-0005-0000-0000-000022890000}"/>
    <cellStyle name="Percent 3 2 2 4 2 4 4" xfId="23320" xr:uid="{00000000-0005-0000-0000-000023890000}"/>
    <cellStyle name="Percent 3 2 2 4 2 5" xfId="4762" xr:uid="{00000000-0005-0000-0000-000024890000}"/>
    <cellStyle name="Percent 3 2 2 4 2 5 2" xfId="13792" xr:uid="{00000000-0005-0000-0000-000025890000}"/>
    <cellStyle name="Percent 3 2 2 4 2 5 2 2" xfId="33844" xr:uid="{00000000-0005-0000-0000-000026890000}"/>
    <cellStyle name="Percent 3 2 2 4 2 5 3" xfId="24814" xr:uid="{00000000-0005-0000-0000-000027890000}"/>
    <cellStyle name="Percent 3 2 2 4 2 6" xfId="9310" xr:uid="{00000000-0005-0000-0000-000028890000}"/>
    <cellStyle name="Percent 3 2 2 4 2 6 2" xfId="29362" xr:uid="{00000000-0005-0000-0000-000029890000}"/>
    <cellStyle name="Percent 3 2 2 4 2 7" xfId="20332" xr:uid="{00000000-0005-0000-0000-00002A890000}"/>
    <cellStyle name="Percent 3 2 2 4 3" xfId="466" xr:uid="{00000000-0005-0000-0000-00002B890000}"/>
    <cellStyle name="Percent 3 2 2 4 3 2" xfId="1213" xr:uid="{00000000-0005-0000-0000-00002C890000}"/>
    <cellStyle name="Percent 3 2 2 4 3 2 2" xfId="2707" xr:uid="{00000000-0005-0000-0000-00002D890000}"/>
    <cellStyle name="Percent 3 2 2 4 3 2 2 2" xfId="7189" xr:uid="{00000000-0005-0000-0000-00002E890000}"/>
    <cellStyle name="Percent 3 2 2 4 3 2 2 2 2" xfId="16219" xr:uid="{00000000-0005-0000-0000-00002F890000}"/>
    <cellStyle name="Percent 3 2 2 4 3 2 2 2 2 2" xfId="36271" xr:uid="{00000000-0005-0000-0000-000030890000}"/>
    <cellStyle name="Percent 3 2 2 4 3 2 2 2 3" xfId="27241" xr:uid="{00000000-0005-0000-0000-000031890000}"/>
    <cellStyle name="Percent 3 2 2 4 3 2 2 3" xfId="11737" xr:uid="{00000000-0005-0000-0000-000032890000}"/>
    <cellStyle name="Percent 3 2 2 4 3 2 2 3 2" xfId="31789" xr:uid="{00000000-0005-0000-0000-000033890000}"/>
    <cellStyle name="Percent 3 2 2 4 3 2 2 4" xfId="22759" xr:uid="{00000000-0005-0000-0000-000034890000}"/>
    <cellStyle name="Percent 3 2 2 4 3 2 3" xfId="4201" xr:uid="{00000000-0005-0000-0000-000035890000}"/>
    <cellStyle name="Percent 3 2 2 4 3 2 3 2" xfId="8683" xr:uid="{00000000-0005-0000-0000-000036890000}"/>
    <cellStyle name="Percent 3 2 2 4 3 2 3 2 2" xfId="17713" xr:uid="{00000000-0005-0000-0000-000037890000}"/>
    <cellStyle name="Percent 3 2 2 4 3 2 3 2 2 2" xfId="37765" xr:uid="{00000000-0005-0000-0000-000038890000}"/>
    <cellStyle name="Percent 3 2 2 4 3 2 3 2 3" xfId="28735" xr:uid="{00000000-0005-0000-0000-000039890000}"/>
    <cellStyle name="Percent 3 2 2 4 3 2 3 3" xfId="13231" xr:uid="{00000000-0005-0000-0000-00003A890000}"/>
    <cellStyle name="Percent 3 2 2 4 3 2 3 3 2" xfId="33283" xr:uid="{00000000-0005-0000-0000-00003B890000}"/>
    <cellStyle name="Percent 3 2 2 4 3 2 3 4" xfId="24253" xr:uid="{00000000-0005-0000-0000-00003C890000}"/>
    <cellStyle name="Percent 3 2 2 4 3 2 4" xfId="5695" xr:uid="{00000000-0005-0000-0000-00003D890000}"/>
    <cellStyle name="Percent 3 2 2 4 3 2 4 2" xfId="14725" xr:uid="{00000000-0005-0000-0000-00003E890000}"/>
    <cellStyle name="Percent 3 2 2 4 3 2 4 2 2" xfId="34777" xr:uid="{00000000-0005-0000-0000-00003F890000}"/>
    <cellStyle name="Percent 3 2 2 4 3 2 4 3" xfId="25747" xr:uid="{00000000-0005-0000-0000-000040890000}"/>
    <cellStyle name="Percent 3 2 2 4 3 2 5" xfId="10243" xr:uid="{00000000-0005-0000-0000-000041890000}"/>
    <cellStyle name="Percent 3 2 2 4 3 2 5 2" xfId="30295" xr:uid="{00000000-0005-0000-0000-000042890000}"/>
    <cellStyle name="Percent 3 2 2 4 3 2 6" xfId="21265" xr:uid="{00000000-0005-0000-0000-000043890000}"/>
    <cellStyle name="Percent 3 2 2 4 3 3" xfId="1960" xr:uid="{00000000-0005-0000-0000-000044890000}"/>
    <cellStyle name="Percent 3 2 2 4 3 3 2" xfId="6442" xr:uid="{00000000-0005-0000-0000-000045890000}"/>
    <cellStyle name="Percent 3 2 2 4 3 3 2 2" xfId="15472" xr:uid="{00000000-0005-0000-0000-000046890000}"/>
    <cellStyle name="Percent 3 2 2 4 3 3 2 2 2" xfId="35524" xr:uid="{00000000-0005-0000-0000-000047890000}"/>
    <cellStyle name="Percent 3 2 2 4 3 3 2 3" xfId="26494" xr:uid="{00000000-0005-0000-0000-000048890000}"/>
    <cellStyle name="Percent 3 2 2 4 3 3 3" xfId="10990" xr:uid="{00000000-0005-0000-0000-000049890000}"/>
    <cellStyle name="Percent 3 2 2 4 3 3 3 2" xfId="31042" xr:uid="{00000000-0005-0000-0000-00004A890000}"/>
    <cellStyle name="Percent 3 2 2 4 3 3 4" xfId="22012" xr:uid="{00000000-0005-0000-0000-00004B890000}"/>
    <cellStyle name="Percent 3 2 2 4 3 4" xfId="3454" xr:uid="{00000000-0005-0000-0000-00004C890000}"/>
    <cellStyle name="Percent 3 2 2 4 3 4 2" xfId="7936" xr:uid="{00000000-0005-0000-0000-00004D890000}"/>
    <cellStyle name="Percent 3 2 2 4 3 4 2 2" xfId="16966" xr:uid="{00000000-0005-0000-0000-00004E890000}"/>
    <cellStyle name="Percent 3 2 2 4 3 4 2 2 2" xfId="37018" xr:uid="{00000000-0005-0000-0000-00004F890000}"/>
    <cellStyle name="Percent 3 2 2 4 3 4 2 3" xfId="27988" xr:uid="{00000000-0005-0000-0000-000050890000}"/>
    <cellStyle name="Percent 3 2 2 4 3 4 3" xfId="12484" xr:uid="{00000000-0005-0000-0000-000051890000}"/>
    <cellStyle name="Percent 3 2 2 4 3 4 3 2" xfId="32536" xr:uid="{00000000-0005-0000-0000-000052890000}"/>
    <cellStyle name="Percent 3 2 2 4 3 4 4" xfId="23506" xr:uid="{00000000-0005-0000-0000-000053890000}"/>
    <cellStyle name="Percent 3 2 2 4 3 5" xfId="4948" xr:uid="{00000000-0005-0000-0000-000054890000}"/>
    <cellStyle name="Percent 3 2 2 4 3 5 2" xfId="13978" xr:uid="{00000000-0005-0000-0000-000055890000}"/>
    <cellStyle name="Percent 3 2 2 4 3 5 2 2" xfId="34030" xr:uid="{00000000-0005-0000-0000-000056890000}"/>
    <cellStyle name="Percent 3 2 2 4 3 5 3" xfId="25000" xr:uid="{00000000-0005-0000-0000-000057890000}"/>
    <cellStyle name="Percent 3 2 2 4 3 6" xfId="9496" xr:uid="{00000000-0005-0000-0000-000058890000}"/>
    <cellStyle name="Percent 3 2 2 4 3 6 2" xfId="29548" xr:uid="{00000000-0005-0000-0000-000059890000}"/>
    <cellStyle name="Percent 3 2 2 4 3 7" xfId="20518" xr:uid="{00000000-0005-0000-0000-00005A890000}"/>
    <cellStyle name="Percent 3 2 2 4 4" xfId="652" xr:uid="{00000000-0005-0000-0000-00005B890000}"/>
    <cellStyle name="Percent 3 2 2 4 4 2" xfId="1399" xr:uid="{00000000-0005-0000-0000-00005C890000}"/>
    <cellStyle name="Percent 3 2 2 4 4 2 2" xfId="2893" xr:uid="{00000000-0005-0000-0000-00005D890000}"/>
    <cellStyle name="Percent 3 2 2 4 4 2 2 2" xfId="7375" xr:uid="{00000000-0005-0000-0000-00005E890000}"/>
    <cellStyle name="Percent 3 2 2 4 4 2 2 2 2" xfId="16405" xr:uid="{00000000-0005-0000-0000-00005F890000}"/>
    <cellStyle name="Percent 3 2 2 4 4 2 2 2 2 2" xfId="36457" xr:uid="{00000000-0005-0000-0000-000060890000}"/>
    <cellStyle name="Percent 3 2 2 4 4 2 2 2 3" xfId="27427" xr:uid="{00000000-0005-0000-0000-000061890000}"/>
    <cellStyle name="Percent 3 2 2 4 4 2 2 3" xfId="11923" xr:uid="{00000000-0005-0000-0000-000062890000}"/>
    <cellStyle name="Percent 3 2 2 4 4 2 2 3 2" xfId="31975" xr:uid="{00000000-0005-0000-0000-000063890000}"/>
    <cellStyle name="Percent 3 2 2 4 4 2 2 4" xfId="22945" xr:uid="{00000000-0005-0000-0000-000064890000}"/>
    <cellStyle name="Percent 3 2 2 4 4 2 3" xfId="4387" xr:uid="{00000000-0005-0000-0000-000065890000}"/>
    <cellStyle name="Percent 3 2 2 4 4 2 3 2" xfId="8869" xr:uid="{00000000-0005-0000-0000-000066890000}"/>
    <cellStyle name="Percent 3 2 2 4 4 2 3 2 2" xfId="17899" xr:uid="{00000000-0005-0000-0000-000067890000}"/>
    <cellStyle name="Percent 3 2 2 4 4 2 3 2 2 2" xfId="37951" xr:uid="{00000000-0005-0000-0000-000068890000}"/>
    <cellStyle name="Percent 3 2 2 4 4 2 3 2 3" xfId="28921" xr:uid="{00000000-0005-0000-0000-000069890000}"/>
    <cellStyle name="Percent 3 2 2 4 4 2 3 3" xfId="13417" xr:uid="{00000000-0005-0000-0000-00006A890000}"/>
    <cellStyle name="Percent 3 2 2 4 4 2 3 3 2" xfId="33469" xr:uid="{00000000-0005-0000-0000-00006B890000}"/>
    <cellStyle name="Percent 3 2 2 4 4 2 3 4" xfId="24439" xr:uid="{00000000-0005-0000-0000-00006C890000}"/>
    <cellStyle name="Percent 3 2 2 4 4 2 4" xfId="5881" xr:uid="{00000000-0005-0000-0000-00006D890000}"/>
    <cellStyle name="Percent 3 2 2 4 4 2 4 2" xfId="14911" xr:uid="{00000000-0005-0000-0000-00006E890000}"/>
    <cellStyle name="Percent 3 2 2 4 4 2 4 2 2" xfId="34963" xr:uid="{00000000-0005-0000-0000-00006F890000}"/>
    <cellStyle name="Percent 3 2 2 4 4 2 4 3" xfId="25933" xr:uid="{00000000-0005-0000-0000-000070890000}"/>
    <cellStyle name="Percent 3 2 2 4 4 2 5" xfId="10429" xr:uid="{00000000-0005-0000-0000-000071890000}"/>
    <cellStyle name="Percent 3 2 2 4 4 2 5 2" xfId="30481" xr:uid="{00000000-0005-0000-0000-000072890000}"/>
    <cellStyle name="Percent 3 2 2 4 4 2 6" xfId="21451" xr:uid="{00000000-0005-0000-0000-000073890000}"/>
    <cellStyle name="Percent 3 2 2 4 4 3" xfId="2146" xr:uid="{00000000-0005-0000-0000-000074890000}"/>
    <cellStyle name="Percent 3 2 2 4 4 3 2" xfId="6628" xr:uid="{00000000-0005-0000-0000-000075890000}"/>
    <cellStyle name="Percent 3 2 2 4 4 3 2 2" xfId="15658" xr:uid="{00000000-0005-0000-0000-000076890000}"/>
    <cellStyle name="Percent 3 2 2 4 4 3 2 2 2" xfId="35710" xr:uid="{00000000-0005-0000-0000-000077890000}"/>
    <cellStyle name="Percent 3 2 2 4 4 3 2 3" xfId="26680" xr:uid="{00000000-0005-0000-0000-000078890000}"/>
    <cellStyle name="Percent 3 2 2 4 4 3 3" xfId="11176" xr:uid="{00000000-0005-0000-0000-000079890000}"/>
    <cellStyle name="Percent 3 2 2 4 4 3 3 2" xfId="31228" xr:uid="{00000000-0005-0000-0000-00007A890000}"/>
    <cellStyle name="Percent 3 2 2 4 4 3 4" xfId="22198" xr:uid="{00000000-0005-0000-0000-00007B890000}"/>
    <cellStyle name="Percent 3 2 2 4 4 4" xfId="3640" xr:uid="{00000000-0005-0000-0000-00007C890000}"/>
    <cellStyle name="Percent 3 2 2 4 4 4 2" xfId="8122" xr:uid="{00000000-0005-0000-0000-00007D890000}"/>
    <cellStyle name="Percent 3 2 2 4 4 4 2 2" xfId="17152" xr:uid="{00000000-0005-0000-0000-00007E890000}"/>
    <cellStyle name="Percent 3 2 2 4 4 4 2 2 2" xfId="37204" xr:uid="{00000000-0005-0000-0000-00007F890000}"/>
    <cellStyle name="Percent 3 2 2 4 4 4 2 3" xfId="28174" xr:uid="{00000000-0005-0000-0000-000080890000}"/>
    <cellStyle name="Percent 3 2 2 4 4 4 3" xfId="12670" xr:uid="{00000000-0005-0000-0000-000081890000}"/>
    <cellStyle name="Percent 3 2 2 4 4 4 3 2" xfId="32722" xr:uid="{00000000-0005-0000-0000-000082890000}"/>
    <cellStyle name="Percent 3 2 2 4 4 4 4" xfId="23692" xr:uid="{00000000-0005-0000-0000-000083890000}"/>
    <cellStyle name="Percent 3 2 2 4 4 5" xfId="5134" xr:uid="{00000000-0005-0000-0000-000084890000}"/>
    <cellStyle name="Percent 3 2 2 4 4 5 2" xfId="14164" xr:uid="{00000000-0005-0000-0000-000085890000}"/>
    <cellStyle name="Percent 3 2 2 4 4 5 2 2" xfId="34216" xr:uid="{00000000-0005-0000-0000-000086890000}"/>
    <cellStyle name="Percent 3 2 2 4 4 5 3" xfId="25186" xr:uid="{00000000-0005-0000-0000-000087890000}"/>
    <cellStyle name="Percent 3 2 2 4 4 6" xfId="9682" xr:uid="{00000000-0005-0000-0000-000088890000}"/>
    <cellStyle name="Percent 3 2 2 4 4 6 2" xfId="29734" xr:uid="{00000000-0005-0000-0000-000089890000}"/>
    <cellStyle name="Percent 3 2 2 4 4 7" xfId="20704" xr:uid="{00000000-0005-0000-0000-00008A890000}"/>
    <cellStyle name="Percent 3 2 2 4 5" xfId="839" xr:uid="{00000000-0005-0000-0000-00008B890000}"/>
    <cellStyle name="Percent 3 2 2 4 5 2" xfId="2333" xr:uid="{00000000-0005-0000-0000-00008C890000}"/>
    <cellStyle name="Percent 3 2 2 4 5 2 2" xfId="6815" xr:uid="{00000000-0005-0000-0000-00008D890000}"/>
    <cellStyle name="Percent 3 2 2 4 5 2 2 2" xfId="15845" xr:uid="{00000000-0005-0000-0000-00008E890000}"/>
    <cellStyle name="Percent 3 2 2 4 5 2 2 2 2" xfId="35897" xr:uid="{00000000-0005-0000-0000-00008F890000}"/>
    <cellStyle name="Percent 3 2 2 4 5 2 2 3" xfId="26867" xr:uid="{00000000-0005-0000-0000-000090890000}"/>
    <cellStyle name="Percent 3 2 2 4 5 2 3" xfId="11363" xr:uid="{00000000-0005-0000-0000-000091890000}"/>
    <cellStyle name="Percent 3 2 2 4 5 2 3 2" xfId="31415" xr:uid="{00000000-0005-0000-0000-000092890000}"/>
    <cellStyle name="Percent 3 2 2 4 5 2 4" xfId="22385" xr:uid="{00000000-0005-0000-0000-000093890000}"/>
    <cellStyle name="Percent 3 2 2 4 5 3" xfId="3827" xr:uid="{00000000-0005-0000-0000-000094890000}"/>
    <cellStyle name="Percent 3 2 2 4 5 3 2" xfId="8309" xr:uid="{00000000-0005-0000-0000-000095890000}"/>
    <cellStyle name="Percent 3 2 2 4 5 3 2 2" xfId="17339" xr:uid="{00000000-0005-0000-0000-000096890000}"/>
    <cellStyle name="Percent 3 2 2 4 5 3 2 2 2" xfId="37391" xr:uid="{00000000-0005-0000-0000-000097890000}"/>
    <cellStyle name="Percent 3 2 2 4 5 3 2 3" xfId="28361" xr:uid="{00000000-0005-0000-0000-000098890000}"/>
    <cellStyle name="Percent 3 2 2 4 5 3 3" xfId="12857" xr:uid="{00000000-0005-0000-0000-000099890000}"/>
    <cellStyle name="Percent 3 2 2 4 5 3 3 2" xfId="32909" xr:uid="{00000000-0005-0000-0000-00009A890000}"/>
    <cellStyle name="Percent 3 2 2 4 5 3 4" xfId="23879" xr:uid="{00000000-0005-0000-0000-00009B890000}"/>
    <cellStyle name="Percent 3 2 2 4 5 4" xfId="5321" xr:uid="{00000000-0005-0000-0000-00009C890000}"/>
    <cellStyle name="Percent 3 2 2 4 5 4 2" xfId="14351" xr:uid="{00000000-0005-0000-0000-00009D890000}"/>
    <cellStyle name="Percent 3 2 2 4 5 4 2 2" xfId="34403" xr:uid="{00000000-0005-0000-0000-00009E890000}"/>
    <cellStyle name="Percent 3 2 2 4 5 4 3" xfId="25373" xr:uid="{00000000-0005-0000-0000-00009F890000}"/>
    <cellStyle name="Percent 3 2 2 4 5 5" xfId="9869" xr:uid="{00000000-0005-0000-0000-0000A0890000}"/>
    <cellStyle name="Percent 3 2 2 4 5 5 2" xfId="29921" xr:uid="{00000000-0005-0000-0000-0000A1890000}"/>
    <cellStyle name="Percent 3 2 2 4 5 6" xfId="20891" xr:uid="{00000000-0005-0000-0000-0000A2890000}"/>
    <cellStyle name="Percent 3 2 2 4 6" xfId="1588" xr:uid="{00000000-0005-0000-0000-0000A3890000}"/>
    <cellStyle name="Percent 3 2 2 4 6 2" xfId="6070" xr:uid="{00000000-0005-0000-0000-0000A4890000}"/>
    <cellStyle name="Percent 3 2 2 4 6 2 2" xfId="15100" xr:uid="{00000000-0005-0000-0000-0000A5890000}"/>
    <cellStyle name="Percent 3 2 2 4 6 2 2 2" xfId="35152" xr:uid="{00000000-0005-0000-0000-0000A6890000}"/>
    <cellStyle name="Percent 3 2 2 4 6 2 3" xfId="26122" xr:uid="{00000000-0005-0000-0000-0000A7890000}"/>
    <cellStyle name="Percent 3 2 2 4 6 3" xfId="10618" xr:uid="{00000000-0005-0000-0000-0000A8890000}"/>
    <cellStyle name="Percent 3 2 2 4 6 3 2" xfId="30670" xr:uid="{00000000-0005-0000-0000-0000A9890000}"/>
    <cellStyle name="Percent 3 2 2 4 6 4" xfId="21640" xr:uid="{00000000-0005-0000-0000-0000AA890000}"/>
    <cellStyle name="Percent 3 2 2 4 7" xfId="3082" xr:uid="{00000000-0005-0000-0000-0000AB890000}"/>
    <cellStyle name="Percent 3 2 2 4 7 2" xfId="7564" xr:uid="{00000000-0005-0000-0000-0000AC890000}"/>
    <cellStyle name="Percent 3 2 2 4 7 2 2" xfId="16594" xr:uid="{00000000-0005-0000-0000-0000AD890000}"/>
    <cellStyle name="Percent 3 2 2 4 7 2 2 2" xfId="36646" xr:uid="{00000000-0005-0000-0000-0000AE890000}"/>
    <cellStyle name="Percent 3 2 2 4 7 2 3" xfId="27616" xr:uid="{00000000-0005-0000-0000-0000AF890000}"/>
    <cellStyle name="Percent 3 2 2 4 7 3" xfId="12112" xr:uid="{00000000-0005-0000-0000-0000B0890000}"/>
    <cellStyle name="Percent 3 2 2 4 7 3 2" xfId="32164" xr:uid="{00000000-0005-0000-0000-0000B1890000}"/>
    <cellStyle name="Percent 3 2 2 4 7 4" xfId="23134" xr:uid="{00000000-0005-0000-0000-0000B2890000}"/>
    <cellStyle name="Percent 3 2 2 4 8" xfId="4576" xr:uid="{00000000-0005-0000-0000-0000B3890000}"/>
    <cellStyle name="Percent 3 2 2 4 8 2" xfId="13606" xr:uid="{00000000-0005-0000-0000-0000B4890000}"/>
    <cellStyle name="Percent 3 2 2 4 8 2 2" xfId="33658" xr:uid="{00000000-0005-0000-0000-0000B5890000}"/>
    <cellStyle name="Percent 3 2 2 4 8 3" xfId="24628" xr:uid="{00000000-0005-0000-0000-0000B6890000}"/>
    <cellStyle name="Percent 3 2 2 4 9" xfId="9124" xr:uid="{00000000-0005-0000-0000-0000B7890000}"/>
    <cellStyle name="Percent 3 2 2 4 9 2" xfId="29176" xr:uid="{00000000-0005-0000-0000-0000B8890000}"/>
    <cellStyle name="Percent 3 2 2 5" xfId="123" xr:uid="{00000000-0005-0000-0000-0000B9890000}"/>
    <cellStyle name="Percent 3 2 2 5 10" xfId="20175" xr:uid="{00000000-0005-0000-0000-0000BA890000}"/>
    <cellStyle name="Percent 3 2 2 5 2" xfId="309" xr:uid="{00000000-0005-0000-0000-0000BB890000}"/>
    <cellStyle name="Percent 3 2 2 5 2 2" xfId="1052" xr:uid="{00000000-0005-0000-0000-0000BC890000}"/>
    <cellStyle name="Percent 3 2 2 5 2 2 2" xfId="2546" xr:uid="{00000000-0005-0000-0000-0000BD890000}"/>
    <cellStyle name="Percent 3 2 2 5 2 2 2 2" xfId="7028" xr:uid="{00000000-0005-0000-0000-0000BE890000}"/>
    <cellStyle name="Percent 3 2 2 5 2 2 2 2 2" xfId="16058" xr:uid="{00000000-0005-0000-0000-0000BF890000}"/>
    <cellStyle name="Percent 3 2 2 5 2 2 2 2 2 2" xfId="36110" xr:uid="{00000000-0005-0000-0000-0000C0890000}"/>
    <cellStyle name="Percent 3 2 2 5 2 2 2 2 3" xfId="27080" xr:uid="{00000000-0005-0000-0000-0000C1890000}"/>
    <cellStyle name="Percent 3 2 2 5 2 2 2 3" xfId="11576" xr:uid="{00000000-0005-0000-0000-0000C2890000}"/>
    <cellStyle name="Percent 3 2 2 5 2 2 2 3 2" xfId="31628" xr:uid="{00000000-0005-0000-0000-0000C3890000}"/>
    <cellStyle name="Percent 3 2 2 5 2 2 2 4" xfId="22598" xr:uid="{00000000-0005-0000-0000-0000C4890000}"/>
    <cellStyle name="Percent 3 2 2 5 2 2 3" xfId="4040" xr:uid="{00000000-0005-0000-0000-0000C5890000}"/>
    <cellStyle name="Percent 3 2 2 5 2 2 3 2" xfId="8522" xr:uid="{00000000-0005-0000-0000-0000C6890000}"/>
    <cellStyle name="Percent 3 2 2 5 2 2 3 2 2" xfId="17552" xr:uid="{00000000-0005-0000-0000-0000C7890000}"/>
    <cellStyle name="Percent 3 2 2 5 2 2 3 2 2 2" xfId="37604" xr:uid="{00000000-0005-0000-0000-0000C8890000}"/>
    <cellStyle name="Percent 3 2 2 5 2 2 3 2 3" xfId="28574" xr:uid="{00000000-0005-0000-0000-0000C9890000}"/>
    <cellStyle name="Percent 3 2 2 5 2 2 3 3" xfId="13070" xr:uid="{00000000-0005-0000-0000-0000CA890000}"/>
    <cellStyle name="Percent 3 2 2 5 2 2 3 3 2" xfId="33122" xr:uid="{00000000-0005-0000-0000-0000CB890000}"/>
    <cellStyle name="Percent 3 2 2 5 2 2 3 4" xfId="24092" xr:uid="{00000000-0005-0000-0000-0000CC890000}"/>
    <cellStyle name="Percent 3 2 2 5 2 2 4" xfId="5534" xr:uid="{00000000-0005-0000-0000-0000CD890000}"/>
    <cellStyle name="Percent 3 2 2 5 2 2 4 2" xfId="14564" xr:uid="{00000000-0005-0000-0000-0000CE890000}"/>
    <cellStyle name="Percent 3 2 2 5 2 2 4 2 2" xfId="34616" xr:uid="{00000000-0005-0000-0000-0000CF890000}"/>
    <cellStyle name="Percent 3 2 2 5 2 2 4 3" xfId="25586" xr:uid="{00000000-0005-0000-0000-0000D0890000}"/>
    <cellStyle name="Percent 3 2 2 5 2 2 5" xfId="10082" xr:uid="{00000000-0005-0000-0000-0000D1890000}"/>
    <cellStyle name="Percent 3 2 2 5 2 2 5 2" xfId="30134" xr:uid="{00000000-0005-0000-0000-0000D2890000}"/>
    <cellStyle name="Percent 3 2 2 5 2 2 6" xfId="21104" xr:uid="{00000000-0005-0000-0000-0000D3890000}"/>
    <cellStyle name="Percent 3 2 2 5 2 3" xfId="1803" xr:uid="{00000000-0005-0000-0000-0000D4890000}"/>
    <cellStyle name="Percent 3 2 2 5 2 3 2" xfId="6285" xr:uid="{00000000-0005-0000-0000-0000D5890000}"/>
    <cellStyle name="Percent 3 2 2 5 2 3 2 2" xfId="15315" xr:uid="{00000000-0005-0000-0000-0000D6890000}"/>
    <cellStyle name="Percent 3 2 2 5 2 3 2 2 2" xfId="35367" xr:uid="{00000000-0005-0000-0000-0000D7890000}"/>
    <cellStyle name="Percent 3 2 2 5 2 3 2 3" xfId="26337" xr:uid="{00000000-0005-0000-0000-0000D8890000}"/>
    <cellStyle name="Percent 3 2 2 5 2 3 3" xfId="10833" xr:uid="{00000000-0005-0000-0000-0000D9890000}"/>
    <cellStyle name="Percent 3 2 2 5 2 3 3 2" xfId="30885" xr:uid="{00000000-0005-0000-0000-0000DA890000}"/>
    <cellStyle name="Percent 3 2 2 5 2 3 4" xfId="21855" xr:uid="{00000000-0005-0000-0000-0000DB890000}"/>
    <cellStyle name="Percent 3 2 2 5 2 4" xfId="3297" xr:uid="{00000000-0005-0000-0000-0000DC890000}"/>
    <cellStyle name="Percent 3 2 2 5 2 4 2" xfId="7779" xr:uid="{00000000-0005-0000-0000-0000DD890000}"/>
    <cellStyle name="Percent 3 2 2 5 2 4 2 2" xfId="16809" xr:uid="{00000000-0005-0000-0000-0000DE890000}"/>
    <cellStyle name="Percent 3 2 2 5 2 4 2 2 2" xfId="36861" xr:uid="{00000000-0005-0000-0000-0000DF890000}"/>
    <cellStyle name="Percent 3 2 2 5 2 4 2 3" xfId="27831" xr:uid="{00000000-0005-0000-0000-0000E0890000}"/>
    <cellStyle name="Percent 3 2 2 5 2 4 3" xfId="12327" xr:uid="{00000000-0005-0000-0000-0000E1890000}"/>
    <cellStyle name="Percent 3 2 2 5 2 4 3 2" xfId="32379" xr:uid="{00000000-0005-0000-0000-0000E2890000}"/>
    <cellStyle name="Percent 3 2 2 5 2 4 4" xfId="23349" xr:uid="{00000000-0005-0000-0000-0000E3890000}"/>
    <cellStyle name="Percent 3 2 2 5 2 5" xfId="4791" xr:uid="{00000000-0005-0000-0000-0000E4890000}"/>
    <cellStyle name="Percent 3 2 2 5 2 5 2" xfId="13821" xr:uid="{00000000-0005-0000-0000-0000E5890000}"/>
    <cellStyle name="Percent 3 2 2 5 2 5 2 2" xfId="33873" xr:uid="{00000000-0005-0000-0000-0000E6890000}"/>
    <cellStyle name="Percent 3 2 2 5 2 5 3" xfId="24843" xr:uid="{00000000-0005-0000-0000-0000E7890000}"/>
    <cellStyle name="Percent 3 2 2 5 2 6" xfId="9339" xr:uid="{00000000-0005-0000-0000-0000E8890000}"/>
    <cellStyle name="Percent 3 2 2 5 2 6 2" xfId="29391" xr:uid="{00000000-0005-0000-0000-0000E9890000}"/>
    <cellStyle name="Percent 3 2 2 5 2 7" xfId="20361" xr:uid="{00000000-0005-0000-0000-0000EA890000}"/>
    <cellStyle name="Percent 3 2 2 5 3" xfId="495" xr:uid="{00000000-0005-0000-0000-0000EB890000}"/>
    <cellStyle name="Percent 3 2 2 5 3 2" xfId="1242" xr:uid="{00000000-0005-0000-0000-0000EC890000}"/>
    <cellStyle name="Percent 3 2 2 5 3 2 2" xfId="2736" xr:uid="{00000000-0005-0000-0000-0000ED890000}"/>
    <cellStyle name="Percent 3 2 2 5 3 2 2 2" xfId="7218" xr:uid="{00000000-0005-0000-0000-0000EE890000}"/>
    <cellStyle name="Percent 3 2 2 5 3 2 2 2 2" xfId="16248" xr:uid="{00000000-0005-0000-0000-0000EF890000}"/>
    <cellStyle name="Percent 3 2 2 5 3 2 2 2 2 2" xfId="36300" xr:uid="{00000000-0005-0000-0000-0000F0890000}"/>
    <cellStyle name="Percent 3 2 2 5 3 2 2 2 3" xfId="27270" xr:uid="{00000000-0005-0000-0000-0000F1890000}"/>
    <cellStyle name="Percent 3 2 2 5 3 2 2 3" xfId="11766" xr:uid="{00000000-0005-0000-0000-0000F2890000}"/>
    <cellStyle name="Percent 3 2 2 5 3 2 2 3 2" xfId="31818" xr:uid="{00000000-0005-0000-0000-0000F3890000}"/>
    <cellStyle name="Percent 3 2 2 5 3 2 2 4" xfId="22788" xr:uid="{00000000-0005-0000-0000-0000F4890000}"/>
    <cellStyle name="Percent 3 2 2 5 3 2 3" xfId="4230" xr:uid="{00000000-0005-0000-0000-0000F5890000}"/>
    <cellStyle name="Percent 3 2 2 5 3 2 3 2" xfId="8712" xr:uid="{00000000-0005-0000-0000-0000F6890000}"/>
    <cellStyle name="Percent 3 2 2 5 3 2 3 2 2" xfId="17742" xr:uid="{00000000-0005-0000-0000-0000F7890000}"/>
    <cellStyle name="Percent 3 2 2 5 3 2 3 2 2 2" xfId="37794" xr:uid="{00000000-0005-0000-0000-0000F8890000}"/>
    <cellStyle name="Percent 3 2 2 5 3 2 3 2 3" xfId="28764" xr:uid="{00000000-0005-0000-0000-0000F9890000}"/>
    <cellStyle name="Percent 3 2 2 5 3 2 3 3" xfId="13260" xr:uid="{00000000-0005-0000-0000-0000FA890000}"/>
    <cellStyle name="Percent 3 2 2 5 3 2 3 3 2" xfId="33312" xr:uid="{00000000-0005-0000-0000-0000FB890000}"/>
    <cellStyle name="Percent 3 2 2 5 3 2 3 4" xfId="24282" xr:uid="{00000000-0005-0000-0000-0000FC890000}"/>
    <cellStyle name="Percent 3 2 2 5 3 2 4" xfId="5724" xr:uid="{00000000-0005-0000-0000-0000FD890000}"/>
    <cellStyle name="Percent 3 2 2 5 3 2 4 2" xfId="14754" xr:uid="{00000000-0005-0000-0000-0000FE890000}"/>
    <cellStyle name="Percent 3 2 2 5 3 2 4 2 2" xfId="34806" xr:uid="{00000000-0005-0000-0000-0000FF890000}"/>
    <cellStyle name="Percent 3 2 2 5 3 2 4 3" xfId="25776" xr:uid="{00000000-0005-0000-0000-0000008A0000}"/>
    <cellStyle name="Percent 3 2 2 5 3 2 5" xfId="10272" xr:uid="{00000000-0005-0000-0000-0000018A0000}"/>
    <cellStyle name="Percent 3 2 2 5 3 2 5 2" xfId="30324" xr:uid="{00000000-0005-0000-0000-0000028A0000}"/>
    <cellStyle name="Percent 3 2 2 5 3 2 6" xfId="21294" xr:uid="{00000000-0005-0000-0000-0000038A0000}"/>
    <cellStyle name="Percent 3 2 2 5 3 3" xfId="1989" xr:uid="{00000000-0005-0000-0000-0000048A0000}"/>
    <cellStyle name="Percent 3 2 2 5 3 3 2" xfId="6471" xr:uid="{00000000-0005-0000-0000-0000058A0000}"/>
    <cellStyle name="Percent 3 2 2 5 3 3 2 2" xfId="15501" xr:uid="{00000000-0005-0000-0000-0000068A0000}"/>
    <cellStyle name="Percent 3 2 2 5 3 3 2 2 2" xfId="35553" xr:uid="{00000000-0005-0000-0000-0000078A0000}"/>
    <cellStyle name="Percent 3 2 2 5 3 3 2 3" xfId="26523" xr:uid="{00000000-0005-0000-0000-0000088A0000}"/>
    <cellStyle name="Percent 3 2 2 5 3 3 3" xfId="11019" xr:uid="{00000000-0005-0000-0000-0000098A0000}"/>
    <cellStyle name="Percent 3 2 2 5 3 3 3 2" xfId="31071" xr:uid="{00000000-0005-0000-0000-00000A8A0000}"/>
    <cellStyle name="Percent 3 2 2 5 3 3 4" xfId="22041" xr:uid="{00000000-0005-0000-0000-00000B8A0000}"/>
    <cellStyle name="Percent 3 2 2 5 3 4" xfId="3483" xr:uid="{00000000-0005-0000-0000-00000C8A0000}"/>
    <cellStyle name="Percent 3 2 2 5 3 4 2" xfId="7965" xr:uid="{00000000-0005-0000-0000-00000D8A0000}"/>
    <cellStyle name="Percent 3 2 2 5 3 4 2 2" xfId="16995" xr:uid="{00000000-0005-0000-0000-00000E8A0000}"/>
    <cellStyle name="Percent 3 2 2 5 3 4 2 2 2" xfId="37047" xr:uid="{00000000-0005-0000-0000-00000F8A0000}"/>
    <cellStyle name="Percent 3 2 2 5 3 4 2 3" xfId="28017" xr:uid="{00000000-0005-0000-0000-0000108A0000}"/>
    <cellStyle name="Percent 3 2 2 5 3 4 3" xfId="12513" xr:uid="{00000000-0005-0000-0000-0000118A0000}"/>
    <cellStyle name="Percent 3 2 2 5 3 4 3 2" xfId="32565" xr:uid="{00000000-0005-0000-0000-0000128A0000}"/>
    <cellStyle name="Percent 3 2 2 5 3 4 4" xfId="23535" xr:uid="{00000000-0005-0000-0000-0000138A0000}"/>
    <cellStyle name="Percent 3 2 2 5 3 5" xfId="4977" xr:uid="{00000000-0005-0000-0000-0000148A0000}"/>
    <cellStyle name="Percent 3 2 2 5 3 5 2" xfId="14007" xr:uid="{00000000-0005-0000-0000-0000158A0000}"/>
    <cellStyle name="Percent 3 2 2 5 3 5 2 2" xfId="34059" xr:uid="{00000000-0005-0000-0000-0000168A0000}"/>
    <cellStyle name="Percent 3 2 2 5 3 5 3" xfId="25029" xr:uid="{00000000-0005-0000-0000-0000178A0000}"/>
    <cellStyle name="Percent 3 2 2 5 3 6" xfId="9525" xr:uid="{00000000-0005-0000-0000-0000188A0000}"/>
    <cellStyle name="Percent 3 2 2 5 3 6 2" xfId="29577" xr:uid="{00000000-0005-0000-0000-0000198A0000}"/>
    <cellStyle name="Percent 3 2 2 5 3 7" xfId="20547" xr:uid="{00000000-0005-0000-0000-00001A8A0000}"/>
    <cellStyle name="Percent 3 2 2 5 4" xfId="681" xr:uid="{00000000-0005-0000-0000-00001B8A0000}"/>
    <cellStyle name="Percent 3 2 2 5 4 2" xfId="1428" xr:uid="{00000000-0005-0000-0000-00001C8A0000}"/>
    <cellStyle name="Percent 3 2 2 5 4 2 2" xfId="2922" xr:uid="{00000000-0005-0000-0000-00001D8A0000}"/>
    <cellStyle name="Percent 3 2 2 5 4 2 2 2" xfId="7404" xr:uid="{00000000-0005-0000-0000-00001E8A0000}"/>
    <cellStyle name="Percent 3 2 2 5 4 2 2 2 2" xfId="16434" xr:uid="{00000000-0005-0000-0000-00001F8A0000}"/>
    <cellStyle name="Percent 3 2 2 5 4 2 2 2 2 2" xfId="36486" xr:uid="{00000000-0005-0000-0000-0000208A0000}"/>
    <cellStyle name="Percent 3 2 2 5 4 2 2 2 3" xfId="27456" xr:uid="{00000000-0005-0000-0000-0000218A0000}"/>
    <cellStyle name="Percent 3 2 2 5 4 2 2 3" xfId="11952" xr:uid="{00000000-0005-0000-0000-0000228A0000}"/>
    <cellStyle name="Percent 3 2 2 5 4 2 2 3 2" xfId="32004" xr:uid="{00000000-0005-0000-0000-0000238A0000}"/>
    <cellStyle name="Percent 3 2 2 5 4 2 2 4" xfId="22974" xr:uid="{00000000-0005-0000-0000-0000248A0000}"/>
    <cellStyle name="Percent 3 2 2 5 4 2 3" xfId="4416" xr:uid="{00000000-0005-0000-0000-0000258A0000}"/>
    <cellStyle name="Percent 3 2 2 5 4 2 3 2" xfId="8898" xr:uid="{00000000-0005-0000-0000-0000268A0000}"/>
    <cellStyle name="Percent 3 2 2 5 4 2 3 2 2" xfId="17928" xr:uid="{00000000-0005-0000-0000-0000278A0000}"/>
    <cellStyle name="Percent 3 2 2 5 4 2 3 2 2 2" xfId="37980" xr:uid="{00000000-0005-0000-0000-0000288A0000}"/>
    <cellStyle name="Percent 3 2 2 5 4 2 3 2 3" xfId="28950" xr:uid="{00000000-0005-0000-0000-0000298A0000}"/>
    <cellStyle name="Percent 3 2 2 5 4 2 3 3" xfId="13446" xr:uid="{00000000-0005-0000-0000-00002A8A0000}"/>
    <cellStyle name="Percent 3 2 2 5 4 2 3 3 2" xfId="33498" xr:uid="{00000000-0005-0000-0000-00002B8A0000}"/>
    <cellStyle name="Percent 3 2 2 5 4 2 3 4" xfId="24468" xr:uid="{00000000-0005-0000-0000-00002C8A0000}"/>
    <cellStyle name="Percent 3 2 2 5 4 2 4" xfId="5910" xr:uid="{00000000-0005-0000-0000-00002D8A0000}"/>
    <cellStyle name="Percent 3 2 2 5 4 2 4 2" xfId="14940" xr:uid="{00000000-0005-0000-0000-00002E8A0000}"/>
    <cellStyle name="Percent 3 2 2 5 4 2 4 2 2" xfId="34992" xr:uid="{00000000-0005-0000-0000-00002F8A0000}"/>
    <cellStyle name="Percent 3 2 2 5 4 2 4 3" xfId="25962" xr:uid="{00000000-0005-0000-0000-0000308A0000}"/>
    <cellStyle name="Percent 3 2 2 5 4 2 5" xfId="10458" xr:uid="{00000000-0005-0000-0000-0000318A0000}"/>
    <cellStyle name="Percent 3 2 2 5 4 2 5 2" xfId="30510" xr:uid="{00000000-0005-0000-0000-0000328A0000}"/>
    <cellStyle name="Percent 3 2 2 5 4 2 6" xfId="21480" xr:uid="{00000000-0005-0000-0000-0000338A0000}"/>
    <cellStyle name="Percent 3 2 2 5 4 3" xfId="2175" xr:uid="{00000000-0005-0000-0000-0000348A0000}"/>
    <cellStyle name="Percent 3 2 2 5 4 3 2" xfId="6657" xr:uid="{00000000-0005-0000-0000-0000358A0000}"/>
    <cellStyle name="Percent 3 2 2 5 4 3 2 2" xfId="15687" xr:uid="{00000000-0005-0000-0000-0000368A0000}"/>
    <cellStyle name="Percent 3 2 2 5 4 3 2 2 2" xfId="35739" xr:uid="{00000000-0005-0000-0000-0000378A0000}"/>
    <cellStyle name="Percent 3 2 2 5 4 3 2 3" xfId="26709" xr:uid="{00000000-0005-0000-0000-0000388A0000}"/>
    <cellStyle name="Percent 3 2 2 5 4 3 3" xfId="11205" xr:uid="{00000000-0005-0000-0000-0000398A0000}"/>
    <cellStyle name="Percent 3 2 2 5 4 3 3 2" xfId="31257" xr:uid="{00000000-0005-0000-0000-00003A8A0000}"/>
    <cellStyle name="Percent 3 2 2 5 4 3 4" xfId="22227" xr:uid="{00000000-0005-0000-0000-00003B8A0000}"/>
    <cellStyle name="Percent 3 2 2 5 4 4" xfId="3669" xr:uid="{00000000-0005-0000-0000-00003C8A0000}"/>
    <cellStyle name="Percent 3 2 2 5 4 4 2" xfId="8151" xr:uid="{00000000-0005-0000-0000-00003D8A0000}"/>
    <cellStyle name="Percent 3 2 2 5 4 4 2 2" xfId="17181" xr:uid="{00000000-0005-0000-0000-00003E8A0000}"/>
    <cellStyle name="Percent 3 2 2 5 4 4 2 2 2" xfId="37233" xr:uid="{00000000-0005-0000-0000-00003F8A0000}"/>
    <cellStyle name="Percent 3 2 2 5 4 4 2 3" xfId="28203" xr:uid="{00000000-0005-0000-0000-0000408A0000}"/>
    <cellStyle name="Percent 3 2 2 5 4 4 3" xfId="12699" xr:uid="{00000000-0005-0000-0000-0000418A0000}"/>
    <cellStyle name="Percent 3 2 2 5 4 4 3 2" xfId="32751" xr:uid="{00000000-0005-0000-0000-0000428A0000}"/>
    <cellStyle name="Percent 3 2 2 5 4 4 4" xfId="23721" xr:uid="{00000000-0005-0000-0000-0000438A0000}"/>
    <cellStyle name="Percent 3 2 2 5 4 5" xfId="5163" xr:uid="{00000000-0005-0000-0000-0000448A0000}"/>
    <cellStyle name="Percent 3 2 2 5 4 5 2" xfId="14193" xr:uid="{00000000-0005-0000-0000-0000458A0000}"/>
    <cellStyle name="Percent 3 2 2 5 4 5 2 2" xfId="34245" xr:uid="{00000000-0005-0000-0000-0000468A0000}"/>
    <cellStyle name="Percent 3 2 2 5 4 5 3" xfId="25215" xr:uid="{00000000-0005-0000-0000-0000478A0000}"/>
    <cellStyle name="Percent 3 2 2 5 4 6" xfId="9711" xr:uid="{00000000-0005-0000-0000-0000488A0000}"/>
    <cellStyle name="Percent 3 2 2 5 4 6 2" xfId="29763" xr:uid="{00000000-0005-0000-0000-0000498A0000}"/>
    <cellStyle name="Percent 3 2 2 5 4 7" xfId="20733" xr:uid="{00000000-0005-0000-0000-00004A8A0000}"/>
    <cellStyle name="Percent 3 2 2 5 5" xfId="868" xr:uid="{00000000-0005-0000-0000-00004B8A0000}"/>
    <cellStyle name="Percent 3 2 2 5 5 2" xfId="2362" xr:uid="{00000000-0005-0000-0000-00004C8A0000}"/>
    <cellStyle name="Percent 3 2 2 5 5 2 2" xfId="6844" xr:uid="{00000000-0005-0000-0000-00004D8A0000}"/>
    <cellStyle name="Percent 3 2 2 5 5 2 2 2" xfId="15874" xr:uid="{00000000-0005-0000-0000-00004E8A0000}"/>
    <cellStyle name="Percent 3 2 2 5 5 2 2 2 2" xfId="35926" xr:uid="{00000000-0005-0000-0000-00004F8A0000}"/>
    <cellStyle name="Percent 3 2 2 5 5 2 2 3" xfId="26896" xr:uid="{00000000-0005-0000-0000-0000508A0000}"/>
    <cellStyle name="Percent 3 2 2 5 5 2 3" xfId="11392" xr:uid="{00000000-0005-0000-0000-0000518A0000}"/>
    <cellStyle name="Percent 3 2 2 5 5 2 3 2" xfId="31444" xr:uid="{00000000-0005-0000-0000-0000528A0000}"/>
    <cellStyle name="Percent 3 2 2 5 5 2 4" xfId="22414" xr:uid="{00000000-0005-0000-0000-0000538A0000}"/>
    <cellStyle name="Percent 3 2 2 5 5 3" xfId="3856" xr:uid="{00000000-0005-0000-0000-0000548A0000}"/>
    <cellStyle name="Percent 3 2 2 5 5 3 2" xfId="8338" xr:uid="{00000000-0005-0000-0000-0000558A0000}"/>
    <cellStyle name="Percent 3 2 2 5 5 3 2 2" xfId="17368" xr:uid="{00000000-0005-0000-0000-0000568A0000}"/>
    <cellStyle name="Percent 3 2 2 5 5 3 2 2 2" xfId="37420" xr:uid="{00000000-0005-0000-0000-0000578A0000}"/>
    <cellStyle name="Percent 3 2 2 5 5 3 2 3" xfId="28390" xr:uid="{00000000-0005-0000-0000-0000588A0000}"/>
    <cellStyle name="Percent 3 2 2 5 5 3 3" xfId="12886" xr:uid="{00000000-0005-0000-0000-0000598A0000}"/>
    <cellStyle name="Percent 3 2 2 5 5 3 3 2" xfId="32938" xr:uid="{00000000-0005-0000-0000-00005A8A0000}"/>
    <cellStyle name="Percent 3 2 2 5 5 3 4" xfId="23908" xr:uid="{00000000-0005-0000-0000-00005B8A0000}"/>
    <cellStyle name="Percent 3 2 2 5 5 4" xfId="5350" xr:uid="{00000000-0005-0000-0000-00005C8A0000}"/>
    <cellStyle name="Percent 3 2 2 5 5 4 2" xfId="14380" xr:uid="{00000000-0005-0000-0000-00005D8A0000}"/>
    <cellStyle name="Percent 3 2 2 5 5 4 2 2" xfId="34432" xr:uid="{00000000-0005-0000-0000-00005E8A0000}"/>
    <cellStyle name="Percent 3 2 2 5 5 4 3" xfId="25402" xr:uid="{00000000-0005-0000-0000-00005F8A0000}"/>
    <cellStyle name="Percent 3 2 2 5 5 5" xfId="9898" xr:uid="{00000000-0005-0000-0000-0000608A0000}"/>
    <cellStyle name="Percent 3 2 2 5 5 5 2" xfId="29950" xr:uid="{00000000-0005-0000-0000-0000618A0000}"/>
    <cellStyle name="Percent 3 2 2 5 5 6" xfId="20920" xr:uid="{00000000-0005-0000-0000-0000628A0000}"/>
    <cellStyle name="Percent 3 2 2 5 6" xfId="1617" xr:uid="{00000000-0005-0000-0000-0000638A0000}"/>
    <cellStyle name="Percent 3 2 2 5 6 2" xfId="6099" xr:uid="{00000000-0005-0000-0000-0000648A0000}"/>
    <cellStyle name="Percent 3 2 2 5 6 2 2" xfId="15129" xr:uid="{00000000-0005-0000-0000-0000658A0000}"/>
    <cellStyle name="Percent 3 2 2 5 6 2 2 2" xfId="35181" xr:uid="{00000000-0005-0000-0000-0000668A0000}"/>
    <cellStyle name="Percent 3 2 2 5 6 2 3" xfId="26151" xr:uid="{00000000-0005-0000-0000-0000678A0000}"/>
    <cellStyle name="Percent 3 2 2 5 6 3" xfId="10647" xr:uid="{00000000-0005-0000-0000-0000688A0000}"/>
    <cellStyle name="Percent 3 2 2 5 6 3 2" xfId="30699" xr:uid="{00000000-0005-0000-0000-0000698A0000}"/>
    <cellStyle name="Percent 3 2 2 5 6 4" xfId="21669" xr:uid="{00000000-0005-0000-0000-00006A8A0000}"/>
    <cellStyle name="Percent 3 2 2 5 7" xfId="3111" xr:uid="{00000000-0005-0000-0000-00006B8A0000}"/>
    <cellStyle name="Percent 3 2 2 5 7 2" xfId="7593" xr:uid="{00000000-0005-0000-0000-00006C8A0000}"/>
    <cellStyle name="Percent 3 2 2 5 7 2 2" xfId="16623" xr:uid="{00000000-0005-0000-0000-00006D8A0000}"/>
    <cellStyle name="Percent 3 2 2 5 7 2 2 2" xfId="36675" xr:uid="{00000000-0005-0000-0000-00006E8A0000}"/>
    <cellStyle name="Percent 3 2 2 5 7 2 3" xfId="27645" xr:uid="{00000000-0005-0000-0000-00006F8A0000}"/>
    <cellStyle name="Percent 3 2 2 5 7 3" xfId="12141" xr:uid="{00000000-0005-0000-0000-0000708A0000}"/>
    <cellStyle name="Percent 3 2 2 5 7 3 2" xfId="32193" xr:uid="{00000000-0005-0000-0000-0000718A0000}"/>
    <cellStyle name="Percent 3 2 2 5 7 4" xfId="23163" xr:uid="{00000000-0005-0000-0000-0000728A0000}"/>
    <cellStyle name="Percent 3 2 2 5 8" xfId="4605" xr:uid="{00000000-0005-0000-0000-0000738A0000}"/>
    <cellStyle name="Percent 3 2 2 5 8 2" xfId="13635" xr:uid="{00000000-0005-0000-0000-0000748A0000}"/>
    <cellStyle name="Percent 3 2 2 5 8 2 2" xfId="33687" xr:uid="{00000000-0005-0000-0000-0000758A0000}"/>
    <cellStyle name="Percent 3 2 2 5 8 3" xfId="24657" xr:uid="{00000000-0005-0000-0000-0000768A0000}"/>
    <cellStyle name="Percent 3 2 2 5 9" xfId="9153" xr:uid="{00000000-0005-0000-0000-0000778A0000}"/>
    <cellStyle name="Percent 3 2 2 5 9 2" xfId="29205" xr:uid="{00000000-0005-0000-0000-0000788A0000}"/>
    <cellStyle name="Percent 3 2 2 6" xfId="141" xr:uid="{00000000-0005-0000-0000-0000798A0000}"/>
    <cellStyle name="Percent 3 2 2 6 10" xfId="20193" xr:uid="{00000000-0005-0000-0000-00007A8A0000}"/>
    <cellStyle name="Percent 3 2 2 6 2" xfId="327" xr:uid="{00000000-0005-0000-0000-00007B8A0000}"/>
    <cellStyle name="Percent 3 2 2 6 2 2" xfId="1070" xr:uid="{00000000-0005-0000-0000-00007C8A0000}"/>
    <cellStyle name="Percent 3 2 2 6 2 2 2" xfId="2564" xr:uid="{00000000-0005-0000-0000-00007D8A0000}"/>
    <cellStyle name="Percent 3 2 2 6 2 2 2 2" xfId="7046" xr:uid="{00000000-0005-0000-0000-00007E8A0000}"/>
    <cellStyle name="Percent 3 2 2 6 2 2 2 2 2" xfId="16076" xr:uid="{00000000-0005-0000-0000-00007F8A0000}"/>
    <cellStyle name="Percent 3 2 2 6 2 2 2 2 2 2" xfId="36128" xr:uid="{00000000-0005-0000-0000-0000808A0000}"/>
    <cellStyle name="Percent 3 2 2 6 2 2 2 2 3" xfId="27098" xr:uid="{00000000-0005-0000-0000-0000818A0000}"/>
    <cellStyle name="Percent 3 2 2 6 2 2 2 3" xfId="11594" xr:uid="{00000000-0005-0000-0000-0000828A0000}"/>
    <cellStyle name="Percent 3 2 2 6 2 2 2 3 2" xfId="31646" xr:uid="{00000000-0005-0000-0000-0000838A0000}"/>
    <cellStyle name="Percent 3 2 2 6 2 2 2 4" xfId="22616" xr:uid="{00000000-0005-0000-0000-0000848A0000}"/>
    <cellStyle name="Percent 3 2 2 6 2 2 3" xfId="4058" xr:uid="{00000000-0005-0000-0000-0000858A0000}"/>
    <cellStyle name="Percent 3 2 2 6 2 2 3 2" xfId="8540" xr:uid="{00000000-0005-0000-0000-0000868A0000}"/>
    <cellStyle name="Percent 3 2 2 6 2 2 3 2 2" xfId="17570" xr:uid="{00000000-0005-0000-0000-0000878A0000}"/>
    <cellStyle name="Percent 3 2 2 6 2 2 3 2 2 2" xfId="37622" xr:uid="{00000000-0005-0000-0000-0000888A0000}"/>
    <cellStyle name="Percent 3 2 2 6 2 2 3 2 3" xfId="28592" xr:uid="{00000000-0005-0000-0000-0000898A0000}"/>
    <cellStyle name="Percent 3 2 2 6 2 2 3 3" xfId="13088" xr:uid="{00000000-0005-0000-0000-00008A8A0000}"/>
    <cellStyle name="Percent 3 2 2 6 2 2 3 3 2" xfId="33140" xr:uid="{00000000-0005-0000-0000-00008B8A0000}"/>
    <cellStyle name="Percent 3 2 2 6 2 2 3 4" xfId="24110" xr:uid="{00000000-0005-0000-0000-00008C8A0000}"/>
    <cellStyle name="Percent 3 2 2 6 2 2 4" xfId="5552" xr:uid="{00000000-0005-0000-0000-00008D8A0000}"/>
    <cellStyle name="Percent 3 2 2 6 2 2 4 2" xfId="14582" xr:uid="{00000000-0005-0000-0000-00008E8A0000}"/>
    <cellStyle name="Percent 3 2 2 6 2 2 4 2 2" xfId="34634" xr:uid="{00000000-0005-0000-0000-00008F8A0000}"/>
    <cellStyle name="Percent 3 2 2 6 2 2 4 3" xfId="25604" xr:uid="{00000000-0005-0000-0000-0000908A0000}"/>
    <cellStyle name="Percent 3 2 2 6 2 2 5" xfId="10100" xr:uid="{00000000-0005-0000-0000-0000918A0000}"/>
    <cellStyle name="Percent 3 2 2 6 2 2 5 2" xfId="30152" xr:uid="{00000000-0005-0000-0000-0000928A0000}"/>
    <cellStyle name="Percent 3 2 2 6 2 2 6" xfId="21122" xr:uid="{00000000-0005-0000-0000-0000938A0000}"/>
    <cellStyle name="Percent 3 2 2 6 2 3" xfId="1821" xr:uid="{00000000-0005-0000-0000-0000948A0000}"/>
    <cellStyle name="Percent 3 2 2 6 2 3 2" xfId="6303" xr:uid="{00000000-0005-0000-0000-0000958A0000}"/>
    <cellStyle name="Percent 3 2 2 6 2 3 2 2" xfId="15333" xr:uid="{00000000-0005-0000-0000-0000968A0000}"/>
    <cellStyle name="Percent 3 2 2 6 2 3 2 2 2" xfId="35385" xr:uid="{00000000-0005-0000-0000-0000978A0000}"/>
    <cellStyle name="Percent 3 2 2 6 2 3 2 3" xfId="26355" xr:uid="{00000000-0005-0000-0000-0000988A0000}"/>
    <cellStyle name="Percent 3 2 2 6 2 3 3" xfId="10851" xr:uid="{00000000-0005-0000-0000-0000998A0000}"/>
    <cellStyle name="Percent 3 2 2 6 2 3 3 2" xfId="30903" xr:uid="{00000000-0005-0000-0000-00009A8A0000}"/>
    <cellStyle name="Percent 3 2 2 6 2 3 4" xfId="21873" xr:uid="{00000000-0005-0000-0000-00009B8A0000}"/>
    <cellStyle name="Percent 3 2 2 6 2 4" xfId="3315" xr:uid="{00000000-0005-0000-0000-00009C8A0000}"/>
    <cellStyle name="Percent 3 2 2 6 2 4 2" xfId="7797" xr:uid="{00000000-0005-0000-0000-00009D8A0000}"/>
    <cellStyle name="Percent 3 2 2 6 2 4 2 2" xfId="16827" xr:uid="{00000000-0005-0000-0000-00009E8A0000}"/>
    <cellStyle name="Percent 3 2 2 6 2 4 2 2 2" xfId="36879" xr:uid="{00000000-0005-0000-0000-00009F8A0000}"/>
    <cellStyle name="Percent 3 2 2 6 2 4 2 3" xfId="27849" xr:uid="{00000000-0005-0000-0000-0000A08A0000}"/>
    <cellStyle name="Percent 3 2 2 6 2 4 3" xfId="12345" xr:uid="{00000000-0005-0000-0000-0000A18A0000}"/>
    <cellStyle name="Percent 3 2 2 6 2 4 3 2" xfId="32397" xr:uid="{00000000-0005-0000-0000-0000A28A0000}"/>
    <cellStyle name="Percent 3 2 2 6 2 4 4" xfId="23367" xr:uid="{00000000-0005-0000-0000-0000A38A0000}"/>
    <cellStyle name="Percent 3 2 2 6 2 5" xfId="4809" xr:uid="{00000000-0005-0000-0000-0000A48A0000}"/>
    <cellStyle name="Percent 3 2 2 6 2 5 2" xfId="13839" xr:uid="{00000000-0005-0000-0000-0000A58A0000}"/>
    <cellStyle name="Percent 3 2 2 6 2 5 2 2" xfId="33891" xr:uid="{00000000-0005-0000-0000-0000A68A0000}"/>
    <cellStyle name="Percent 3 2 2 6 2 5 3" xfId="24861" xr:uid="{00000000-0005-0000-0000-0000A78A0000}"/>
    <cellStyle name="Percent 3 2 2 6 2 6" xfId="9357" xr:uid="{00000000-0005-0000-0000-0000A88A0000}"/>
    <cellStyle name="Percent 3 2 2 6 2 6 2" xfId="29409" xr:uid="{00000000-0005-0000-0000-0000A98A0000}"/>
    <cellStyle name="Percent 3 2 2 6 2 7" xfId="20379" xr:uid="{00000000-0005-0000-0000-0000AA8A0000}"/>
    <cellStyle name="Percent 3 2 2 6 3" xfId="513" xr:uid="{00000000-0005-0000-0000-0000AB8A0000}"/>
    <cellStyle name="Percent 3 2 2 6 3 2" xfId="1260" xr:uid="{00000000-0005-0000-0000-0000AC8A0000}"/>
    <cellStyle name="Percent 3 2 2 6 3 2 2" xfId="2754" xr:uid="{00000000-0005-0000-0000-0000AD8A0000}"/>
    <cellStyle name="Percent 3 2 2 6 3 2 2 2" xfId="7236" xr:uid="{00000000-0005-0000-0000-0000AE8A0000}"/>
    <cellStyle name="Percent 3 2 2 6 3 2 2 2 2" xfId="16266" xr:uid="{00000000-0005-0000-0000-0000AF8A0000}"/>
    <cellStyle name="Percent 3 2 2 6 3 2 2 2 2 2" xfId="36318" xr:uid="{00000000-0005-0000-0000-0000B08A0000}"/>
    <cellStyle name="Percent 3 2 2 6 3 2 2 2 3" xfId="27288" xr:uid="{00000000-0005-0000-0000-0000B18A0000}"/>
    <cellStyle name="Percent 3 2 2 6 3 2 2 3" xfId="11784" xr:uid="{00000000-0005-0000-0000-0000B28A0000}"/>
    <cellStyle name="Percent 3 2 2 6 3 2 2 3 2" xfId="31836" xr:uid="{00000000-0005-0000-0000-0000B38A0000}"/>
    <cellStyle name="Percent 3 2 2 6 3 2 2 4" xfId="22806" xr:uid="{00000000-0005-0000-0000-0000B48A0000}"/>
    <cellStyle name="Percent 3 2 2 6 3 2 3" xfId="4248" xr:uid="{00000000-0005-0000-0000-0000B58A0000}"/>
    <cellStyle name="Percent 3 2 2 6 3 2 3 2" xfId="8730" xr:uid="{00000000-0005-0000-0000-0000B68A0000}"/>
    <cellStyle name="Percent 3 2 2 6 3 2 3 2 2" xfId="17760" xr:uid="{00000000-0005-0000-0000-0000B78A0000}"/>
    <cellStyle name="Percent 3 2 2 6 3 2 3 2 2 2" xfId="37812" xr:uid="{00000000-0005-0000-0000-0000B88A0000}"/>
    <cellStyle name="Percent 3 2 2 6 3 2 3 2 3" xfId="28782" xr:uid="{00000000-0005-0000-0000-0000B98A0000}"/>
    <cellStyle name="Percent 3 2 2 6 3 2 3 3" xfId="13278" xr:uid="{00000000-0005-0000-0000-0000BA8A0000}"/>
    <cellStyle name="Percent 3 2 2 6 3 2 3 3 2" xfId="33330" xr:uid="{00000000-0005-0000-0000-0000BB8A0000}"/>
    <cellStyle name="Percent 3 2 2 6 3 2 3 4" xfId="24300" xr:uid="{00000000-0005-0000-0000-0000BC8A0000}"/>
    <cellStyle name="Percent 3 2 2 6 3 2 4" xfId="5742" xr:uid="{00000000-0005-0000-0000-0000BD8A0000}"/>
    <cellStyle name="Percent 3 2 2 6 3 2 4 2" xfId="14772" xr:uid="{00000000-0005-0000-0000-0000BE8A0000}"/>
    <cellStyle name="Percent 3 2 2 6 3 2 4 2 2" xfId="34824" xr:uid="{00000000-0005-0000-0000-0000BF8A0000}"/>
    <cellStyle name="Percent 3 2 2 6 3 2 4 3" xfId="25794" xr:uid="{00000000-0005-0000-0000-0000C08A0000}"/>
    <cellStyle name="Percent 3 2 2 6 3 2 5" xfId="10290" xr:uid="{00000000-0005-0000-0000-0000C18A0000}"/>
    <cellStyle name="Percent 3 2 2 6 3 2 5 2" xfId="30342" xr:uid="{00000000-0005-0000-0000-0000C28A0000}"/>
    <cellStyle name="Percent 3 2 2 6 3 2 6" xfId="21312" xr:uid="{00000000-0005-0000-0000-0000C38A0000}"/>
    <cellStyle name="Percent 3 2 2 6 3 3" xfId="2007" xr:uid="{00000000-0005-0000-0000-0000C48A0000}"/>
    <cellStyle name="Percent 3 2 2 6 3 3 2" xfId="6489" xr:uid="{00000000-0005-0000-0000-0000C58A0000}"/>
    <cellStyle name="Percent 3 2 2 6 3 3 2 2" xfId="15519" xr:uid="{00000000-0005-0000-0000-0000C68A0000}"/>
    <cellStyle name="Percent 3 2 2 6 3 3 2 2 2" xfId="35571" xr:uid="{00000000-0005-0000-0000-0000C78A0000}"/>
    <cellStyle name="Percent 3 2 2 6 3 3 2 3" xfId="26541" xr:uid="{00000000-0005-0000-0000-0000C88A0000}"/>
    <cellStyle name="Percent 3 2 2 6 3 3 3" xfId="11037" xr:uid="{00000000-0005-0000-0000-0000C98A0000}"/>
    <cellStyle name="Percent 3 2 2 6 3 3 3 2" xfId="31089" xr:uid="{00000000-0005-0000-0000-0000CA8A0000}"/>
    <cellStyle name="Percent 3 2 2 6 3 3 4" xfId="22059" xr:uid="{00000000-0005-0000-0000-0000CB8A0000}"/>
    <cellStyle name="Percent 3 2 2 6 3 4" xfId="3501" xr:uid="{00000000-0005-0000-0000-0000CC8A0000}"/>
    <cellStyle name="Percent 3 2 2 6 3 4 2" xfId="7983" xr:uid="{00000000-0005-0000-0000-0000CD8A0000}"/>
    <cellStyle name="Percent 3 2 2 6 3 4 2 2" xfId="17013" xr:uid="{00000000-0005-0000-0000-0000CE8A0000}"/>
    <cellStyle name="Percent 3 2 2 6 3 4 2 2 2" xfId="37065" xr:uid="{00000000-0005-0000-0000-0000CF8A0000}"/>
    <cellStyle name="Percent 3 2 2 6 3 4 2 3" xfId="28035" xr:uid="{00000000-0005-0000-0000-0000D08A0000}"/>
    <cellStyle name="Percent 3 2 2 6 3 4 3" xfId="12531" xr:uid="{00000000-0005-0000-0000-0000D18A0000}"/>
    <cellStyle name="Percent 3 2 2 6 3 4 3 2" xfId="32583" xr:uid="{00000000-0005-0000-0000-0000D28A0000}"/>
    <cellStyle name="Percent 3 2 2 6 3 4 4" xfId="23553" xr:uid="{00000000-0005-0000-0000-0000D38A0000}"/>
    <cellStyle name="Percent 3 2 2 6 3 5" xfId="4995" xr:uid="{00000000-0005-0000-0000-0000D48A0000}"/>
    <cellStyle name="Percent 3 2 2 6 3 5 2" xfId="14025" xr:uid="{00000000-0005-0000-0000-0000D58A0000}"/>
    <cellStyle name="Percent 3 2 2 6 3 5 2 2" xfId="34077" xr:uid="{00000000-0005-0000-0000-0000D68A0000}"/>
    <cellStyle name="Percent 3 2 2 6 3 5 3" xfId="25047" xr:uid="{00000000-0005-0000-0000-0000D78A0000}"/>
    <cellStyle name="Percent 3 2 2 6 3 6" xfId="9543" xr:uid="{00000000-0005-0000-0000-0000D88A0000}"/>
    <cellStyle name="Percent 3 2 2 6 3 6 2" xfId="29595" xr:uid="{00000000-0005-0000-0000-0000D98A0000}"/>
    <cellStyle name="Percent 3 2 2 6 3 7" xfId="20565" xr:uid="{00000000-0005-0000-0000-0000DA8A0000}"/>
    <cellStyle name="Percent 3 2 2 6 4" xfId="699" xr:uid="{00000000-0005-0000-0000-0000DB8A0000}"/>
    <cellStyle name="Percent 3 2 2 6 4 2" xfId="1446" xr:uid="{00000000-0005-0000-0000-0000DC8A0000}"/>
    <cellStyle name="Percent 3 2 2 6 4 2 2" xfId="2940" xr:uid="{00000000-0005-0000-0000-0000DD8A0000}"/>
    <cellStyle name="Percent 3 2 2 6 4 2 2 2" xfId="7422" xr:uid="{00000000-0005-0000-0000-0000DE8A0000}"/>
    <cellStyle name="Percent 3 2 2 6 4 2 2 2 2" xfId="16452" xr:uid="{00000000-0005-0000-0000-0000DF8A0000}"/>
    <cellStyle name="Percent 3 2 2 6 4 2 2 2 2 2" xfId="36504" xr:uid="{00000000-0005-0000-0000-0000E08A0000}"/>
    <cellStyle name="Percent 3 2 2 6 4 2 2 2 3" xfId="27474" xr:uid="{00000000-0005-0000-0000-0000E18A0000}"/>
    <cellStyle name="Percent 3 2 2 6 4 2 2 3" xfId="11970" xr:uid="{00000000-0005-0000-0000-0000E28A0000}"/>
    <cellStyle name="Percent 3 2 2 6 4 2 2 3 2" xfId="32022" xr:uid="{00000000-0005-0000-0000-0000E38A0000}"/>
    <cellStyle name="Percent 3 2 2 6 4 2 2 4" xfId="22992" xr:uid="{00000000-0005-0000-0000-0000E48A0000}"/>
    <cellStyle name="Percent 3 2 2 6 4 2 3" xfId="4434" xr:uid="{00000000-0005-0000-0000-0000E58A0000}"/>
    <cellStyle name="Percent 3 2 2 6 4 2 3 2" xfId="8916" xr:uid="{00000000-0005-0000-0000-0000E68A0000}"/>
    <cellStyle name="Percent 3 2 2 6 4 2 3 2 2" xfId="17946" xr:uid="{00000000-0005-0000-0000-0000E78A0000}"/>
    <cellStyle name="Percent 3 2 2 6 4 2 3 2 2 2" xfId="37998" xr:uid="{00000000-0005-0000-0000-0000E88A0000}"/>
    <cellStyle name="Percent 3 2 2 6 4 2 3 2 3" xfId="28968" xr:uid="{00000000-0005-0000-0000-0000E98A0000}"/>
    <cellStyle name="Percent 3 2 2 6 4 2 3 3" xfId="13464" xr:uid="{00000000-0005-0000-0000-0000EA8A0000}"/>
    <cellStyle name="Percent 3 2 2 6 4 2 3 3 2" xfId="33516" xr:uid="{00000000-0005-0000-0000-0000EB8A0000}"/>
    <cellStyle name="Percent 3 2 2 6 4 2 3 4" xfId="24486" xr:uid="{00000000-0005-0000-0000-0000EC8A0000}"/>
    <cellStyle name="Percent 3 2 2 6 4 2 4" xfId="5928" xr:uid="{00000000-0005-0000-0000-0000ED8A0000}"/>
    <cellStyle name="Percent 3 2 2 6 4 2 4 2" xfId="14958" xr:uid="{00000000-0005-0000-0000-0000EE8A0000}"/>
    <cellStyle name="Percent 3 2 2 6 4 2 4 2 2" xfId="35010" xr:uid="{00000000-0005-0000-0000-0000EF8A0000}"/>
    <cellStyle name="Percent 3 2 2 6 4 2 4 3" xfId="25980" xr:uid="{00000000-0005-0000-0000-0000F08A0000}"/>
    <cellStyle name="Percent 3 2 2 6 4 2 5" xfId="10476" xr:uid="{00000000-0005-0000-0000-0000F18A0000}"/>
    <cellStyle name="Percent 3 2 2 6 4 2 5 2" xfId="30528" xr:uid="{00000000-0005-0000-0000-0000F28A0000}"/>
    <cellStyle name="Percent 3 2 2 6 4 2 6" xfId="21498" xr:uid="{00000000-0005-0000-0000-0000F38A0000}"/>
    <cellStyle name="Percent 3 2 2 6 4 3" xfId="2193" xr:uid="{00000000-0005-0000-0000-0000F48A0000}"/>
    <cellStyle name="Percent 3 2 2 6 4 3 2" xfId="6675" xr:uid="{00000000-0005-0000-0000-0000F58A0000}"/>
    <cellStyle name="Percent 3 2 2 6 4 3 2 2" xfId="15705" xr:uid="{00000000-0005-0000-0000-0000F68A0000}"/>
    <cellStyle name="Percent 3 2 2 6 4 3 2 2 2" xfId="35757" xr:uid="{00000000-0005-0000-0000-0000F78A0000}"/>
    <cellStyle name="Percent 3 2 2 6 4 3 2 3" xfId="26727" xr:uid="{00000000-0005-0000-0000-0000F88A0000}"/>
    <cellStyle name="Percent 3 2 2 6 4 3 3" xfId="11223" xr:uid="{00000000-0005-0000-0000-0000F98A0000}"/>
    <cellStyle name="Percent 3 2 2 6 4 3 3 2" xfId="31275" xr:uid="{00000000-0005-0000-0000-0000FA8A0000}"/>
    <cellStyle name="Percent 3 2 2 6 4 3 4" xfId="22245" xr:uid="{00000000-0005-0000-0000-0000FB8A0000}"/>
    <cellStyle name="Percent 3 2 2 6 4 4" xfId="3687" xr:uid="{00000000-0005-0000-0000-0000FC8A0000}"/>
    <cellStyle name="Percent 3 2 2 6 4 4 2" xfId="8169" xr:uid="{00000000-0005-0000-0000-0000FD8A0000}"/>
    <cellStyle name="Percent 3 2 2 6 4 4 2 2" xfId="17199" xr:uid="{00000000-0005-0000-0000-0000FE8A0000}"/>
    <cellStyle name="Percent 3 2 2 6 4 4 2 2 2" xfId="37251" xr:uid="{00000000-0005-0000-0000-0000FF8A0000}"/>
    <cellStyle name="Percent 3 2 2 6 4 4 2 3" xfId="28221" xr:uid="{00000000-0005-0000-0000-0000008B0000}"/>
    <cellStyle name="Percent 3 2 2 6 4 4 3" xfId="12717" xr:uid="{00000000-0005-0000-0000-0000018B0000}"/>
    <cellStyle name="Percent 3 2 2 6 4 4 3 2" xfId="32769" xr:uid="{00000000-0005-0000-0000-0000028B0000}"/>
    <cellStyle name="Percent 3 2 2 6 4 4 4" xfId="23739" xr:uid="{00000000-0005-0000-0000-0000038B0000}"/>
    <cellStyle name="Percent 3 2 2 6 4 5" xfId="5181" xr:uid="{00000000-0005-0000-0000-0000048B0000}"/>
    <cellStyle name="Percent 3 2 2 6 4 5 2" xfId="14211" xr:uid="{00000000-0005-0000-0000-0000058B0000}"/>
    <cellStyle name="Percent 3 2 2 6 4 5 2 2" xfId="34263" xr:uid="{00000000-0005-0000-0000-0000068B0000}"/>
    <cellStyle name="Percent 3 2 2 6 4 5 3" xfId="25233" xr:uid="{00000000-0005-0000-0000-0000078B0000}"/>
    <cellStyle name="Percent 3 2 2 6 4 6" xfId="9729" xr:uid="{00000000-0005-0000-0000-0000088B0000}"/>
    <cellStyle name="Percent 3 2 2 6 4 6 2" xfId="29781" xr:uid="{00000000-0005-0000-0000-0000098B0000}"/>
    <cellStyle name="Percent 3 2 2 6 4 7" xfId="20751" xr:uid="{00000000-0005-0000-0000-00000A8B0000}"/>
    <cellStyle name="Percent 3 2 2 6 5" xfId="886" xr:uid="{00000000-0005-0000-0000-00000B8B0000}"/>
    <cellStyle name="Percent 3 2 2 6 5 2" xfId="2380" xr:uid="{00000000-0005-0000-0000-00000C8B0000}"/>
    <cellStyle name="Percent 3 2 2 6 5 2 2" xfId="6862" xr:uid="{00000000-0005-0000-0000-00000D8B0000}"/>
    <cellStyle name="Percent 3 2 2 6 5 2 2 2" xfId="15892" xr:uid="{00000000-0005-0000-0000-00000E8B0000}"/>
    <cellStyle name="Percent 3 2 2 6 5 2 2 2 2" xfId="35944" xr:uid="{00000000-0005-0000-0000-00000F8B0000}"/>
    <cellStyle name="Percent 3 2 2 6 5 2 2 3" xfId="26914" xr:uid="{00000000-0005-0000-0000-0000108B0000}"/>
    <cellStyle name="Percent 3 2 2 6 5 2 3" xfId="11410" xr:uid="{00000000-0005-0000-0000-0000118B0000}"/>
    <cellStyle name="Percent 3 2 2 6 5 2 3 2" xfId="31462" xr:uid="{00000000-0005-0000-0000-0000128B0000}"/>
    <cellStyle name="Percent 3 2 2 6 5 2 4" xfId="22432" xr:uid="{00000000-0005-0000-0000-0000138B0000}"/>
    <cellStyle name="Percent 3 2 2 6 5 3" xfId="3874" xr:uid="{00000000-0005-0000-0000-0000148B0000}"/>
    <cellStyle name="Percent 3 2 2 6 5 3 2" xfId="8356" xr:uid="{00000000-0005-0000-0000-0000158B0000}"/>
    <cellStyle name="Percent 3 2 2 6 5 3 2 2" xfId="17386" xr:uid="{00000000-0005-0000-0000-0000168B0000}"/>
    <cellStyle name="Percent 3 2 2 6 5 3 2 2 2" xfId="37438" xr:uid="{00000000-0005-0000-0000-0000178B0000}"/>
    <cellStyle name="Percent 3 2 2 6 5 3 2 3" xfId="28408" xr:uid="{00000000-0005-0000-0000-0000188B0000}"/>
    <cellStyle name="Percent 3 2 2 6 5 3 3" xfId="12904" xr:uid="{00000000-0005-0000-0000-0000198B0000}"/>
    <cellStyle name="Percent 3 2 2 6 5 3 3 2" xfId="32956" xr:uid="{00000000-0005-0000-0000-00001A8B0000}"/>
    <cellStyle name="Percent 3 2 2 6 5 3 4" xfId="23926" xr:uid="{00000000-0005-0000-0000-00001B8B0000}"/>
    <cellStyle name="Percent 3 2 2 6 5 4" xfId="5368" xr:uid="{00000000-0005-0000-0000-00001C8B0000}"/>
    <cellStyle name="Percent 3 2 2 6 5 4 2" xfId="14398" xr:uid="{00000000-0005-0000-0000-00001D8B0000}"/>
    <cellStyle name="Percent 3 2 2 6 5 4 2 2" xfId="34450" xr:uid="{00000000-0005-0000-0000-00001E8B0000}"/>
    <cellStyle name="Percent 3 2 2 6 5 4 3" xfId="25420" xr:uid="{00000000-0005-0000-0000-00001F8B0000}"/>
    <cellStyle name="Percent 3 2 2 6 5 5" xfId="9916" xr:uid="{00000000-0005-0000-0000-0000208B0000}"/>
    <cellStyle name="Percent 3 2 2 6 5 5 2" xfId="29968" xr:uid="{00000000-0005-0000-0000-0000218B0000}"/>
    <cellStyle name="Percent 3 2 2 6 5 6" xfId="20938" xr:uid="{00000000-0005-0000-0000-0000228B0000}"/>
    <cellStyle name="Percent 3 2 2 6 6" xfId="1635" xr:uid="{00000000-0005-0000-0000-0000238B0000}"/>
    <cellStyle name="Percent 3 2 2 6 6 2" xfId="6117" xr:uid="{00000000-0005-0000-0000-0000248B0000}"/>
    <cellStyle name="Percent 3 2 2 6 6 2 2" xfId="15147" xr:uid="{00000000-0005-0000-0000-0000258B0000}"/>
    <cellStyle name="Percent 3 2 2 6 6 2 2 2" xfId="35199" xr:uid="{00000000-0005-0000-0000-0000268B0000}"/>
    <cellStyle name="Percent 3 2 2 6 6 2 3" xfId="26169" xr:uid="{00000000-0005-0000-0000-0000278B0000}"/>
    <cellStyle name="Percent 3 2 2 6 6 3" xfId="10665" xr:uid="{00000000-0005-0000-0000-0000288B0000}"/>
    <cellStyle name="Percent 3 2 2 6 6 3 2" xfId="30717" xr:uid="{00000000-0005-0000-0000-0000298B0000}"/>
    <cellStyle name="Percent 3 2 2 6 6 4" xfId="21687" xr:uid="{00000000-0005-0000-0000-00002A8B0000}"/>
    <cellStyle name="Percent 3 2 2 6 7" xfId="3129" xr:uid="{00000000-0005-0000-0000-00002B8B0000}"/>
    <cellStyle name="Percent 3 2 2 6 7 2" xfId="7611" xr:uid="{00000000-0005-0000-0000-00002C8B0000}"/>
    <cellStyle name="Percent 3 2 2 6 7 2 2" xfId="16641" xr:uid="{00000000-0005-0000-0000-00002D8B0000}"/>
    <cellStyle name="Percent 3 2 2 6 7 2 2 2" xfId="36693" xr:uid="{00000000-0005-0000-0000-00002E8B0000}"/>
    <cellStyle name="Percent 3 2 2 6 7 2 3" xfId="27663" xr:uid="{00000000-0005-0000-0000-00002F8B0000}"/>
    <cellStyle name="Percent 3 2 2 6 7 3" xfId="12159" xr:uid="{00000000-0005-0000-0000-0000308B0000}"/>
    <cellStyle name="Percent 3 2 2 6 7 3 2" xfId="32211" xr:uid="{00000000-0005-0000-0000-0000318B0000}"/>
    <cellStyle name="Percent 3 2 2 6 7 4" xfId="23181" xr:uid="{00000000-0005-0000-0000-0000328B0000}"/>
    <cellStyle name="Percent 3 2 2 6 8" xfId="4623" xr:uid="{00000000-0005-0000-0000-0000338B0000}"/>
    <cellStyle name="Percent 3 2 2 6 8 2" xfId="13653" xr:uid="{00000000-0005-0000-0000-0000348B0000}"/>
    <cellStyle name="Percent 3 2 2 6 8 2 2" xfId="33705" xr:uid="{00000000-0005-0000-0000-0000358B0000}"/>
    <cellStyle name="Percent 3 2 2 6 8 3" xfId="24675" xr:uid="{00000000-0005-0000-0000-0000368B0000}"/>
    <cellStyle name="Percent 3 2 2 6 9" xfId="9171" xr:uid="{00000000-0005-0000-0000-0000378B0000}"/>
    <cellStyle name="Percent 3 2 2 6 9 2" xfId="29223" xr:uid="{00000000-0005-0000-0000-0000388B0000}"/>
    <cellStyle name="Percent 3 2 2 7" xfId="164" xr:uid="{00000000-0005-0000-0000-0000398B0000}"/>
    <cellStyle name="Percent 3 2 2 7 10" xfId="20216" xr:uid="{00000000-0005-0000-0000-00003A8B0000}"/>
    <cellStyle name="Percent 3 2 2 7 2" xfId="350" xr:uid="{00000000-0005-0000-0000-00003B8B0000}"/>
    <cellStyle name="Percent 3 2 2 7 2 2" xfId="1093" xr:uid="{00000000-0005-0000-0000-00003C8B0000}"/>
    <cellStyle name="Percent 3 2 2 7 2 2 2" xfId="2587" xr:uid="{00000000-0005-0000-0000-00003D8B0000}"/>
    <cellStyle name="Percent 3 2 2 7 2 2 2 2" xfId="7069" xr:uid="{00000000-0005-0000-0000-00003E8B0000}"/>
    <cellStyle name="Percent 3 2 2 7 2 2 2 2 2" xfId="16099" xr:uid="{00000000-0005-0000-0000-00003F8B0000}"/>
    <cellStyle name="Percent 3 2 2 7 2 2 2 2 2 2" xfId="36151" xr:uid="{00000000-0005-0000-0000-0000408B0000}"/>
    <cellStyle name="Percent 3 2 2 7 2 2 2 2 3" xfId="27121" xr:uid="{00000000-0005-0000-0000-0000418B0000}"/>
    <cellStyle name="Percent 3 2 2 7 2 2 2 3" xfId="11617" xr:uid="{00000000-0005-0000-0000-0000428B0000}"/>
    <cellStyle name="Percent 3 2 2 7 2 2 2 3 2" xfId="31669" xr:uid="{00000000-0005-0000-0000-0000438B0000}"/>
    <cellStyle name="Percent 3 2 2 7 2 2 2 4" xfId="22639" xr:uid="{00000000-0005-0000-0000-0000448B0000}"/>
    <cellStyle name="Percent 3 2 2 7 2 2 3" xfId="4081" xr:uid="{00000000-0005-0000-0000-0000458B0000}"/>
    <cellStyle name="Percent 3 2 2 7 2 2 3 2" xfId="8563" xr:uid="{00000000-0005-0000-0000-0000468B0000}"/>
    <cellStyle name="Percent 3 2 2 7 2 2 3 2 2" xfId="17593" xr:uid="{00000000-0005-0000-0000-0000478B0000}"/>
    <cellStyle name="Percent 3 2 2 7 2 2 3 2 2 2" xfId="37645" xr:uid="{00000000-0005-0000-0000-0000488B0000}"/>
    <cellStyle name="Percent 3 2 2 7 2 2 3 2 3" xfId="28615" xr:uid="{00000000-0005-0000-0000-0000498B0000}"/>
    <cellStyle name="Percent 3 2 2 7 2 2 3 3" xfId="13111" xr:uid="{00000000-0005-0000-0000-00004A8B0000}"/>
    <cellStyle name="Percent 3 2 2 7 2 2 3 3 2" xfId="33163" xr:uid="{00000000-0005-0000-0000-00004B8B0000}"/>
    <cellStyle name="Percent 3 2 2 7 2 2 3 4" xfId="24133" xr:uid="{00000000-0005-0000-0000-00004C8B0000}"/>
    <cellStyle name="Percent 3 2 2 7 2 2 4" xfId="5575" xr:uid="{00000000-0005-0000-0000-00004D8B0000}"/>
    <cellStyle name="Percent 3 2 2 7 2 2 4 2" xfId="14605" xr:uid="{00000000-0005-0000-0000-00004E8B0000}"/>
    <cellStyle name="Percent 3 2 2 7 2 2 4 2 2" xfId="34657" xr:uid="{00000000-0005-0000-0000-00004F8B0000}"/>
    <cellStyle name="Percent 3 2 2 7 2 2 4 3" xfId="25627" xr:uid="{00000000-0005-0000-0000-0000508B0000}"/>
    <cellStyle name="Percent 3 2 2 7 2 2 5" xfId="10123" xr:uid="{00000000-0005-0000-0000-0000518B0000}"/>
    <cellStyle name="Percent 3 2 2 7 2 2 5 2" xfId="30175" xr:uid="{00000000-0005-0000-0000-0000528B0000}"/>
    <cellStyle name="Percent 3 2 2 7 2 2 6" xfId="21145" xr:uid="{00000000-0005-0000-0000-0000538B0000}"/>
    <cellStyle name="Percent 3 2 2 7 2 3" xfId="1844" xr:uid="{00000000-0005-0000-0000-0000548B0000}"/>
    <cellStyle name="Percent 3 2 2 7 2 3 2" xfId="6326" xr:uid="{00000000-0005-0000-0000-0000558B0000}"/>
    <cellStyle name="Percent 3 2 2 7 2 3 2 2" xfId="15356" xr:uid="{00000000-0005-0000-0000-0000568B0000}"/>
    <cellStyle name="Percent 3 2 2 7 2 3 2 2 2" xfId="35408" xr:uid="{00000000-0005-0000-0000-0000578B0000}"/>
    <cellStyle name="Percent 3 2 2 7 2 3 2 3" xfId="26378" xr:uid="{00000000-0005-0000-0000-0000588B0000}"/>
    <cellStyle name="Percent 3 2 2 7 2 3 3" xfId="10874" xr:uid="{00000000-0005-0000-0000-0000598B0000}"/>
    <cellStyle name="Percent 3 2 2 7 2 3 3 2" xfId="30926" xr:uid="{00000000-0005-0000-0000-00005A8B0000}"/>
    <cellStyle name="Percent 3 2 2 7 2 3 4" xfId="21896" xr:uid="{00000000-0005-0000-0000-00005B8B0000}"/>
    <cellStyle name="Percent 3 2 2 7 2 4" xfId="3338" xr:uid="{00000000-0005-0000-0000-00005C8B0000}"/>
    <cellStyle name="Percent 3 2 2 7 2 4 2" xfId="7820" xr:uid="{00000000-0005-0000-0000-00005D8B0000}"/>
    <cellStyle name="Percent 3 2 2 7 2 4 2 2" xfId="16850" xr:uid="{00000000-0005-0000-0000-00005E8B0000}"/>
    <cellStyle name="Percent 3 2 2 7 2 4 2 2 2" xfId="36902" xr:uid="{00000000-0005-0000-0000-00005F8B0000}"/>
    <cellStyle name="Percent 3 2 2 7 2 4 2 3" xfId="27872" xr:uid="{00000000-0005-0000-0000-0000608B0000}"/>
    <cellStyle name="Percent 3 2 2 7 2 4 3" xfId="12368" xr:uid="{00000000-0005-0000-0000-0000618B0000}"/>
    <cellStyle name="Percent 3 2 2 7 2 4 3 2" xfId="32420" xr:uid="{00000000-0005-0000-0000-0000628B0000}"/>
    <cellStyle name="Percent 3 2 2 7 2 4 4" xfId="23390" xr:uid="{00000000-0005-0000-0000-0000638B0000}"/>
    <cellStyle name="Percent 3 2 2 7 2 5" xfId="4832" xr:uid="{00000000-0005-0000-0000-0000648B0000}"/>
    <cellStyle name="Percent 3 2 2 7 2 5 2" xfId="13862" xr:uid="{00000000-0005-0000-0000-0000658B0000}"/>
    <cellStyle name="Percent 3 2 2 7 2 5 2 2" xfId="33914" xr:uid="{00000000-0005-0000-0000-0000668B0000}"/>
    <cellStyle name="Percent 3 2 2 7 2 5 3" xfId="24884" xr:uid="{00000000-0005-0000-0000-0000678B0000}"/>
    <cellStyle name="Percent 3 2 2 7 2 6" xfId="9380" xr:uid="{00000000-0005-0000-0000-0000688B0000}"/>
    <cellStyle name="Percent 3 2 2 7 2 6 2" xfId="29432" xr:uid="{00000000-0005-0000-0000-0000698B0000}"/>
    <cellStyle name="Percent 3 2 2 7 2 7" xfId="20402" xr:uid="{00000000-0005-0000-0000-00006A8B0000}"/>
    <cellStyle name="Percent 3 2 2 7 3" xfId="536" xr:uid="{00000000-0005-0000-0000-00006B8B0000}"/>
    <cellStyle name="Percent 3 2 2 7 3 2" xfId="1283" xr:uid="{00000000-0005-0000-0000-00006C8B0000}"/>
    <cellStyle name="Percent 3 2 2 7 3 2 2" xfId="2777" xr:uid="{00000000-0005-0000-0000-00006D8B0000}"/>
    <cellStyle name="Percent 3 2 2 7 3 2 2 2" xfId="7259" xr:uid="{00000000-0005-0000-0000-00006E8B0000}"/>
    <cellStyle name="Percent 3 2 2 7 3 2 2 2 2" xfId="16289" xr:uid="{00000000-0005-0000-0000-00006F8B0000}"/>
    <cellStyle name="Percent 3 2 2 7 3 2 2 2 2 2" xfId="36341" xr:uid="{00000000-0005-0000-0000-0000708B0000}"/>
    <cellStyle name="Percent 3 2 2 7 3 2 2 2 3" xfId="27311" xr:uid="{00000000-0005-0000-0000-0000718B0000}"/>
    <cellStyle name="Percent 3 2 2 7 3 2 2 3" xfId="11807" xr:uid="{00000000-0005-0000-0000-0000728B0000}"/>
    <cellStyle name="Percent 3 2 2 7 3 2 2 3 2" xfId="31859" xr:uid="{00000000-0005-0000-0000-0000738B0000}"/>
    <cellStyle name="Percent 3 2 2 7 3 2 2 4" xfId="22829" xr:uid="{00000000-0005-0000-0000-0000748B0000}"/>
    <cellStyle name="Percent 3 2 2 7 3 2 3" xfId="4271" xr:uid="{00000000-0005-0000-0000-0000758B0000}"/>
    <cellStyle name="Percent 3 2 2 7 3 2 3 2" xfId="8753" xr:uid="{00000000-0005-0000-0000-0000768B0000}"/>
    <cellStyle name="Percent 3 2 2 7 3 2 3 2 2" xfId="17783" xr:uid="{00000000-0005-0000-0000-0000778B0000}"/>
    <cellStyle name="Percent 3 2 2 7 3 2 3 2 2 2" xfId="37835" xr:uid="{00000000-0005-0000-0000-0000788B0000}"/>
    <cellStyle name="Percent 3 2 2 7 3 2 3 2 3" xfId="28805" xr:uid="{00000000-0005-0000-0000-0000798B0000}"/>
    <cellStyle name="Percent 3 2 2 7 3 2 3 3" xfId="13301" xr:uid="{00000000-0005-0000-0000-00007A8B0000}"/>
    <cellStyle name="Percent 3 2 2 7 3 2 3 3 2" xfId="33353" xr:uid="{00000000-0005-0000-0000-00007B8B0000}"/>
    <cellStyle name="Percent 3 2 2 7 3 2 3 4" xfId="24323" xr:uid="{00000000-0005-0000-0000-00007C8B0000}"/>
    <cellStyle name="Percent 3 2 2 7 3 2 4" xfId="5765" xr:uid="{00000000-0005-0000-0000-00007D8B0000}"/>
    <cellStyle name="Percent 3 2 2 7 3 2 4 2" xfId="14795" xr:uid="{00000000-0005-0000-0000-00007E8B0000}"/>
    <cellStyle name="Percent 3 2 2 7 3 2 4 2 2" xfId="34847" xr:uid="{00000000-0005-0000-0000-00007F8B0000}"/>
    <cellStyle name="Percent 3 2 2 7 3 2 4 3" xfId="25817" xr:uid="{00000000-0005-0000-0000-0000808B0000}"/>
    <cellStyle name="Percent 3 2 2 7 3 2 5" xfId="10313" xr:uid="{00000000-0005-0000-0000-0000818B0000}"/>
    <cellStyle name="Percent 3 2 2 7 3 2 5 2" xfId="30365" xr:uid="{00000000-0005-0000-0000-0000828B0000}"/>
    <cellStyle name="Percent 3 2 2 7 3 2 6" xfId="21335" xr:uid="{00000000-0005-0000-0000-0000838B0000}"/>
    <cellStyle name="Percent 3 2 2 7 3 3" xfId="2030" xr:uid="{00000000-0005-0000-0000-0000848B0000}"/>
    <cellStyle name="Percent 3 2 2 7 3 3 2" xfId="6512" xr:uid="{00000000-0005-0000-0000-0000858B0000}"/>
    <cellStyle name="Percent 3 2 2 7 3 3 2 2" xfId="15542" xr:uid="{00000000-0005-0000-0000-0000868B0000}"/>
    <cellStyle name="Percent 3 2 2 7 3 3 2 2 2" xfId="35594" xr:uid="{00000000-0005-0000-0000-0000878B0000}"/>
    <cellStyle name="Percent 3 2 2 7 3 3 2 3" xfId="26564" xr:uid="{00000000-0005-0000-0000-0000888B0000}"/>
    <cellStyle name="Percent 3 2 2 7 3 3 3" xfId="11060" xr:uid="{00000000-0005-0000-0000-0000898B0000}"/>
    <cellStyle name="Percent 3 2 2 7 3 3 3 2" xfId="31112" xr:uid="{00000000-0005-0000-0000-00008A8B0000}"/>
    <cellStyle name="Percent 3 2 2 7 3 3 4" xfId="22082" xr:uid="{00000000-0005-0000-0000-00008B8B0000}"/>
    <cellStyle name="Percent 3 2 2 7 3 4" xfId="3524" xr:uid="{00000000-0005-0000-0000-00008C8B0000}"/>
    <cellStyle name="Percent 3 2 2 7 3 4 2" xfId="8006" xr:uid="{00000000-0005-0000-0000-00008D8B0000}"/>
    <cellStyle name="Percent 3 2 2 7 3 4 2 2" xfId="17036" xr:uid="{00000000-0005-0000-0000-00008E8B0000}"/>
    <cellStyle name="Percent 3 2 2 7 3 4 2 2 2" xfId="37088" xr:uid="{00000000-0005-0000-0000-00008F8B0000}"/>
    <cellStyle name="Percent 3 2 2 7 3 4 2 3" xfId="28058" xr:uid="{00000000-0005-0000-0000-0000908B0000}"/>
    <cellStyle name="Percent 3 2 2 7 3 4 3" xfId="12554" xr:uid="{00000000-0005-0000-0000-0000918B0000}"/>
    <cellStyle name="Percent 3 2 2 7 3 4 3 2" xfId="32606" xr:uid="{00000000-0005-0000-0000-0000928B0000}"/>
    <cellStyle name="Percent 3 2 2 7 3 4 4" xfId="23576" xr:uid="{00000000-0005-0000-0000-0000938B0000}"/>
    <cellStyle name="Percent 3 2 2 7 3 5" xfId="5018" xr:uid="{00000000-0005-0000-0000-0000948B0000}"/>
    <cellStyle name="Percent 3 2 2 7 3 5 2" xfId="14048" xr:uid="{00000000-0005-0000-0000-0000958B0000}"/>
    <cellStyle name="Percent 3 2 2 7 3 5 2 2" xfId="34100" xr:uid="{00000000-0005-0000-0000-0000968B0000}"/>
    <cellStyle name="Percent 3 2 2 7 3 5 3" xfId="25070" xr:uid="{00000000-0005-0000-0000-0000978B0000}"/>
    <cellStyle name="Percent 3 2 2 7 3 6" xfId="9566" xr:uid="{00000000-0005-0000-0000-0000988B0000}"/>
    <cellStyle name="Percent 3 2 2 7 3 6 2" xfId="29618" xr:uid="{00000000-0005-0000-0000-0000998B0000}"/>
    <cellStyle name="Percent 3 2 2 7 3 7" xfId="20588" xr:uid="{00000000-0005-0000-0000-00009A8B0000}"/>
    <cellStyle name="Percent 3 2 2 7 4" xfId="722" xr:uid="{00000000-0005-0000-0000-00009B8B0000}"/>
    <cellStyle name="Percent 3 2 2 7 4 2" xfId="1469" xr:uid="{00000000-0005-0000-0000-00009C8B0000}"/>
    <cellStyle name="Percent 3 2 2 7 4 2 2" xfId="2963" xr:uid="{00000000-0005-0000-0000-00009D8B0000}"/>
    <cellStyle name="Percent 3 2 2 7 4 2 2 2" xfId="7445" xr:uid="{00000000-0005-0000-0000-00009E8B0000}"/>
    <cellStyle name="Percent 3 2 2 7 4 2 2 2 2" xfId="16475" xr:uid="{00000000-0005-0000-0000-00009F8B0000}"/>
    <cellStyle name="Percent 3 2 2 7 4 2 2 2 2 2" xfId="36527" xr:uid="{00000000-0005-0000-0000-0000A08B0000}"/>
    <cellStyle name="Percent 3 2 2 7 4 2 2 2 3" xfId="27497" xr:uid="{00000000-0005-0000-0000-0000A18B0000}"/>
    <cellStyle name="Percent 3 2 2 7 4 2 2 3" xfId="11993" xr:uid="{00000000-0005-0000-0000-0000A28B0000}"/>
    <cellStyle name="Percent 3 2 2 7 4 2 2 3 2" xfId="32045" xr:uid="{00000000-0005-0000-0000-0000A38B0000}"/>
    <cellStyle name="Percent 3 2 2 7 4 2 2 4" xfId="23015" xr:uid="{00000000-0005-0000-0000-0000A48B0000}"/>
    <cellStyle name="Percent 3 2 2 7 4 2 3" xfId="4457" xr:uid="{00000000-0005-0000-0000-0000A58B0000}"/>
    <cellStyle name="Percent 3 2 2 7 4 2 3 2" xfId="8939" xr:uid="{00000000-0005-0000-0000-0000A68B0000}"/>
    <cellStyle name="Percent 3 2 2 7 4 2 3 2 2" xfId="17969" xr:uid="{00000000-0005-0000-0000-0000A78B0000}"/>
    <cellStyle name="Percent 3 2 2 7 4 2 3 2 2 2" xfId="38021" xr:uid="{00000000-0005-0000-0000-0000A88B0000}"/>
    <cellStyle name="Percent 3 2 2 7 4 2 3 2 3" xfId="28991" xr:uid="{00000000-0005-0000-0000-0000A98B0000}"/>
    <cellStyle name="Percent 3 2 2 7 4 2 3 3" xfId="13487" xr:uid="{00000000-0005-0000-0000-0000AA8B0000}"/>
    <cellStyle name="Percent 3 2 2 7 4 2 3 3 2" xfId="33539" xr:uid="{00000000-0005-0000-0000-0000AB8B0000}"/>
    <cellStyle name="Percent 3 2 2 7 4 2 3 4" xfId="24509" xr:uid="{00000000-0005-0000-0000-0000AC8B0000}"/>
    <cellStyle name="Percent 3 2 2 7 4 2 4" xfId="5951" xr:uid="{00000000-0005-0000-0000-0000AD8B0000}"/>
    <cellStyle name="Percent 3 2 2 7 4 2 4 2" xfId="14981" xr:uid="{00000000-0005-0000-0000-0000AE8B0000}"/>
    <cellStyle name="Percent 3 2 2 7 4 2 4 2 2" xfId="35033" xr:uid="{00000000-0005-0000-0000-0000AF8B0000}"/>
    <cellStyle name="Percent 3 2 2 7 4 2 4 3" xfId="26003" xr:uid="{00000000-0005-0000-0000-0000B08B0000}"/>
    <cellStyle name="Percent 3 2 2 7 4 2 5" xfId="10499" xr:uid="{00000000-0005-0000-0000-0000B18B0000}"/>
    <cellStyle name="Percent 3 2 2 7 4 2 5 2" xfId="30551" xr:uid="{00000000-0005-0000-0000-0000B28B0000}"/>
    <cellStyle name="Percent 3 2 2 7 4 2 6" xfId="21521" xr:uid="{00000000-0005-0000-0000-0000B38B0000}"/>
    <cellStyle name="Percent 3 2 2 7 4 3" xfId="2216" xr:uid="{00000000-0005-0000-0000-0000B48B0000}"/>
    <cellStyle name="Percent 3 2 2 7 4 3 2" xfId="6698" xr:uid="{00000000-0005-0000-0000-0000B58B0000}"/>
    <cellStyle name="Percent 3 2 2 7 4 3 2 2" xfId="15728" xr:uid="{00000000-0005-0000-0000-0000B68B0000}"/>
    <cellStyle name="Percent 3 2 2 7 4 3 2 2 2" xfId="35780" xr:uid="{00000000-0005-0000-0000-0000B78B0000}"/>
    <cellStyle name="Percent 3 2 2 7 4 3 2 3" xfId="26750" xr:uid="{00000000-0005-0000-0000-0000B88B0000}"/>
    <cellStyle name="Percent 3 2 2 7 4 3 3" xfId="11246" xr:uid="{00000000-0005-0000-0000-0000B98B0000}"/>
    <cellStyle name="Percent 3 2 2 7 4 3 3 2" xfId="31298" xr:uid="{00000000-0005-0000-0000-0000BA8B0000}"/>
    <cellStyle name="Percent 3 2 2 7 4 3 4" xfId="22268" xr:uid="{00000000-0005-0000-0000-0000BB8B0000}"/>
    <cellStyle name="Percent 3 2 2 7 4 4" xfId="3710" xr:uid="{00000000-0005-0000-0000-0000BC8B0000}"/>
    <cellStyle name="Percent 3 2 2 7 4 4 2" xfId="8192" xr:uid="{00000000-0005-0000-0000-0000BD8B0000}"/>
    <cellStyle name="Percent 3 2 2 7 4 4 2 2" xfId="17222" xr:uid="{00000000-0005-0000-0000-0000BE8B0000}"/>
    <cellStyle name="Percent 3 2 2 7 4 4 2 2 2" xfId="37274" xr:uid="{00000000-0005-0000-0000-0000BF8B0000}"/>
    <cellStyle name="Percent 3 2 2 7 4 4 2 3" xfId="28244" xr:uid="{00000000-0005-0000-0000-0000C08B0000}"/>
    <cellStyle name="Percent 3 2 2 7 4 4 3" xfId="12740" xr:uid="{00000000-0005-0000-0000-0000C18B0000}"/>
    <cellStyle name="Percent 3 2 2 7 4 4 3 2" xfId="32792" xr:uid="{00000000-0005-0000-0000-0000C28B0000}"/>
    <cellStyle name="Percent 3 2 2 7 4 4 4" xfId="23762" xr:uid="{00000000-0005-0000-0000-0000C38B0000}"/>
    <cellStyle name="Percent 3 2 2 7 4 5" xfId="5204" xr:uid="{00000000-0005-0000-0000-0000C48B0000}"/>
    <cellStyle name="Percent 3 2 2 7 4 5 2" xfId="14234" xr:uid="{00000000-0005-0000-0000-0000C58B0000}"/>
    <cellStyle name="Percent 3 2 2 7 4 5 2 2" xfId="34286" xr:uid="{00000000-0005-0000-0000-0000C68B0000}"/>
    <cellStyle name="Percent 3 2 2 7 4 5 3" xfId="25256" xr:uid="{00000000-0005-0000-0000-0000C78B0000}"/>
    <cellStyle name="Percent 3 2 2 7 4 6" xfId="9752" xr:uid="{00000000-0005-0000-0000-0000C88B0000}"/>
    <cellStyle name="Percent 3 2 2 7 4 6 2" xfId="29804" xr:uid="{00000000-0005-0000-0000-0000C98B0000}"/>
    <cellStyle name="Percent 3 2 2 7 4 7" xfId="20774" xr:uid="{00000000-0005-0000-0000-0000CA8B0000}"/>
    <cellStyle name="Percent 3 2 2 7 5" xfId="909" xr:uid="{00000000-0005-0000-0000-0000CB8B0000}"/>
    <cellStyle name="Percent 3 2 2 7 5 2" xfId="2403" xr:uid="{00000000-0005-0000-0000-0000CC8B0000}"/>
    <cellStyle name="Percent 3 2 2 7 5 2 2" xfId="6885" xr:uid="{00000000-0005-0000-0000-0000CD8B0000}"/>
    <cellStyle name="Percent 3 2 2 7 5 2 2 2" xfId="15915" xr:uid="{00000000-0005-0000-0000-0000CE8B0000}"/>
    <cellStyle name="Percent 3 2 2 7 5 2 2 2 2" xfId="35967" xr:uid="{00000000-0005-0000-0000-0000CF8B0000}"/>
    <cellStyle name="Percent 3 2 2 7 5 2 2 3" xfId="26937" xr:uid="{00000000-0005-0000-0000-0000D08B0000}"/>
    <cellStyle name="Percent 3 2 2 7 5 2 3" xfId="11433" xr:uid="{00000000-0005-0000-0000-0000D18B0000}"/>
    <cellStyle name="Percent 3 2 2 7 5 2 3 2" xfId="31485" xr:uid="{00000000-0005-0000-0000-0000D28B0000}"/>
    <cellStyle name="Percent 3 2 2 7 5 2 4" xfId="22455" xr:uid="{00000000-0005-0000-0000-0000D38B0000}"/>
    <cellStyle name="Percent 3 2 2 7 5 3" xfId="3897" xr:uid="{00000000-0005-0000-0000-0000D48B0000}"/>
    <cellStyle name="Percent 3 2 2 7 5 3 2" xfId="8379" xr:uid="{00000000-0005-0000-0000-0000D58B0000}"/>
    <cellStyle name="Percent 3 2 2 7 5 3 2 2" xfId="17409" xr:uid="{00000000-0005-0000-0000-0000D68B0000}"/>
    <cellStyle name="Percent 3 2 2 7 5 3 2 2 2" xfId="37461" xr:uid="{00000000-0005-0000-0000-0000D78B0000}"/>
    <cellStyle name="Percent 3 2 2 7 5 3 2 3" xfId="28431" xr:uid="{00000000-0005-0000-0000-0000D88B0000}"/>
    <cellStyle name="Percent 3 2 2 7 5 3 3" xfId="12927" xr:uid="{00000000-0005-0000-0000-0000D98B0000}"/>
    <cellStyle name="Percent 3 2 2 7 5 3 3 2" xfId="32979" xr:uid="{00000000-0005-0000-0000-0000DA8B0000}"/>
    <cellStyle name="Percent 3 2 2 7 5 3 4" xfId="23949" xr:uid="{00000000-0005-0000-0000-0000DB8B0000}"/>
    <cellStyle name="Percent 3 2 2 7 5 4" xfId="5391" xr:uid="{00000000-0005-0000-0000-0000DC8B0000}"/>
    <cellStyle name="Percent 3 2 2 7 5 4 2" xfId="14421" xr:uid="{00000000-0005-0000-0000-0000DD8B0000}"/>
    <cellStyle name="Percent 3 2 2 7 5 4 2 2" xfId="34473" xr:uid="{00000000-0005-0000-0000-0000DE8B0000}"/>
    <cellStyle name="Percent 3 2 2 7 5 4 3" xfId="25443" xr:uid="{00000000-0005-0000-0000-0000DF8B0000}"/>
    <cellStyle name="Percent 3 2 2 7 5 5" xfId="9939" xr:uid="{00000000-0005-0000-0000-0000E08B0000}"/>
    <cellStyle name="Percent 3 2 2 7 5 5 2" xfId="29991" xr:uid="{00000000-0005-0000-0000-0000E18B0000}"/>
    <cellStyle name="Percent 3 2 2 7 5 6" xfId="20961" xr:uid="{00000000-0005-0000-0000-0000E28B0000}"/>
    <cellStyle name="Percent 3 2 2 7 6" xfId="1658" xr:uid="{00000000-0005-0000-0000-0000E38B0000}"/>
    <cellStyle name="Percent 3 2 2 7 6 2" xfId="6140" xr:uid="{00000000-0005-0000-0000-0000E48B0000}"/>
    <cellStyle name="Percent 3 2 2 7 6 2 2" xfId="15170" xr:uid="{00000000-0005-0000-0000-0000E58B0000}"/>
    <cellStyle name="Percent 3 2 2 7 6 2 2 2" xfId="35222" xr:uid="{00000000-0005-0000-0000-0000E68B0000}"/>
    <cellStyle name="Percent 3 2 2 7 6 2 3" xfId="26192" xr:uid="{00000000-0005-0000-0000-0000E78B0000}"/>
    <cellStyle name="Percent 3 2 2 7 6 3" xfId="10688" xr:uid="{00000000-0005-0000-0000-0000E88B0000}"/>
    <cellStyle name="Percent 3 2 2 7 6 3 2" xfId="30740" xr:uid="{00000000-0005-0000-0000-0000E98B0000}"/>
    <cellStyle name="Percent 3 2 2 7 6 4" xfId="21710" xr:uid="{00000000-0005-0000-0000-0000EA8B0000}"/>
    <cellStyle name="Percent 3 2 2 7 7" xfId="3152" xr:uid="{00000000-0005-0000-0000-0000EB8B0000}"/>
    <cellStyle name="Percent 3 2 2 7 7 2" xfId="7634" xr:uid="{00000000-0005-0000-0000-0000EC8B0000}"/>
    <cellStyle name="Percent 3 2 2 7 7 2 2" xfId="16664" xr:uid="{00000000-0005-0000-0000-0000ED8B0000}"/>
    <cellStyle name="Percent 3 2 2 7 7 2 2 2" xfId="36716" xr:uid="{00000000-0005-0000-0000-0000EE8B0000}"/>
    <cellStyle name="Percent 3 2 2 7 7 2 3" xfId="27686" xr:uid="{00000000-0005-0000-0000-0000EF8B0000}"/>
    <cellStyle name="Percent 3 2 2 7 7 3" xfId="12182" xr:uid="{00000000-0005-0000-0000-0000F08B0000}"/>
    <cellStyle name="Percent 3 2 2 7 7 3 2" xfId="32234" xr:uid="{00000000-0005-0000-0000-0000F18B0000}"/>
    <cellStyle name="Percent 3 2 2 7 7 4" xfId="23204" xr:uid="{00000000-0005-0000-0000-0000F28B0000}"/>
    <cellStyle name="Percent 3 2 2 7 8" xfId="4646" xr:uid="{00000000-0005-0000-0000-0000F38B0000}"/>
    <cellStyle name="Percent 3 2 2 7 8 2" xfId="13676" xr:uid="{00000000-0005-0000-0000-0000F48B0000}"/>
    <cellStyle name="Percent 3 2 2 7 8 2 2" xfId="33728" xr:uid="{00000000-0005-0000-0000-0000F58B0000}"/>
    <cellStyle name="Percent 3 2 2 7 8 3" xfId="24698" xr:uid="{00000000-0005-0000-0000-0000F68B0000}"/>
    <cellStyle name="Percent 3 2 2 7 9" xfId="9194" xr:uid="{00000000-0005-0000-0000-0000F78B0000}"/>
    <cellStyle name="Percent 3 2 2 7 9 2" xfId="29246" xr:uid="{00000000-0005-0000-0000-0000F88B0000}"/>
    <cellStyle name="Percent 3 2 2 8" xfId="187" xr:uid="{00000000-0005-0000-0000-0000F98B0000}"/>
    <cellStyle name="Percent 3 2 2 8 10" xfId="20239" xr:uid="{00000000-0005-0000-0000-0000FA8B0000}"/>
    <cellStyle name="Percent 3 2 2 8 2" xfId="373" xr:uid="{00000000-0005-0000-0000-0000FB8B0000}"/>
    <cellStyle name="Percent 3 2 2 8 2 2" xfId="1116" xr:uid="{00000000-0005-0000-0000-0000FC8B0000}"/>
    <cellStyle name="Percent 3 2 2 8 2 2 2" xfId="2610" xr:uid="{00000000-0005-0000-0000-0000FD8B0000}"/>
    <cellStyle name="Percent 3 2 2 8 2 2 2 2" xfId="7092" xr:uid="{00000000-0005-0000-0000-0000FE8B0000}"/>
    <cellStyle name="Percent 3 2 2 8 2 2 2 2 2" xfId="16122" xr:uid="{00000000-0005-0000-0000-0000FF8B0000}"/>
    <cellStyle name="Percent 3 2 2 8 2 2 2 2 2 2" xfId="36174" xr:uid="{00000000-0005-0000-0000-0000008C0000}"/>
    <cellStyle name="Percent 3 2 2 8 2 2 2 2 3" xfId="27144" xr:uid="{00000000-0005-0000-0000-0000018C0000}"/>
    <cellStyle name="Percent 3 2 2 8 2 2 2 3" xfId="11640" xr:uid="{00000000-0005-0000-0000-0000028C0000}"/>
    <cellStyle name="Percent 3 2 2 8 2 2 2 3 2" xfId="31692" xr:uid="{00000000-0005-0000-0000-0000038C0000}"/>
    <cellStyle name="Percent 3 2 2 8 2 2 2 4" xfId="22662" xr:uid="{00000000-0005-0000-0000-0000048C0000}"/>
    <cellStyle name="Percent 3 2 2 8 2 2 3" xfId="4104" xr:uid="{00000000-0005-0000-0000-0000058C0000}"/>
    <cellStyle name="Percent 3 2 2 8 2 2 3 2" xfId="8586" xr:uid="{00000000-0005-0000-0000-0000068C0000}"/>
    <cellStyle name="Percent 3 2 2 8 2 2 3 2 2" xfId="17616" xr:uid="{00000000-0005-0000-0000-0000078C0000}"/>
    <cellStyle name="Percent 3 2 2 8 2 2 3 2 2 2" xfId="37668" xr:uid="{00000000-0005-0000-0000-0000088C0000}"/>
    <cellStyle name="Percent 3 2 2 8 2 2 3 2 3" xfId="28638" xr:uid="{00000000-0005-0000-0000-0000098C0000}"/>
    <cellStyle name="Percent 3 2 2 8 2 2 3 3" xfId="13134" xr:uid="{00000000-0005-0000-0000-00000A8C0000}"/>
    <cellStyle name="Percent 3 2 2 8 2 2 3 3 2" xfId="33186" xr:uid="{00000000-0005-0000-0000-00000B8C0000}"/>
    <cellStyle name="Percent 3 2 2 8 2 2 3 4" xfId="24156" xr:uid="{00000000-0005-0000-0000-00000C8C0000}"/>
    <cellStyle name="Percent 3 2 2 8 2 2 4" xfId="5598" xr:uid="{00000000-0005-0000-0000-00000D8C0000}"/>
    <cellStyle name="Percent 3 2 2 8 2 2 4 2" xfId="14628" xr:uid="{00000000-0005-0000-0000-00000E8C0000}"/>
    <cellStyle name="Percent 3 2 2 8 2 2 4 2 2" xfId="34680" xr:uid="{00000000-0005-0000-0000-00000F8C0000}"/>
    <cellStyle name="Percent 3 2 2 8 2 2 4 3" xfId="25650" xr:uid="{00000000-0005-0000-0000-0000108C0000}"/>
    <cellStyle name="Percent 3 2 2 8 2 2 5" xfId="10146" xr:uid="{00000000-0005-0000-0000-0000118C0000}"/>
    <cellStyle name="Percent 3 2 2 8 2 2 5 2" xfId="30198" xr:uid="{00000000-0005-0000-0000-0000128C0000}"/>
    <cellStyle name="Percent 3 2 2 8 2 2 6" xfId="21168" xr:uid="{00000000-0005-0000-0000-0000138C0000}"/>
    <cellStyle name="Percent 3 2 2 8 2 3" xfId="1867" xr:uid="{00000000-0005-0000-0000-0000148C0000}"/>
    <cellStyle name="Percent 3 2 2 8 2 3 2" xfId="6349" xr:uid="{00000000-0005-0000-0000-0000158C0000}"/>
    <cellStyle name="Percent 3 2 2 8 2 3 2 2" xfId="15379" xr:uid="{00000000-0005-0000-0000-0000168C0000}"/>
    <cellStyle name="Percent 3 2 2 8 2 3 2 2 2" xfId="35431" xr:uid="{00000000-0005-0000-0000-0000178C0000}"/>
    <cellStyle name="Percent 3 2 2 8 2 3 2 3" xfId="26401" xr:uid="{00000000-0005-0000-0000-0000188C0000}"/>
    <cellStyle name="Percent 3 2 2 8 2 3 3" xfId="10897" xr:uid="{00000000-0005-0000-0000-0000198C0000}"/>
    <cellStyle name="Percent 3 2 2 8 2 3 3 2" xfId="30949" xr:uid="{00000000-0005-0000-0000-00001A8C0000}"/>
    <cellStyle name="Percent 3 2 2 8 2 3 4" xfId="21919" xr:uid="{00000000-0005-0000-0000-00001B8C0000}"/>
    <cellStyle name="Percent 3 2 2 8 2 4" xfId="3361" xr:uid="{00000000-0005-0000-0000-00001C8C0000}"/>
    <cellStyle name="Percent 3 2 2 8 2 4 2" xfId="7843" xr:uid="{00000000-0005-0000-0000-00001D8C0000}"/>
    <cellStyle name="Percent 3 2 2 8 2 4 2 2" xfId="16873" xr:uid="{00000000-0005-0000-0000-00001E8C0000}"/>
    <cellStyle name="Percent 3 2 2 8 2 4 2 2 2" xfId="36925" xr:uid="{00000000-0005-0000-0000-00001F8C0000}"/>
    <cellStyle name="Percent 3 2 2 8 2 4 2 3" xfId="27895" xr:uid="{00000000-0005-0000-0000-0000208C0000}"/>
    <cellStyle name="Percent 3 2 2 8 2 4 3" xfId="12391" xr:uid="{00000000-0005-0000-0000-0000218C0000}"/>
    <cellStyle name="Percent 3 2 2 8 2 4 3 2" xfId="32443" xr:uid="{00000000-0005-0000-0000-0000228C0000}"/>
    <cellStyle name="Percent 3 2 2 8 2 4 4" xfId="23413" xr:uid="{00000000-0005-0000-0000-0000238C0000}"/>
    <cellStyle name="Percent 3 2 2 8 2 5" xfId="4855" xr:uid="{00000000-0005-0000-0000-0000248C0000}"/>
    <cellStyle name="Percent 3 2 2 8 2 5 2" xfId="13885" xr:uid="{00000000-0005-0000-0000-0000258C0000}"/>
    <cellStyle name="Percent 3 2 2 8 2 5 2 2" xfId="33937" xr:uid="{00000000-0005-0000-0000-0000268C0000}"/>
    <cellStyle name="Percent 3 2 2 8 2 5 3" xfId="24907" xr:uid="{00000000-0005-0000-0000-0000278C0000}"/>
    <cellStyle name="Percent 3 2 2 8 2 6" xfId="9403" xr:uid="{00000000-0005-0000-0000-0000288C0000}"/>
    <cellStyle name="Percent 3 2 2 8 2 6 2" xfId="29455" xr:uid="{00000000-0005-0000-0000-0000298C0000}"/>
    <cellStyle name="Percent 3 2 2 8 2 7" xfId="20425" xr:uid="{00000000-0005-0000-0000-00002A8C0000}"/>
    <cellStyle name="Percent 3 2 2 8 3" xfId="559" xr:uid="{00000000-0005-0000-0000-00002B8C0000}"/>
    <cellStyle name="Percent 3 2 2 8 3 2" xfId="1306" xr:uid="{00000000-0005-0000-0000-00002C8C0000}"/>
    <cellStyle name="Percent 3 2 2 8 3 2 2" xfId="2800" xr:uid="{00000000-0005-0000-0000-00002D8C0000}"/>
    <cellStyle name="Percent 3 2 2 8 3 2 2 2" xfId="7282" xr:uid="{00000000-0005-0000-0000-00002E8C0000}"/>
    <cellStyle name="Percent 3 2 2 8 3 2 2 2 2" xfId="16312" xr:uid="{00000000-0005-0000-0000-00002F8C0000}"/>
    <cellStyle name="Percent 3 2 2 8 3 2 2 2 2 2" xfId="36364" xr:uid="{00000000-0005-0000-0000-0000308C0000}"/>
    <cellStyle name="Percent 3 2 2 8 3 2 2 2 3" xfId="27334" xr:uid="{00000000-0005-0000-0000-0000318C0000}"/>
    <cellStyle name="Percent 3 2 2 8 3 2 2 3" xfId="11830" xr:uid="{00000000-0005-0000-0000-0000328C0000}"/>
    <cellStyle name="Percent 3 2 2 8 3 2 2 3 2" xfId="31882" xr:uid="{00000000-0005-0000-0000-0000338C0000}"/>
    <cellStyle name="Percent 3 2 2 8 3 2 2 4" xfId="22852" xr:uid="{00000000-0005-0000-0000-0000348C0000}"/>
    <cellStyle name="Percent 3 2 2 8 3 2 3" xfId="4294" xr:uid="{00000000-0005-0000-0000-0000358C0000}"/>
    <cellStyle name="Percent 3 2 2 8 3 2 3 2" xfId="8776" xr:uid="{00000000-0005-0000-0000-0000368C0000}"/>
    <cellStyle name="Percent 3 2 2 8 3 2 3 2 2" xfId="17806" xr:uid="{00000000-0005-0000-0000-0000378C0000}"/>
    <cellStyle name="Percent 3 2 2 8 3 2 3 2 2 2" xfId="37858" xr:uid="{00000000-0005-0000-0000-0000388C0000}"/>
    <cellStyle name="Percent 3 2 2 8 3 2 3 2 3" xfId="28828" xr:uid="{00000000-0005-0000-0000-0000398C0000}"/>
    <cellStyle name="Percent 3 2 2 8 3 2 3 3" xfId="13324" xr:uid="{00000000-0005-0000-0000-00003A8C0000}"/>
    <cellStyle name="Percent 3 2 2 8 3 2 3 3 2" xfId="33376" xr:uid="{00000000-0005-0000-0000-00003B8C0000}"/>
    <cellStyle name="Percent 3 2 2 8 3 2 3 4" xfId="24346" xr:uid="{00000000-0005-0000-0000-00003C8C0000}"/>
    <cellStyle name="Percent 3 2 2 8 3 2 4" xfId="5788" xr:uid="{00000000-0005-0000-0000-00003D8C0000}"/>
    <cellStyle name="Percent 3 2 2 8 3 2 4 2" xfId="14818" xr:uid="{00000000-0005-0000-0000-00003E8C0000}"/>
    <cellStyle name="Percent 3 2 2 8 3 2 4 2 2" xfId="34870" xr:uid="{00000000-0005-0000-0000-00003F8C0000}"/>
    <cellStyle name="Percent 3 2 2 8 3 2 4 3" xfId="25840" xr:uid="{00000000-0005-0000-0000-0000408C0000}"/>
    <cellStyle name="Percent 3 2 2 8 3 2 5" xfId="10336" xr:uid="{00000000-0005-0000-0000-0000418C0000}"/>
    <cellStyle name="Percent 3 2 2 8 3 2 5 2" xfId="30388" xr:uid="{00000000-0005-0000-0000-0000428C0000}"/>
    <cellStyle name="Percent 3 2 2 8 3 2 6" xfId="21358" xr:uid="{00000000-0005-0000-0000-0000438C0000}"/>
    <cellStyle name="Percent 3 2 2 8 3 3" xfId="2053" xr:uid="{00000000-0005-0000-0000-0000448C0000}"/>
    <cellStyle name="Percent 3 2 2 8 3 3 2" xfId="6535" xr:uid="{00000000-0005-0000-0000-0000458C0000}"/>
    <cellStyle name="Percent 3 2 2 8 3 3 2 2" xfId="15565" xr:uid="{00000000-0005-0000-0000-0000468C0000}"/>
    <cellStyle name="Percent 3 2 2 8 3 3 2 2 2" xfId="35617" xr:uid="{00000000-0005-0000-0000-0000478C0000}"/>
    <cellStyle name="Percent 3 2 2 8 3 3 2 3" xfId="26587" xr:uid="{00000000-0005-0000-0000-0000488C0000}"/>
    <cellStyle name="Percent 3 2 2 8 3 3 3" xfId="11083" xr:uid="{00000000-0005-0000-0000-0000498C0000}"/>
    <cellStyle name="Percent 3 2 2 8 3 3 3 2" xfId="31135" xr:uid="{00000000-0005-0000-0000-00004A8C0000}"/>
    <cellStyle name="Percent 3 2 2 8 3 3 4" xfId="22105" xr:uid="{00000000-0005-0000-0000-00004B8C0000}"/>
    <cellStyle name="Percent 3 2 2 8 3 4" xfId="3547" xr:uid="{00000000-0005-0000-0000-00004C8C0000}"/>
    <cellStyle name="Percent 3 2 2 8 3 4 2" xfId="8029" xr:uid="{00000000-0005-0000-0000-00004D8C0000}"/>
    <cellStyle name="Percent 3 2 2 8 3 4 2 2" xfId="17059" xr:uid="{00000000-0005-0000-0000-00004E8C0000}"/>
    <cellStyle name="Percent 3 2 2 8 3 4 2 2 2" xfId="37111" xr:uid="{00000000-0005-0000-0000-00004F8C0000}"/>
    <cellStyle name="Percent 3 2 2 8 3 4 2 3" xfId="28081" xr:uid="{00000000-0005-0000-0000-0000508C0000}"/>
    <cellStyle name="Percent 3 2 2 8 3 4 3" xfId="12577" xr:uid="{00000000-0005-0000-0000-0000518C0000}"/>
    <cellStyle name="Percent 3 2 2 8 3 4 3 2" xfId="32629" xr:uid="{00000000-0005-0000-0000-0000528C0000}"/>
    <cellStyle name="Percent 3 2 2 8 3 4 4" xfId="23599" xr:uid="{00000000-0005-0000-0000-0000538C0000}"/>
    <cellStyle name="Percent 3 2 2 8 3 5" xfId="5041" xr:uid="{00000000-0005-0000-0000-0000548C0000}"/>
    <cellStyle name="Percent 3 2 2 8 3 5 2" xfId="14071" xr:uid="{00000000-0005-0000-0000-0000558C0000}"/>
    <cellStyle name="Percent 3 2 2 8 3 5 2 2" xfId="34123" xr:uid="{00000000-0005-0000-0000-0000568C0000}"/>
    <cellStyle name="Percent 3 2 2 8 3 5 3" xfId="25093" xr:uid="{00000000-0005-0000-0000-0000578C0000}"/>
    <cellStyle name="Percent 3 2 2 8 3 6" xfId="9589" xr:uid="{00000000-0005-0000-0000-0000588C0000}"/>
    <cellStyle name="Percent 3 2 2 8 3 6 2" xfId="29641" xr:uid="{00000000-0005-0000-0000-0000598C0000}"/>
    <cellStyle name="Percent 3 2 2 8 3 7" xfId="20611" xr:uid="{00000000-0005-0000-0000-00005A8C0000}"/>
    <cellStyle name="Percent 3 2 2 8 4" xfId="745" xr:uid="{00000000-0005-0000-0000-00005B8C0000}"/>
    <cellStyle name="Percent 3 2 2 8 4 2" xfId="1492" xr:uid="{00000000-0005-0000-0000-00005C8C0000}"/>
    <cellStyle name="Percent 3 2 2 8 4 2 2" xfId="2986" xr:uid="{00000000-0005-0000-0000-00005D8C0000}"/>
    <cellStyle name="Percent 3 2 2 8 4 2 2 2" xfId="7468" xr:uid="{00000000-0005-0000-0000-00005E8C0000}"/>
    <cellStyle name="Percent 3 2 2 8 4 2 2 2 2" xfId="16498" xr:uid="{00000000-0005-0000-0000-00005F8C0000}"/>
    <cellStyle name="Percent 3 2 2 8 4 2 2 2 2 2" xfId="36550" xr:uid="{00000000-0005-0000-0000-0000608C0000}"/>
    <cellStyle name="Percent 3 2 2 8 4 2 2 2 3" xfId="27520" xr:uid="{00000000-0005-0000-0000-0000618C0000}"/>
    <cellStyle name="Percent 3 2 2 8 4 2 2 3" xfId="12016" xr:uid="{00000000-0005-0000-0000-0000628C0000}"/>
    <cellStyle name="Percent 3 2 2 8 4 2 2 3 2" xfId="32068" xr:uid="{00000000-0005-0000-0000-0000638C0000}"/>
    <cellStyle name="Percent 3 2 2 8 4 2 2 4" xfId="23038" xr:uid="{00000000-0005-0000-0000-0000648C0000}"/>
    <cellStyle name="Percent 3 2 2 8 4 2 3" xfId="4480" xr:uid="{00000000-0005-0000-0000-0000658C0000}"/>
    <cellStyle name="Percent 3 2 2 8 4 2 3 2" xfId="8962" xr:uid="{00000000-0005-0000-0000-0000668C0000}"/>
    <cellStyle name="Percent 3 2 2 8 4 2 3 2 2" xfId="17992" xr:uid="{00000000-0005-0000-0000-0000678C0000}"/>
    <cellStyle name="Percent 3 2 2 8 4 2 3 2 2 2" xfId="38044" xr:uid="{00000000-0005-0000-0000-0000688C0000}"/>
    <cellStyle name="Percent 3 2 2 8 4 2 3 2 3" xfId="29014" xr:uid="{00000000-0005-0000-0000-0000698C0000}"/>
    <cellStyle name="Percent 3 2 2 8 4 2 3 3" xfId="13510" xr:uid="{00000000-0005-0000-0000-00006A8C0000}"/>
    <cellStyle name="Percent 3 2 2 8 4 2 3 3 2" xfId="33562" xr:uid="{00000000-0005-0000-0000-00006B8C0000}"/>
    <cellStyle name="Percent 3 2 2 8 4 2 3 4" xfId="24532" xr:uid="{00000000-0005-0000-0000-00006C8C0000}"/>
    <cellStyle name="Percent 3 2 2 8 4 2 4" xfId="5974" xr:uid="{00000000-0005-0000-0000-00006D8C0000}"/>
    <cellStyle name="Percent 3 2 2 8 4 2 4 2" xfId="15004" xr:uid="{00000000-0005-0000-0000-00006E8C0000}"/>
    <cellStyle name="Percent 3 2 2 8 4 2 4 2 2" xfId="35056" xr:uid="{00000000-0005-0000-0000-00006F8C0000}"/>
    <cellStyle name="Percent 3 2 2 8 4 2 4 3" xfId="26026" xr:uid="{00000000-0005-0000-0000-0000708C0000}"/>
    <cellStyle name="Percent 3 2 2 8 4 2 5" xfId="10522" xr:uid="{00000000-0005-0000-0000-0000718C0000}"/>
    <cellStyle name="Percent 3 2 2 8 4 2 5 2" xfId="30574" xr:uid="{00000000-0005-0000-0000-0000728C0000}"/>
    <cellStyle name="Percent 3 2 2 8 4 2 6" xfId="21544" xr:uid="{00000000-0005-0000-0000-0000738C0000}"/>
    <cellStyle name="Percent 3 2 2 8 4 3" xfId="2239" xr:uid="{00000000-0005-0000-0000-0000748C0000}"/>
    <cellStyle name="Percent 3 2 2 8 4 3 2" xfId="6721" xr:uid="{00000000-0005-0000-0000-0000758C0000}"/>
    <cellStyle name="Percent 3 2 2 8 4 3 2 2" xfId="15751" xr:uid="{00000000-0005-0000-0000-0000768C0000}"/>
    <cellStyle name="Percent 3 2 2 8 4 3 2 2 2" xfId="35803" xr:uid="{00000000-0005-0000-0000-0000778C0000}"/>
    <cellStyle name="Percent 3 2 2 8 4 3 2 3" xfId="26773" xr:uid="{00000000-0005-0000-0000-0000788C0000}"/>
    <cellStyle name="Percent 3 2 2 8 4 3 3" xfId="11269" xr:uid="{00000000-0005-0000-0000-0000798C0000}"/>
    <cellStyle name="Percent 3 2 2 8 4 3 3 2" xfId="31321" xr:uid="{00000000-0005-0000-0000-00007A8C0000}"/>
    <cellStyle name="Percent 3 2 2 8 4 3 4" xfId="22291" xr:uid="{00000000-0005-0000-0000-00007B8C0000}"/>
    <cellStyle name="Percent 3 2 2 8 4 4" xfId="3733" xr:uid="{00000000-0005-0000-0000-00007C8C0000}"/>
    <cellStyle name="Percent 3 2 2 8 4 4 2" xfId="8215" xr:uid="{00000000-0005-0000-0000-00007D8C0000}"/>
    <cellStyle name="Percent 3 2 2 8 4 4 2 2" xfId="17245" xr:uid="{00000000-0005-0000-0000-00007E8C0000}"/>
    <cellStyle name="Percent 3 2 2 8 4 4 2 2 2" xfId="37297" xr:uid="{00000000-0005-0000-0000-00007F8C0000}"/>
    <cellStyle name="Percent 3 2 2 8 4 4 2 3" xfId="28267" xr:uid="{00000000-0005-0000-0000-0000808C0000}"/>
    <cellStyle name="Percent 3 2 2 8 4 4 3" xfId="12763" xr:uid="{00000000-0005-0000-0000-0000818C0000}"/>
    <cellStyle name="Percent 3 2 2 8 4 4 3 2" xfId="32815" xr:uid="{00000000-0005-0000-0000-0000828C0000}"/>
    <cellStyle name="Percent 3 2 2 8 4 4 4" xfId="23785" xr:uid="{00000000-0005-0000-0000-0000838C0000}"/>
    <cellStyle name="Percent 3 2 2 8 4 5" xfId="5227" xr:uid="{00000000-0005-0000-0000-0000848C0000}"/>
    <cellStyle name="Percent 3 2 2 8 4 5 2" xfId="14257" xr:uid="{00000000-0005-0000-0000-0000858C0000}"/>
    <cellStyle name="Percent 3 2 2 8 4 5 2 2" xfId="34309" xr:uid="{00000000-0005-0000-0000-0000868C0000}"/>
    <cellStyle name="Percent 3 2 2 8 4 5 3" xfId="25279" xr:uid="{00000000-0005-0000-0000-0000878C0000}"/>
    <cellStyle name="Percent 3 2 2 8 4 6" xfId="9775" xr:uid="{00000000-0005-0000-0000-0000888C0000}"/>
    <cellStyle name="Percent 3 2 2 8 4 6 2" xfId="29827" xr:uid="{00000000-0005-0000-0000-0000898C0000}"/>
    <cellStyle name="Percent 3 2 2 8 4 7" xfId="20797" xr:uid="{00000000-0005-0000-0000-00008A8C0000}"/>
    <cellStyle name="Percent 3 2 2 8 5" xfId="932" xr:uid="{00000000-0005-0000-0000-00008B8C0000}"/>
    <cellStyle name="Percent 3 2 2 8 5 2" xfId="2426" xr:uid="{00000000-0005-0000-0000-00008C8C0000}"/>
    <cellStyle name="Percent 3 2 2 8 5 2 2" xfId="6908" xr:uid="{00000000-0005-0000-0000-00008D8C0000}"/>
    <cellStyle name="Percent 3 2 2 8 5 2 2 2" xfId="15938" xr:uid="{00000000-0005-0000-0000-00008E8C0000}"/>
    <cellStyle name="Percent 3 2 2 8 5 2 2 2 2" xfId="35990" xr:uid="{00000000-0005-0000-0000-00008F8C0000}"/>
    <cellStyle name="Percent 3 2 2 8 5 2 2 3" xfId="26960" xr:uid="{00000000-0005-0000-0000-0000908C0000}"/>
    <cellStyle name="Percent 3 2 2 8 5 2 3" xfId="11456" xr:uid="{00000000-0005-0000-0000-0000918C0000}"/>
    <cellStyle name="Percent 3 2 2 8 5 2 3 2" xfId="31508" xr:uid="{00000000-0005-0000-0000-0000928C0000}"/>
    <cellStyle name="Percent 3 2 2 8 5 2 4" xfId="22478" xr:uid="{00000000-0005-0000-0000-0000938C0000}"/>
    <cellStyle name="Percent 3 2 2 8 5 3" xfId="3920" xr:uid="{00000000-0005-0000-0000-0000948C0000}"/>
    <cellStyle name="Percent 3 2 2 8 5 3 2" xfId="8402" xr:uid="{00000000-0005-0000-0000-0000958C0000}"/>
    <cellStyle name="Percent 3 2 2 8 5 3 2 2" xfId="17432" xr:uid="{00000000-0005-0000-0000-0000968C0000}"/>
    <cellStyle name="Percent 3 2 2 8 5 3 2 2 2" xfId="37484" xr:uid="{00000000-0005-0000-0000-0000978C0000}"/>
    <cellStyle name="Percent 3 2 2 8 5 3 2 3" xfId="28454" xr:uid="{00000000-0005-0000-0000-0000988C0000}"/>
    <cellStyle name="Percent 3 2 2 8 5 3 3" xfId="12950" xr:uid="{00000000-0005-0000-0000-0000998C0000}"/>
    <cellStyle name="Percent 3 2 2 8 5 3 3 2" xfId="33002" xr:uid="{00000000-0005-0000-0000-00009A8C0000}"/>
    <cellStyle name="Percent 3 2 2 8 5 3 4" xfId="23972" xr:uid="{00000000-0005-0000-0000-00009B8C0000}"/>
    <cellStyle name="Percent 3 2 2 8 5 4" xfId="5414" xr:uid="{00000000-0005-0000-0000-00009C8C0000}"/>
    <cellStyle name="Percent 3 2 2 8 5 4 2" xfId="14444" xr:uid="{00000000-0005-0000-0000-00009D8C0000}"/>
    <cellStyle name="Percent 3 2 2 8 5 4 2 2" xfId="34496" xr:uid="{00000000-0005-0000-0000-00009E8C0000}"/>
    <cellStyle name="Percent 3 2 2 8 5 4 3" xfId="25466" xr:uid="{00000000-0005-0000-0000-00009F8C0000}"/>
    <cellStyle name="Percent 3 2 2 8 5 5" xfId="9962" xr:uid="{00000000-0005-0000-0000-0000A08C0000}"/>
    <cellStyle name="Percent 3 2 2 8 5 5 2" xfId="30014" xr:uid="{00000000-0005-0000-0000-0000A18C0000}"/>
    <cellStyle name="Percent 3 2 2 8 5 6" xfId="20984" xr:uid="{00000000-0005-0000-0000-0000A28C0000}"/>
    <cellStyle name="Percent 3 2 2 8 6" xfId="1681" xr:uid="{00000000-0005-0000-0000-0000A38C0000}"/>
    <cellStyle name="Percent 3 2 2 8 6 2" xfId="6163" xr:uid="{00000000-0005-0000-0000-0000A48C0000}"/>
    <cellStyle name="Percent 3 2 2 8 6 2 2" xfId="15193" xr:uid="{00000000-0005-0000-0000-0000A58C0000}"/>
    <cellStyle name="Percent 3 2 2 8 6 2 2 2" xfId="35245" xr:uid="{00000000-0005-0000-0000-0000A68C0000}"/>
    <cellStyle name="Percent 3 2 2 8 6 2 3" xfId="26215" xr:uid="{00000000-0005-0000-0000-0000A78C0000}"/>
    <cellStyle name="Percent 3 2 2 8 6 3" xfId="10711" xr:uid="{00000000-0005-0000-0000-0000A88C0000}"/>
    <cellStyle name="Percent 3 2 2 8 6 3 2" xfId="30763" xr:uid="{00000000-0005-0000-0000-0000A98C0000}"/>
    <cellStyle name="Percent 3 2 2 8 6 4" xfId="21733" xr:uid="{00000000-0005-0000-0000-0000AA8C0000}"/>
    <cellStyle name="Percent 3 2 2 8 7" xfId="3175" xr:uid="{00000000-0005-0000-0000-0000AB8C0000}"/>
    <cellStyle name="Percent 3 2 2 8 7 2" xfId="7657" xr:uid="{00000000-0005-0000-0000-0000AC8C0000}"/>
    <cellStyle name="Percent 3 2 2 8 7 2 2" xfId="16687" xr:uid="{00000000-0005-0000-0000-0000AD8C0000}"/>
    <cellStyle name="Percent 3 2 2 8 7 2 2 2" xfId="36739" xr:uid="{00000000-0005-0000-0000-0000AE8C0000}"/>
    <cellStyle name="Percent 3 2 2 8 7 2 3" xfId="27709" xr:uid="{00000000-0005-0000-0000-0000AF8C0000}"/>
    <cellStyle name="Percent 3 2 2 8 7 3" xfId="12205" xr:uid="{00000000-0005-0000-0000-0000B08C0000}"/>
    <cellStyle name="Percent 3 2 2 8 7 3 2" xfId="32257" xr:uid="{00000000-0005-0000-0000-0000B18C0000}"/>
    <cellStyle name="Percent 3 2 2 8 7 4" xfId="23227" xr:uid="{00000000-0005-0000-0000-0000B28C0000}"/>
    <cellStyle name="Percent 3 2 2 8 8" xfId="4669" xr:uid="{00000000-0005-0000-0000-0000B38C0000}"/>
    <cellStyle name="Percent 3 2 2 8 8 2" xfId="13699" xr:uid="{00000000-0005-0000-0000-0000B48C0000}"/>
    <cellStyle name="Percent 3 2 2 8 8 2 2" xfId="33751" xr:uid="{00000000-0005-0000-0000-0000B58C0000}"/>
    <cellStyle name="Percent 3 2 2 8 8 3" xfId="24721" xr:uid="{00000000-0005-0000-0000-0000B68C0000}"/>
    <cellStyle name="Percent 3 2 2 8 9" xfId="9217" xr:uid="{00000000-0005-0000-0000-0000B78C0000}"/>
    <cellStyle name="Percent 3 2 2 8 9 2" xfId="29269" xr:uid="{00000000-0005-0000-0000-0000B88C0000}"/>
    <cellStyle name="Percent 3 2 2 9" xfId="210" xr:uid="{00000000-0005-0000-0000-0000B98C0000}"/>
    <cellStyle name="Percent 3 2 2 9 2" xfId="955" xr:uid="{00000000-0005-0000-0000-0000BA8C0000}"/>
    <cellStyle name="Percent 3 2 2 9 2 2" xfId="2449" xr:uid="{00000000-0005-0000-0000-0000BB8C0000}"/>
    <cellStyle name="Percent 3 2 2 9 2 2 2" xfId="6931" xr:uid="{00000000-0005-0000-0000-0000BC8C0000}"/>
    <cellStyle name="Percent 3 2 2 9 2 2 2 2" xfId="15961" xr:uid="{00000000-0005-0000-0000-0000BD8C0000}"/>
    <cellStyle name="Percent 3 2 2 9 2 2 2 2 2" xfId="36013" xr:uid="{00000000-0005-0000-0000-0000BE8C0000}"/>
    <cellStyle name="Percent 3 2 2 9 2 2 2 3" xfId="26983" xr:uid="{00000000-0005-0000-0000-0000BF8C0000}"/>
    <cellStyle name="Percent 3 2 2 9 2 2 3" xfId="11479" xr:uid="{00000000-0005-0000-0000-0000C08C0000}"/>
    <cellStyle name="Percent 3 2 2 9 2 2 3 2" xfId="31531" xr:uid="{00000000-0005-0000-0000-0000C18C0000}"/>
    <cellStyle name="Percent 3 2 2 9 2 2 4" xfId="22501" xr:uid="{00000000-0005-0000-0000-0000C28C0000}"/>
    <cellStyle name="Percent 3 2 2 9 2 3" xfId="3943" xr:uid="{00000000-0005-0000-0000-0000C38C0000}"/>
    <cellStyle name="Percent 3 2 2 9 2 3 2" xfId="8425" xr:uid="{00000000-0005-0000-0000-0000C48C0000}"/>
    <cellStyle name="Percent 3 2 2 9 2 3 2 2" xfId="17455" xr:uid="{00000000-0005-0000-0000-0000C58C0000}"/>
    <cellStyle name="Percent 3 2 2 9 2 3 2 2 2" xfId="37507" xr:uid="{00000000-0005-0000-0000-0000C68C0000}"/>
    <cellStyle name="Percent 3 2 2 9 2 3 2 3" xfId="28477" xr:uid="{00000000-0005-0000-0000-0000C78C0000}"/>
    <cellStyle name="Percent 3 2 2 9 2 3 3" xfId="12973" xr:uid="{00000000-0005-0000-0000-0000C88C0000}"/>
    <cellStyle name="Percent 3 2 2 9 2 3 3 2" xfId="33025" xr:uid="{00000000-0005-0000-0000-0000C98C0000}"/>
    <cellStyle name="Percent 3 2 2 9 2 3 4" xfId="23995" xr:uid="{00000000-0005-0000-0000-0000CA8C0000}"/>
    <cellStyle name="Percent 3 2 2 9 2 4" xfId="5437" xr:uid="{00000000-0005-0000-0000-0000CB8C0000}"/>
    <cellStyle name="Percent 3 2 2 9 2 4 2" xfId="14467" xr:uid="{00000000-0005-0000-0000-0000CC8C0000}"/>
    <cellStyle name="Percent 3 2 2 9 2 4 2 2" xfId="34519" xr:uid="{00000000-0005-0000-0000-0000CD8C0000}"/>
    <cellStyle name="Percent 3 2 2 9 2 4 3" xfId="25489" xr:uid="{00000000-0005-0000-0000-0000CE8C0000}"/>
    <cellStyle name="Percent 3 2 2 9 2 5" xfId="9985" xr:uid="{00000000-0005-0000-0000-0000CF8C0000}"/>
    <cellStyle name="Percent 3 2 2 9 2 5 2" xfId="30037" xr:uid="{00000000-0005-0000-0000-0000D08C0000}"/>
    <cellStyle name="Percent 3 2 2 9 2 6" xfId="21007" xr:uid="{00000000-0005-0000-0000-0000D18C0000}"/>
    <cellStyle name="Percent 3 2 2 9 3" xfId="1704" xr:uid="{00000000-0005-0000-0000-0000D28C0000}"/>
    <cellStyle name="Percent 3 2 2 9 3 2" xfId="6186" xr:uid="{00000000-0005-0000-0000-0000D38C0000}"/>
    <cellStyle name="Percent 3 2 2 9 3 2 2" xfId="15216" xr:uid="{00000000-0005-0000-0000-0000D48C0000}"/>
    <cellStyle name="Percent 3 2 2 9 3 2 2 2" xfId="35268" xr:uid="{00000000-0005-0000-0000-0000D58C0000}"/>
    <cellStyle name="Percent 3 2 2 9 3 2 3" xfId="26238" xr:uid="{00000000-0005-0000-0000-0000D68C0000}"/>
    <cellStyle name="Percent 3 2 2 9 3 3" xfId="10734" xr:uid="{00000000-0005-0000-0000-0000D78C0000}"/>
    <cellStyle name="Percent 3 2 2 9 3 3 2" xfId="30786" xr:uid="{00000000-0005-0000-0000-0000D88C0000}"/>
    <cellStyle name="Percent 3 2 2 9 3 4" xfId="21756" xr:uid="{00000000-0005-0000-0000-0000D98C0000}"/>
    <cellStyle name="Percent 3 2 2 9 4" xfId="3198" xr:uid="{00000000-0005-0000-0000-0000DA8C0000}"/>
    <cellStyle name="Percent 3 2 2 9 4 2" xfId="7680" xr:uid="{00000000-0005-0000-0000-0000DB8C0000}"/>
    <cellStyle name="Percent 3 2 2 9 4 2 2" xfId="16710" xr:uid="{00000000-0005-0000-0000-0000DC8C0000}"/>
    <cellStyle name="Percent 3 2 2 9 4 2 2 2" xfId="36762" xr:uid="{00000000-0005-0000-0000-0000DD8C0000}"/>
    <cellStyle name="Percent 3 2 2 9 4 2 3" xfId="27732" xr:uid="{00000000-0005-0000-0000-0000DE8C0000}"/>
    <cellStyle name="Percent 3 2 2 9 4 3" xfId="12228" xr:uid="{00000000-0005-0000-0000-0000DF8C0000}"/>
    <cellStyle name="Percent 3 2 2 9 4 3 2" xfId="32280" xr:uid="{00000000-0005-0000-0000-0000E08C0000}"/>
    <cellStyle name="Percent 3 2 2 9 4 4" xfId="23250" xr:uid="{00000000-0005-0000-0000-0000E18C0000}"/>
    <cellStyle name="Percent 3 2 2 9 5" xfId="4692" xr:uid="{00000000-0005-0000-0000-0000E28C0000}"/>
    <cellStyle name="Percent 3 2 2 9 5 2" xfId="13722" xr:uid="{00000000-0005-0000-0000-0000E38C0000}"/>
    <cellStyle name="Percent 3 2 2 9 5 2 2" xfId="33774" xr:uid="{00000000-0005-0000-0000-0000E48C0000}"/>
    <cellStyle name="Percent 3 2 2 9 5 3" xfId="24744" xr:uid="{00000000-0005-0000-0000-0000E58C0000}"/>
    <cellStyle name="Percent 3 2 2 9 6" xfId="9240" xr:uid="{00000000-0005-0000-0000-0000E68C0000}"/>
    <cellStyle name="Percent 3 2 2 9 6 2" xfId="29292" xr:uid="{00000000-0005-0000-0000-0000E78C0000}"/>
    <cellStyle name="Percent 3 2 2 9 7" xfId="20262" xr:uid="{00000000-0005-0000-0000-0000E88C0000}"/>
    <cellStyle name="Percent 3 2 3" xfId="37" xr:uid="{00000000-0005-0000-0000-0000E98C0000}"/>
    <cellStyle name="Percent 3 2 3 10" xfId="20089" xr:uid="{00000000-0005-0000-0000-0000EA8C0000}"/>
    <cellStyle name="Percent 3 2 3 2" xfId="223" xr:uid="{00000000-0005-0000-0000-0000EB8C0000}"/>
    <cellStyle name="Percent 3 2 3 2 2" xfId="968" xr:uid="{00000000-0005-0000-0000-0000EC8C0000}"/>
    <cellStyle name="Percent 3 2 3 2 2 2" xfId="2462" xr:uid="{00000000-0005-0000-0000-0000ED8C0000}"/>
    <cellStyle name="Percent 3 2 3 2 2 2 2" xfId="6944" xr:uid="{00000000-0005-0000-0000-0000EE8C0000}"/>
    <cellStyle name="Percent 3 2 3 2 2 2 2 2" xfId="15974" xr:uid="{00000000-0005-0000-0000-0000EF8C0000}"/>
    <cellStyle name="Percent 3 2 3 2 2 2 2 2 2" xfId="36026" xr:uid="{00000000-0005-0000-0000-0000F08C0000}"/>
    <cellStyle name="Percent 3 2 3 2 2 2 2 3" xfId="26996" xr:uid="{00000000-0005-0000-0000-0000F18C0000}"/>
    <cellStyle name="Percent 3 2 3 2 2 2 3" xfId="11492" xr:uid="{00000000-0005-0000-0000-0000F28C0000}"/>
    <cellStyle name="Percent 3 2 3 2 2 2 3 2" xfId="31544" xr:uid="{00000000-0005-0000-0000-0000F38C0000}"/>
    <cellStyle name="Percent 3 2 3 2 2 2 4" xfId="22514" xr:uid="{00000000-0005-0000-0000-0000F48C0000}"/>
    <cellStyle name="Percent 3 2 3 2 2 3" xfId="3956" xr:uid="{00000000-0005-0000-0000-0000F58C0000}"/>
    <cellStyle name="Percent 3 2 3 2 2 3 2" xfId="8438" xr:uid="{00000000-0005-0000-0000-0000F68C0000}"/>
    <cellStyle name="Percent 3 2 3 2 2 3 2 2" xfId="17468" xr:uid="{00000000-0005-0000-0000-0000F78C0000}"/>
    <cellStyle name="Percent 3 2 3 2 2 3 2 2 2" xfId="37520" xr:uid="{00000000-0005-0000-0000-0000F88C0000}"/>
    <cellStyle name="Percent 3 2 3 2 2 3 2 3" xfId="28490" xr:uid="{00000000-0005-0000-0000-0000F98C0000}"/>
    <cellStyle name="Percent 3 2 3 2 2 3 3" xfId="12986" xr:uid="{00000000-0005-0000-0000-0000FA8C0000}"/>
    <cellStyle name="Percent 3 2 3 2 2 3 3 2" xfId="33038" xr:uid="{00000000-0005-0000-0000-0000FB8C0000}"/>
    <cellStyle name="Percent 3 2 3 2 2 3 4" xfId="24008" xr:uid="{00000000-0005-0000-0000-0000FC8C0000}"/>
    <cellStyle name="Percent 3 2 3 2 2 4" xfId="5450" xr:uid="{00000000-0005-0000-0000-0000FD8C0000}"/>
    <cellStyle name="Percent 3 2 3 2 2 4 2" xfId="14480" xr:uid="{00000000-0005-0000-0000-0000FE8C0000}"/>
    <cellStyle name="Percent 3 2 3 2 2 4 2 2" xfId="34532" xr:uid="{00000000-0005-0000-0000-0000FF8C0000}"/>
    <cellStyle name="Percent 3 2 3 2 2 4 3" xfId="25502" xr:uid="{00000000-0005-0000-0000-0000008D0000}"/>
    <cellStyle name="Percent 3 2 3 2 2 5" xfId="9998" xr:uid="{00000000-0005-0000-0000-0000018D0000}"/>
    <cellStyle name="Percent 3 2 3 2 2 5 2" xfId="30050" xr:uid="{00000000-0005-0000-0000-0000028D0000}"/>
    <cellStyle name="Percent 3 2 3 2 2 6" xfId="21020" xr:uid="{00000000-0005-0000-0000-0000038D0000}"/>
    <cellStyle name="Percent 3 2 3 2 3" xfId="1717" xr:uid="{00000000-0005-0000-0000-0000048D0000}"/>
    <cellStyle name="Percent 3 2 3 2 3 2" xfId="6199" xr:uid="{00000000-0005-0000-0000-0000058D0000}"/>
    <cellStyle name="Percent 3 2 3 2 3 2 2" xfId="15229" xr:uid="{00000000-0005-0000-0000-0000068D0000}"/>
    <cellStyle name="Percent 3 2 3 2 3 2 2 2" xfId="35281" xr:uid="{00000000-0005-0000-0000-0000078D0000}"/>
    <cellStyle name="Percent 3 2 3 2 3 2 3" xfId="26251" xr:uid="{00000000-0005-0000-0000-0000088D0000}"/>
    <cellStyle name="Percent 3 2 3 2 3 3" xfId="10747" xr:uid="{00000000-0005-0000-0000-0000098D0000}"/>
    <cellStyle name="Percent 3 2 3 2 3 3 2" xfId="30799" xr:uid="{00000000-0005-0000-0000-00000A8D0000}"/>
    <cellStyle name="Percent 3 2 3 2 3 4" xfId="21769" xr:uid="{00000000-0005-0000-0000-00000B8D0000}"/>
    <cellStyle name="Percent 3 2 3 2 4" xfId="3211" xr:uid="{00000000-0005-0000-0000-00000C8D0000}"/>
    <cellStyle name="Percent 3 2 3 2 4 2" xfId="7693" xr:uid="{00000000-0005-0000-0000-00000D8D0000}"/>
    <cellStyle name="Percent 3 2 3 2 4 2 2" xfId="16723" xr:uid="{00000000-0005-0000-0000-00000E8D0000}"/>
    <cellStyle name="Percent 3 2 3 2 4 2 2 2" xfId="36775" xr:uid="{00000000-0005-0000-0000-00000F8D0000}"/>
    <cellStyle name="Percent 3 2 3 2 4 2 3" xfId="27745" xr:uid="{00000000-0005-0000-0000-0000108D0000}"/>
    <cellStyle name="Percent 3 2 3 2 4 3" xfId="12241" xr:uid="{00000000-0005-0000-0000-0000118D0000}"/>
    <cellStyle name="Percent 3 2 3 2 4 3 2" xfId="32293" xr:uid="{00000000-0005-0000-0000-0000128D0000}"/>
    <cellStyle name="Percent 3 2 3 2 4 4" xfId="23263" xr:uid="{00000000-0005-0000-0000-0000138D0000}"/>
    <cellStyle name="Percent 3 2 3 2 5" xfId="4705" xr:uid="{00000000-0005-0000-0000-0000148D0000}"/>
    <cellStyle name="Percent 3 2 3 2 5 2" xfId="13735" xr:uid="{00000000-0005-0000-0000-0000158D0000}"/>
    <cellStyle name="Percent 3 2 3 2 5 2 2" xfId="33787" xr:uid="{00000000-0005-0000-0000-0000168D0000}"/>
    <cellStyle name="Percent 3 2 3 2 5 3" xfId="24757" xr:uid="{00000000-0005-0000-0000-0000178D0000}"/>
    <cellStyle name="Percent 3 2 3 2 6" xfId="9253" xr:uid="{00000000-0005-0000-0000-0000188D0000}"/>
    <cellStyle name="Percent 3 2 3 2 6 2" xfId="29305" xr:uid="{00000000-0005-0000-0000-0000198D0000}"/>
    <cellStyle name="Percent 3 2 3 2 7" xfId="20275" xr:uid="{00000000-0005-0000-0000-00001A8D0000}"/>
    <cellStyle name="Percent 3 2 3 3" xfId="409" xr:uid="{00000000-0005-0000-0000-00001B8D0000}"/>
    <cellStyle name="Percent 3 2 3 3 2" xfId="1156" xr:uid="{00000000-0005-0000-0000-00001C8D0000}"/>
    <cellStyle name="Percent 3 2 3 3 2 2" xfId="2650" xr:uid="{00000000-0005-0000-0000-00001D8D0000}"/>
    <cellStyle name="Percent 3 2 3 3 2 2 2" xfId="7132" xr:uid="{00000000-0005-0000-0000-00001E8D0000}"/>
    <cellStyle name="Percent 3 2 3 3 2 2 2 2" xfId="16162" xr:uid="{00000000-0005-0000-0000-00001F8D0000}"/>
    <cellStyle name="Percent 3 2 3 3 2 2 2 2 2" xfId="36214" xr:uid="{00000000-0005-0000-0000-0000208D0000}"/>
    <cellStyle name="Percent 3 2 3 3 2 2 2 3" xfId="27184" xr:uid="{00000000-0005-0000-0000-0000218D0000}"/>
    <cellStyle name="Percent 3 2 3 3 2 2 3" xfId="11680" xr:uid="{00000000-0005-0000-0000-0000228D0000}"/>
    <cellStyle name="Percent 3 2 3 3 2 2 3 2" xfId="31732" xr:uid="{00000000-0005-0000-0000-0000238D0000}"/>
    <cellStyle name="Percent 3 2 3 3 2 2 4" xfId="22702" xr:uid="{00000000-0005-0000-0000-0000248D0000}"/>
    <cellStyle name="Percent 3 2 3 3 2 3" xfId="4144" xr:uid="{00000000-0005-0000-0000-0000258D0000}"/>
    <cellStyle name="Percent 3 2 3 3 2 3 2" xfId="8626" xr:uid="{00000000-0005-0000-0000-0000268D0000}"/>
    <cellStyle name="Percent 3 2 3 3 2 3 2 2" xfId="17656" xr:uid="{00000000-0005-0000-0000-0000278D0000}"/>
    <cellStyle name="Percent 3 2 3 3 2 3 2 2 2" xfId="37708" xr:uid="{00000000-0005-0000-0000-0000288D0000}"/>
    <cellStyle name="Percent 3 2 3 3 2 3 2 3" xfId="28678" xr:uid="{00000000-0005-0000-0000-0000298D0000}"/>
    <cellStyle name="Percent 3 2 3 3 2 3 3" xfId="13174" xr:uid="{00000000-0005-0000-0000-00002A8D0000}"/>
    <cellStyle name="Percent 3 2 3 3 2 3 3 2" xfId="33226" xr:uid="{00000000-0005-0000-0000-00002B8D0000}"/>
    <cellStyle name="Percent 3 2 3 3 2 3 4" xfId="24196" xr:uid="{00000000-0005-0000-0000-00002C8D0000}"/>
    <cellStyle name="Percent 3 2 3 3 2 4" xfId="5638" xr:uid="{00000000-0005-0000-0000-00002D8D0000}"/>
    <cellStyle name="Percent 3 2 3 3 2 4 2" xfId="14668" xr:uid="{00000000-0005-0000-0000-00002E8D0000}"/>
    <cellStyle name="Percent 3 2 3 3 2 4 2 2" xfId="34720" xr:uid="{00000000-0005-0000-0000-00002F8D0000}"/>
    <cellStyle name="Percent 3 2 3 3 2 4 3" xfId="25690" xr:uid="{00000000-0005-0000-0000-0000308D0000}"/>
    <cellStyle name="Percent 3 2 3 3 2 5" xfId="10186" xr:uid="{00000000-0005-0000-0000-0000318D0000}"/>
    <cellStyle name="Percent 3 2 3 3 2 5 2" xfId="30238" xr:uid="{00000000-0005-0000-0000-0000328D0000}"/>
    <cellStyle name="Percent 3 2 3 3 2 6" xfId="21208" xr:uid="{00000000-0005-0000-0000-0000338D0000}"/>
    <cellStyle name="Percent 3 2 3 3 3" xfId="1903" xr:uid="{00000000-0005-0000-0000-0000348D0000}"/>
    <cellStyle name="Percent 3 2 3 3 3 2" xfId="6385" xr:uid="{00000000-0005-0000-0000-0000358D0000}"/>
    <cellStyle name="Percent 3 2 3 3 3 2 2" xfId="15415" xr:uid="{00000000-0005-0000-0000-0000368D0000}"/>
    <cellStyle name="Percent 3 2 3 3 3 2 2 2" xfId="35467" xr:uid="{00000000-0005-0000-0000-0000378D0000}"/>
    <cellStyle name="Percent 3 2 3 3 3 2 3" xfId="26437" xr:uid="{00000000-0005-0000-0000-0000388D0000}"/>
    <cellStyle name="Percent 3 2 3 3 3 3" xfId="10933" xr:uid="{00000000-0005-0000-0000-0000398D0000}"/>
    <cellStyle name="Percent 3 2 3 3 3 3 2" xfId="30985" xr:uid="{00000000-0005-0000-0000-00003A8D0000}"/>
    <cellStyle name="Percent 3 2 3 3 3 4" xfId="21955" xr:uid="{00000000-0005-0000-0000-00003B8D0000}"/>
    <cellStyle name="Percent 3 2 3 3 4" xfId="3397" xr:uid="{00000000-0005-0000-0000-00003C8D0000}"/>
    <cellStyle name="Percent 3 2 3 3 4 2" xfId="7879" xr:uid="{00000000-0005-0000-0000-00003D8D0000}"/>
    <cellStyle name="Percent 3 2 3 3 4 2 2" xfId="16909" xr:uid="{00000000-0005-0000-0000-00003E8D0000}"/>
    <cellStyle name="Percent 3 2 3 3 4 2 2 2" xfId="36961" xr:uid="{00000000-0005-0000-0000-00003F8D0000}"/>
    <cellStyle name="Percent 3 2 3 3 4 2 3" xfId="27931" xr:uid="{00000000-0005-0000-0000-0000408D0000}"/>
    <cellStyle name="Percent 3 2 3 3 4 3" xfId="12427" xr:uid="{00000000-0005-0000-0000-0000418D0000}"/>
    <cellStyle name="Percent 3 2 3 3 4 3 2" xfId="32479" xr:uid="{00000000-0005-0000-0000-0000428D0000}"/>
    <cellStyle name="Percent 3 2 3 3 4 4" xfId="23449" xr:uid="{00000000-0005-0000-0000-0000438D0000}"/>
    <cellStyle name="Percent 3 2 3 3 5" xfId="4891" xr:uid="{00000000-0005-0000-0000-0000448D0000}"/>
    <cellStyle name="Percent 3 2 3 3 5 2" xfId="13921" xr:uid="{00000000-0005-0000-0000-0000458D0000}"/>
    <cellStyle name="Percent 3 2 3 3 5 2 2" xfId="33973" xr:uid="{00000000-0005-0000-0000-0000468D0000}"/>
    <cellStyle name="Percent 3 2 3 3 5 3" xfId="24943" xr:uid="{00000000-0005-0000-0000-0000478D0000}"/>
    <cellStyle name="Percent 3 2 3 3 6" xfId="9439" xr:uid="{00000000-0005-0000-0000-0000488D0000}"/>
    <cellStyle name="Percent 3 2 3 3 6 2" xfId="29491" xr:uid="{00000000-0005-0000-0000-0000498D0000}"/>
    <cellStyle name="Percent 3 2 3 3 7" xfId="20461" xr:uid="{00000000-0005-0000-0000-00004A8D0000}"/>
    <cellStyle name="Percent 3 2 3 4" xfId="595" xr:uid="{00000000-0005-0000-0000-00004B8D0000}"/>
    <cellStyle name="Percent 3 2 3 4 2" xfId="1342" xr:uid="{00000000-0005-0000-0000-00004C8D0000}"/>
    <cellStyle name="Percent 3 2 3 4 2 2" xfId="2836" xr:uid="{00000000-0005-0000-0000-00004D8D0000}"/>
    <cellStyle name="Percent 3 2 3 4 2 2 2" xfId="7318" xr:uid="{00000000-0005-0000-0000-00004E8D0000}"/>
    <cellStyle name="Percent 3 2 3 4 2 2 2 2" xfId="16348" xr:uid="{00000000-0005-0000-0000-00004F8D0000}"/>
    <cellStyle name="Percent 3 2 3 4 2 2 2 2 2" xfId="36400" xr:uid="{00000000-0005-0000-0000-0000508D0000}"/>
    <cellStyle name="Percent 3 2 3 4 2 2 2 3" xfId="27370" xr:uid="{00000000-0005-0000-0000-0000518D0000}"/>
    <cellStyle name="Percent 3 2 3 4 2 2 3" xfId="11866" xr:uid="{00000000-0005-0000-0000-0000528D0000}"/>
    <cellStyle name="Percent 3 2 3 4 2 2 3 2" xfId="31918" xr:uid="{00000000-0005-0000-0000-0000538D0000}"/>
    <cellStyle name="Percent 3 2 3 4 2 2 4" xfId="22888" xr:uid="{00000000-0005-0000-0000-0000548D0000}"/>
    <cellStyle name="Percent 3 2 3 4 2 3" xfId="4330" xr:uid="{00000000-0005-0000-0000-0000558D0000}"/>
    <cellStyle name="Percent 3 2 3 4 2 3 2" xfId="8812" xr:uid="{00000000-0005-0000-0000-0000568D0000}"/>
    <cellStyle name="Percent 3 2 3 4 2 3 2 2" xfId="17842" xr:uid="{00000000-0005-0000-0000-0000578D0000}"/>
    <cellStyle name="Percent 3 2 3 4 2 3 2 2 2" xfId="37894" xr:uid="{00000000-0005-0000-0000-0000588D0000}"/>
    <cellStyle name="Percent 3 2 3 4 2 3 2 3" xfId="28864" xr:uid="{00000000-0005-0000-0000-0000598D0000}"/>
    <cellStyle name="Percent 3 2 3 4 2 3 3" xfId="13360" xr:uid="{00000000-0005-0000-0000-00005A8D0000}"/>
    <cellStyle name="Percent 3 2 3 4 2 3 3 2" xfId="33412" xr:uid="{00000000-0005-0000-0000-00005B8D0000}"/>
    <cellStyle name="Percent 3 2 3 4 2 3 4" xfId="24382" xr:uid="{00000000-0005-0000-0000-00005C8D0000}"/>
    <cellStyle name="Percent 3 2 3 4 2 4" xfId="5824" xr:uid="{00000000-0005-0000-0000-00005D8D0000}"/>
    <cellStyle name="Percent 3 2 3 4 2 4 2" xfId="14854" xr:uid="{00000000-0005-0000-0000-00005E8D0000}"/>
    <cellStyle name="Percent 3 2 3 4 2 4 2 2" xfId="34906" xr:uid="{00000000-0005-0000-0000-00005F8D0000}"/>
    <cellStyle name="Percent 3 2 3 4 2 4 3" xfId="25876" xr:uid="{00000000-0005-0000-0000-0000608D0000}"/>
    <cellStyle name="Percent 3 2 3 4 2 5" xfId="10372" xr:uid="{00000000-0005-0000-0000-0000618D0000}"/>
    <cellStyle name="Percent 3 2 3 4 2 5 2" xfId="30424" xr:uid="{00000000-0005-0000-0000-0000628D0000}"/>
    <cellStyle name="Percent 3 2 3 4 2 6" xfId="21394" xr:uid="{00000000-0005-0000-0000-0000638D0000}"/>
    <cellStyle name="Percent 3 2 3 4 3" xfId="2089" xr:uid="{00000000-0005-0000-0000-0000648D0000}"/>
    <cellStyle name="Percent 3 2 3 4 3 2" xfId="6571" xr:uid="{00000000-0005-0000-0000-0000658D0000}"/>
    <cellStyle name="Percent 3 2 3 4 3 2 2" xfId="15601" xr:uid="{00000000-0005-0000-0000-0000668D0000}"/>
    <cellStyle name="Percent 3 2 3 4 3 2 2 2" xfId="35653" xr:uid="{00000000-0005-0000-0000-0000678D0000}"/>
    <cellStyle name="Percent 3 2 3 4 3 2 3" xfId="26623" xr:uid="{00000000-0005-0000-0000-0000688D0000}"/>
    <cellStyle name="Percent 3 2 3 4 3 3" xfId="11119" xr:uid="{00000000-0005-0000-0000-0000698D0000}"/>
    <cellStyle name="Percent 3 2 3 4 3 3 2" xfId="31171" xr:uid="{00000000-0005-0000-0000-00006A8D0000}"/>
    <cellStyle name="Percent 3 2 3 4 3 4" xfId="22141" xr:uid="{00000000-0005-0000-0000-00006B8D0000}"/>
    <cellStyle name="Percent 3 2 3 4 4" xfId="3583" xr:uid="{00000000-0005-0000-0000-00006C8D0000}"/>
    <cellStyle name="Percent 3 2 3 4 4 2" xfId="8065" xr:uid="{00000000-0005-0000-0000-00006D8D0000}"/>
    <cellStyle name="Percent 3 2 3 4 4 2 2" xfId="17095" xr:uid="{00000000-0005-0000-0000-00006E8D0000}"/>
    <cellStyle name="Percent 3 2 3 4 4 2 2 2" xfId="37147" xr:uid="{00000000-0005-0000-0000-00006F8D0000}"/>
    <cellStyle name="Percent 3 2 3 4 4 2 3" xfId="28117" xr:uid="{00000000-0005-0000-0000-0000708D0000}"/>
    <cellStyle name="Percent 3 2 3 4 4 3" xfId="12613" xr:uid="{00000000-0005-0000-0000-0000718D0000}"/>
    <cellStyle name="Percent 3 2 3 4 4 3 2" xfId="32665" xr:uid="{00000000-0005-0000-0000-0000728D0000}"/>
    <cellStyle name="Percent 3 2 3 4 4 4" xfId="23635" xr:uid="{00000000-0005-0000-0000-0000738D0000}"/>
    <cellStyle name="Percent 3 2 3 4 5" xfId="5077" xr:uid="{00000000-0005-0000-0000-0000748D0000}"/>
    <cellStyle name="Percent 3 2 3 4 5 2" xfId="14107" xr:uid="{00000000-0005-0000-0000-0000758D0000}"/>
    <cellStyle name="Percent 3 2 3 4 5 2 2" xfId="34159" xr:uid="{00000000-0005-0000-0000-0000768D0000}"/>
    <cellStyle name="Percent 3 2 3 4 5 3" xfId="25129" xr:uid="{00000000-0005-0000-0000-0000778D0000}"/>
    <cellStyle name="Percent 3 2 3 4 6" xfId="9625" xr:uid="{00000000-0005-0000-0000-0000788D0000}"/>
    <cellStyle name="Percent 3 2 3 4 6 2" xfId="29677" xr:uid="{00000000-0005-0000-0000-0000798D0000}"/>
    <cellStyle name="Percent 3 2 3 4 7" xfId="20647" xr:uid="{00000000-0005-0000-0000-00007A8D0000}"/>
    <cellStyle name="Percent 3 2 3 5" xfId="782" xr:uid="{00000000-0005-0000-0000-00007B8D0000}"/>
    <cellStyle name="Percent 3 2 3 5 2" xfId="2276" xr:uid="{00000000-0005-0000-0000-00007C8D0000}"/>
    <cellStyle name="Percent 3 2 3 5 2 2" xfId="6758" xr:uid="{00000000-0005-0000-0000-00007D8D0000}"/>
    <cellStyle name="Percent 3 2 3 5 2 2 2" xfId="15788" xr:uid="{00000000-0005-0000-0000-00007E8D0000}"/>
    <cellStyle name="Percent 3 2 3 5 2 2 2 2" xfId="35840" xr:uid="{00000000-0005-0000-0000-00007F8D0000}"/>
    <cellStyle name="Percent 3 2 3 5 2 2 3" xfId="26810" xr:uid="{00000000-0005-0000-0000-0000808D0000}"/>
    <cellStyle name="Percent 3 2 3 5 2 3" xfId="11306" xr:uid="{00000000-0005-0000-0000-0000818D0000}"/>
    <cellStyle name="Percent 3 2 3 5 2 3 2" xfId="31358" xr:uid="{00000000-0005-0000-0000-0000828D0000}"/>
    <cellStyle name="Percent 3 2 3 5 2 4" xfId="22328" xr:uid="{00000000-0005-0000-0000-0000838D0000}"/>
    <cellStyle name="Percent 3 2 3 5 3" xfId="3770" xr:uid="{00000000-0005-0000-0000-0000848D0000}"/>
    <cellStyle name="Percent 3 2 3 5 3 2" xfId="8252" xr:uid="{00000000-0005-0000-0000-0000858D0000}"/>
    <cellStyle name="Percent 3 2 3 5 3 2 2" xfId="17282" xr:uid="{00000000-0005-0000-0000-0000868D0000}"/>
    <cellStyle name="Percent 3 2 3 5 3 2 2 2" xfId="37334" xr:uid="{00000000-0005-0000-0000-0000878D0000}"/>
    <cellStyle name="Percent 3 2 3 5 3 2 3" xfId="28304" xr:uid="{00000000-0005-0000-0000-0000888D0000}"/>
    <cellStyle name="Percent 3 2 3 5 3 3" xfId="12800" xr:uid="{00000000-0005-0000-0000-0000898D0000}"/>
    <cellStyle name="Percent 3 2 3 5 3 3 2" xfId="32852" xr:uid="{00000000-0005-0000-0000-00008A8D0000}"/>
    <cellStyle name="Percent 3 2 3 5 3 4" xfId="23822" xr:uid="{00000000-0005-0000-0000-00008B8D0000}"/>
    <cellStyle name="Percent 3 2 3 5 4" xfId="5264" xr:uid="{00000000-0005-0000-0000-00008C8D0000}"/>
    <cellStyle name="Percent 3 2 3 5 4 2" xfId="14294" xr:uid="{00000000-0005-0000-0000-00008D8D0000}"/>
    <cellStyle name="Percent 3 2 3 5 4 2 2" xfId="34346" xr:uid="{00000000-0005-0000-0000-00008E8D0000}"/>
    <cellStyle name="Percent 3 2 3 5 4 3" xfId="25316" xr:uid="{00000000-0005-0000-0000-00008F8D0000}"/>
    <cellStyle name="Percent 3 2 3 5 5" xfId="9812" xr:uid="{00000000-0005-0000-0000-0000908D0000}"/>
    <cellStyle name="Percent 3 2 3 5 5 2" xfId="29864" xr:uid="{00000000-0005-0000-0000-0000918D0000}"/>
    <cellStyle name="Percent 3 2 3 5 6" xfId="20834" xr:uid="{00000000-0005-0000-0000-0000928D0000}"/>
    <cellStyle name="Percent 3 2 3 6" xfId="1531" xr:uid="{00000000-0005-0000-0000-0000938D0000}"/>
    <cellStyle name="Percent 3 2 3 6 2" xfId="6013" xr:uid="{00000000-0005-0000-0000-0000948D0000}"/>
    <cellStyle name="Percent 3 2 3 6 2 2" xfId="15043" xr:uid="{00000000-0005-0000-0000-0000958D0000}"/>
    <cellStyle name="Percent 3 2 3 6 2 2 2" xfId="35095" xr:uid="{00000000-0005-0000-0000-0000968D0000}"/>
    <cellStyle name="Percent 3 2 3 6 2 3" xfId="26065" xr:uid="{00000000-0005-0000-0000-0000978D0000}"/>
    <cellStyle name="Percent 3 2 3 6 3" xfId="10561" xr:uid="{00000000-0005-0000-0000-0000988D0000}"/>
    <cellStyle name="Percent 3 2 3 6 3 2" xfId="30613" xr:uid="{00000000-0005-0000-0000-0000998D0000}"/>
    <cellStyle name="Percent 3 2 3 6 4" xfId="21583" xr:uid="{00000000-0005-0000-0000-00009A8D0000}"/>
    <cellStyle name="Percent 3 2 3 7" xfId="3025" xr:uid="{00000000-0005-0000-0000-00009B8D0000}"/>
    <cellStyle name="Percent 3 2 3 7 2" xfId="7507" xr:uid="{00000000-0005-0000-0000-00009C8D0000}"/>
    <cellStyle name="Percent 3 2 3 7 2 2" xfId="16537" xr:uid="{00000000-0005-0000-0000-00009D8D0000}"/>
    <cellStyle name="Percent 3 2 3 7 2 2 2" xfId="36589" xr:uid="{00000000-0005-0000-0000-00009E8D0000}"/>
    <cellStyle name="Percent 3 2 3 7 2 3" xfId="27559" xr:uid="{00000000-0005-0000-0000-00009F8D0000}"/>
    <cellStyle name="Percent 3 2 3 7 3" xfId="12055" xr:uid="{00000000-0005-0000-0000-0000A08D0000}"/>
    <cellStyle name="Percent 3 2 3 7 3 2" xfId="32107" xr:uid="{00000000-0005-0000-0000-0000A18D0000}"/>
    <cellStyle name="Percent 3 2 3 7 4" xfId="23077" xr:uid="{00000000-0005-0000-0000-0000A28D0000}"/>
    <cellStyle name="Percent 3 2 3 8" xfId="4519" xr:uid="{00000000-0005-0000-0000-0000A38D0000}"/>
    <cellStyle name="Percent 3 2 3 8 2" xfId="13549" xr:uid="{00000000-0005-0000-0000-0000A48D0000}"/>
    <cellStyle name="Percent 3 2 3 8 2 2" xfId="33601" xr:uid="{00000000-0005-0000-0000-0000A58D0000}"/>
    <cellStyle name="Percent 3 2 3 8 3" xfId="24571" xr:uid="{00000000-0005-0000-0000-0000A68D0000}"/>
    <cellStyle name="Percent 3 2 3 9" xfId="9067" xr:uid="{00000000-0005-0000-0000-0000A78D0000}"/>
    <cellStyle name="Percent 3 2 3 9 2" xfId="29119" xr:uid="{00000000-0005-0000-0000-0000A88D0000}"/>
    <cellStyle name="Percent 3 2 4" xfId="60" xr:uid="{00000000-0005-0000-0000-0000A98D0000}"/>
    <cellStyle name="Percent 3 2 4 10" xfId="20112" xr:uid="{00000000-0005-0000-0000-0000AA8D0000}"/>
    <cellStyle name="Percent 3 2 4 2" xfId="246" xr:uid="{00000000-0005-0000-0000-0000AB8D0000}"/>
    <cellStyle name="Percent 3 2 4 2 2" xfId="991" xr:uid="{00000000-0005-0000-0000-0000AC8D0000}"/>
    <cellStyle name="Percent 3 2 4 2 2 2" xfId="2485" xr:uid="{00000000-0005-0000-0000-0000AD8D0000}"/>
    <cellStyle name="Percent 3 2 4 2 2 2 2" xfId="6967" xr:uid="{00000000-0005-0000-0000-0000AE8D0000}"/>
    <cellStyle name="Percent 3 2 4 2 2 2 2 2" xfId="15997" xr:uid="{00000000-0005-0000-0000-0000AF8D0000}"/>
    <cellStyle name="Percent 3 2 4 2 2 2 2 2 2" xfId="36049" xr:uid="{00000000-0005-0000-0000-0000B08D0000}"/>
    <cellStyle name="Percent 3 2 4 2 2 2 2 3" xfId="27019" xr:uid="{00000000-0005-0000-0000-0000B18D0000}"/>
    <cellStyle name="Percent 3 2 4 2 2 2 3" xfId="11515" xr:uid="{00000000-0005-0000-0000-0000B28D0000}"/>
    <cellStyle name="Percent 3 2 4 2 2 2 3 2" xfId="31567" xr:uid="{00000000-0005-0000-0000-0000B38D0000}"/>
    <cellStyle name="Percent 3 2 4 2 2 2 4" xfId="22537" xr:uid="{00000000-0005-0000-0000-0000B48D0000}"/>
    <cellStyle name="Percent 3 2 4 2 2 3" xfId="3979" xr:uid="{00000000-0005-0000-0000-0000B58D0000}"/>
    <cellStyle name="Percent 3 2 4 2 2 3 2" xfId="8461" xr:uid="{00000000-0005-0000-0000-0000B68D0000}"/>
    <cellStyle name="Percent 3 2 4 2 2 3 2 2" xfId="17491" xr:uid="{00000000-0005-0000-0000-0000B78D0000}"/>
    <cellStyle name="Percent 3 2 4 2 2 3 2 2 2" xfId="37543" xr:uid="{00000000-0005-0000-0000-0000B88D0000}"/>
    <cellStyle name="Percent 3 2 4 2 2 3 2 3" xfId="28513" xr:uid="{00000000-0005-0000-0000-0000B98D0000}"/>
    <cellStyle name="Percent 3 2 4 2 2 3 3" xfId="13009" xr:uid="{00000000-0005-0000-0000-0000BA8D0000}"/>
    <cellStyle name="Percent 3 2 4 2 2 3 3 2" xfId="33061" xr:uid="{00000000-0005-0000-0000-0000BB8D0000}"/>
    <cellStyle name="Percent 3 2 4 2 2 3 4" xfId="24031" xr:uid="{00000000-0005-0000-0000-0000BC8D0000}"/>
    <cellStyle name="Percent 3 2 4 2 2 4" xfId="5473" xr:uid="{00000000-0005-0000-0000-0000BD8D0000}"/>
    <cellStyle name="Percent 3 2 4 2 2 4 2" xfId="14503" xr:uid="{00000000-0005-0000-0000-0000BE8D0000}"/>
    <cellStyle name="Percent 3 2 4 2 2 4 2 2" xfId="34555" xr:uid="{00000000-0005-0000-0000-0000BF8D0000}"/>
    <cellStyle name="Percent 3 2 4 2 2 4 3" xfId="25525" xr:uid="{00000000-0005-0000-0000-0000C08D0000}"/>
    <cellStyle name="Percent 3 2 4 2 2 5" xfId="10021" xr:uid="{00000000-0005-0000-0000-0000C18D0000}"/>
    <cellStyle name="Percent 3 2 4 2 2 5 2" xfId="30073" xr:uid="{00000000-0005-0000-0000-0000C28D0000}"/>
    <cellStyle name="Percent 3 2 4 2 2 6" xfId="21043" xr:uid="{00000000-0005-0000-0000-0000C38D0000}"/>
    <cellStyle name="Percent 3 2 4 2 3" xfId="1740" xr:uid="{00000000-0005-0000-0000-0000C48D0000}"/>
    <cellStyle name="Percent 3 2 4 2 3 2" xfId="6222" xr:uid="{00000000-0005-0000-0000-0000C58D0000}"/>
    <cellStyle name="Percent 3 2 4 2 3 2 2" xfId="15252" xr:uid="{00000000-0005-0000-0000-0000C68D0000}"/>
    <cellStyle name="Percent 3 2 4 2 3 2 2 2" xfId="35304" xr:uid="{00000000-0005-0000-0000-0000C78D0000}"/>
    <cellStyle name="Percent 3 2 4 2 3 2 3" xfId="26274" xr:uid="{00000000-0005-0000-0000-0000C88D0000}"/>
    <cellStyle name="Percent 3 2 4 2 3 3" xfId="10770" xr:uid="{00000000-0005-0000-0000-0000C98D0000}"/>
    <cellStyle name="Percent 3 2 4 2 3 3 2" xfId="30822" xr:uid="{00000000-0005-0000-0000-0000CA8D0000}"/>
    <cellStyle name="Percent 3 2 4 2 3 4" xfId="21792" xr:uid="{00000000-0005-0000-0000-0000CB8D0000}"/>
    <cellStyle name="Percent 3 2 4 2 4" xfId="3234" xr:uid="{00000000-0005-0000-0000-0000CC8D0000}"/>
    <cellStyle name="Percent 3 2 4 2 4 2" xfId="7716" xr:uid="{00000000-0005-0000-0000-0000CD8D0000}"/>
    <cellStyle name="Percent 3 2 4 2 4 2 2" xfId="16746" xr:uid="{00000000-0005-0000-0000-0000CE8D0000}"/>
    <cellStyle name="Percent 3 2 4 2 4 2 2 2" xfId="36798" xr:uid="{00000000-0005-0000-0000-0000CF8D0000}"/>
    <cellStyle name="Percent 3 2 4 2 4 2 3" xfId="27768" xr:uid="{00000000-0005-0000-0000-0000D08D0000}"/>
    <cellStyle name="Percent 3 2 4 2 4 3" xfId="12264" xr:uid="{00000000-0005-0000-0000-0000D18D0000}"/>
    <cellStyle name="Percent 3 2 4 2 4 3 2" xfId="32316" xr:uid="{00000000-0005-0000-0000-0000D28D0000}"/>
    <cellStyle name="Percent 3 2 4 2 4 4" xfId="23286" xr:uid="{00000000-0005-0000-0000-0000D38D0000}"/>
    <cellStyle name="Percent 3 2 4 2 5" xfId="4728" xr:uid="{00000000-0005-0000-0000-0000D48D0000}"/>
    <cellStyle name="Percent 3 2 4 2 5 2" xfId="13758" xr:uid="{00000000-0005-0000-0000-0000D58D0000}"/>
    <cellStyle name="Percent 3 2 4 2 5 2 2" xfId="33810" xr:uid="{00000000-0005-0000-0000-0000D68D0000}"/>
    <cellStyle name="Percent 3 2 4 2 5 3" xfId="24780" xr:uid="{00000000-0005-0000-0000-0000D78D0000}"/>
    <cellStyle name="Percent 3 2 4 2 6" xfId="9276" xr:uid="{00000000-0005-0000-0000-0000D88D0000}"/>
    <cellStyle name="Percent 3 2 4 2 6 2" xfId="29328" xr:uid="{00000000-0005-0000-0000-0000D98D0000}"/>
    <cellStyle name="Percent 3 2 4 2 7" xfId="20298" xr:uid="{00000000-0005-0000-0000-0000DA8D0000}"/>
    <cellStyle name="Percent 3 2 4 3" xfId="432" xr:uid="{00000000-0005-0000-0000-0000DB8D0000}"/>
    <cellStyle name="Percent 3 2 4 3 2" xfId="1179" xr:uid="{00000000-0005-0000-0000-0000DC8D0000}"/>
    <cellStyle name="Percent 3 2 4 3 2 2" xfId="2673" xr:uid="{00000000-0005-0000-0000-0000DD8D0000}"/>
    <cellStyle name="Percent 3 2 4 3 2 2 2" xfId="7155" xr:uid="{00000000-0005-0000-0000-0000DE8D0000}"/>
    <cellStyle name="Percent 3 2 4 3 2 2 2 2" xfId="16185" xr:uid="{00000000-0005-0000-0000-0000DF8D0000}"/>
    <cellStyle name="Percent 3 2 4 3 2 2 2 2 2" xfId="36237" xr:uid="{00000000-0005-0000-0000-0000E08D0000}"/>
    <cellStyle name="Percent 3 2 4 3 2 2 2 3" xfId="27207" xr:uid="{00000000-0005-0000-0000-0000E18D0000}"/>
    <cellStyle name="Percent 3 2 4 3 2 2 3" xfId="11703" xr:uid="{00000000-0005-0000-0000-0000E28D0000}"/>
    <cellStyle name="Percent 3 2 4 3 2 2 3 2" xfId="31755" xr:uid="{00000000-0005-0000-0000-0000E38D0000}"/>
    <cellStyle name="Percent 3 2 4 3 2 2 4" xfId="22725" xr:uid="{00000000-0005-0000-0000-0000E48D0000}"/>
    <cellStyle name="Percent 3 2 4 3 2 3" xfId="4167" xr:uid="{00000000-0005-0000-0000-0000E58D0000}"/>
    <cellStyle name="Percent 3 2 4 3 2 3 2" xfId="8649" xr:uid="{00000000-0005-0000-0000-0000E68D0000}"/>
    <cellStyle name="Percent 3 2 4 3 2 3 2 2" xfId="17679" xr:uid="{00000000-0005-0000-0000-0000E78D0000}"/>
    <cellStyle name="Percent 3 2 4 3 2 3 2 2 2" xfId="37731" xr:uid="{00000000-0005-0000-0000-0000E88D0000}"/>
    <cellStyle name="Percent 3 2 4 3 2 3 2 3" xfId="28701" xr:uid="{00000000-0005-0000-0000-0000E98D0000}"/>
    <cellStyle name="Percent 3 2 4 3 2 3 3" xfId="13197" xr:uid="{00000000-0005-0000-0000-0000EA8D0000}"/>
    <cellStyle name="Percent 3 2 4 3 2 3 3 2" xfId="33249" xr:uid="{00000000-0005-0000-0000-0000EB8D0000}"/>
    <cellStyle name="Percent 3 2 4 3 2 3 4" xfId="24219" xr:uid="{00000000-0005-0000-0000-0000EC8D0000}"/>
    <cellStyle name="Percent 3 2 4 3 2 4" xfId="5661" xr:uid="{00000000-0005-0000-0000-0000ED8D0000}"/>
    <cellStyle name="Percent 3 2 4 3 2 4 2" xfId="14691" xr:uid="{00000000-0005-0000-0000-0000EE8D0000}"/>
    <cellStyle name="Percent 3 2 4 3 2 4 2 2" xfId="34743" xr:uid="{00000000-0005-0000-0000-0000EF8D0000}"/>
    <cellStyle name="Percent 3 2 4 3 2 4 3" xfId="25713" xr:uid="{00000000-0005-0000-0000-0000F08D0000}"/>
    <cellStyle name="Percent 3 2 4 3 2 5" xfId="10209" xr:uid="{00000000-0005-0000-0000-0000F18D0000}"/>
    <cellStyle name="Percent 3 2 4 3 2 5 2" xfId="30261" xr:uid="{00000000-0005-0000-0000-0000F28D0000}"/>
    <cellStyle name="Percent 3 2 4 3 2 6" xfId="21231" xr:uid="{00000000-0005-0000-0000-0000F38D0000}"/>
    <cellStyle name="Percent 3 2 4 3 3" xfId="1926" xr:uid="{00000000-0005-0000-0000-0000F48D0000}"/>
    <cellStyle name="Percent 3 2 4 3 3 2" xfId="6408" xr:uid="{00000000-0005-0000-0000-0000F58D0000}"/>
    <cellStyle name="Percent 3 2 4 3 3 2 2" xfId="15438" xr:uid="{00000000-0005-0000-0000-0000F68D0000}"/>
    <cellStyle name="Percent 3 2 4 3 3 2 2 2" xfId="35490" xr:uid="{00000000-0005-0000-0000-0000F78D0000}"/>
    <cellStyle name="Percent 3 2 4 3 3 2 3" xfId="26460" xr:uid="{00000000-0005-0000-0000-0000F88D0000}"/>
    <cellStyle name="Percent 3 2 4 3 3 3" xfId="10956" xr:uid="{00000000-0005-0000-0000-0000F98D0000}"/>
    <cellStyle name="Percent 3 2 4 3 3 3 2" xfId="31008" xr:uid="{00000000-0005-0000-0000-0000FA8D0000}"/>
    <cellStyle name="Percent 3 2 4 3 3 4" xfId="21978" xr:uid="{00000000-0005-0000-0000-0000FB8D0000}"/>
    <cellStyle name="Percent 3 2 4 3 4" xfId="3420" xr:uid="{00000000-0005-0000-0000-0000FC8D0000}"/>
    <cellStyle name="Percent 3 2 4 3 4 2" xfId="7902" xr:uid="{00000000-0005-0000-0000-0000FD8D0000}"/>
    <cellStyle name="Percent 3 2 4 3 4 2 2" xfId="16932" xr:uid="{00000000-0005-0000-0000-0000FE8D0000}"/>
    <cellStyle name="Percent 3 2 4 3 4 2 2 2" xfId="36984" xr:uid="{00000000-0005-0000-0000-0000FF8D0000}"/>
    <cellStyle name="Percent 3 2 4 3 4 2 3" xfId="27954" xr:uid="{00000000-0005-0000-0000-0000008E0000}"/>
    <cellStyle name="Percent 3 2 4 3 4 3" xfId="12450" xr:uid="{00000000-0005-0000-0000-0000018E0000}"/>
    <cellStyle name="Percent 3 2 4 3 4 3 2" xfId="32502" xr:uid="{00000000-0005-0000-0000-0000028E0000}"/>
    <cellStyle name="Percent 3 2 4 3 4 4" xfId="23472" xr:uid="{00000000-0005-0000-0000-0000038E0000}"/>
    <cellStyle name="Percent 3 2 4 3 5" xfId="4914" xr:uid="{00000000-0005-0000-0000-0000048E0000}"/>
    <cellStyle name="Percent 3 2 4 3 5 2" xfId="13944" xr:uid="{00000000-0005-0000-0000-0000058E0000}"/>
    <cellStyle name="Percent 3 2 4 3 5 2 2" xfId="33996" xr:uid="{00000000-0005-0000-0000-0000068E0000}"/>
    <cellStyle name="Percent 3 2 4 3 5 3" xfId="24966" xr:uid="{00000000-0005-0000-0000-0000078E0000}"/>
    <cellStyle name="Percent 3 2 4 3 6" xfId="9462" xr:uid="{00000000-0005-0000-0000-0000088E0000}"/>
    <cellStyle name="Percent 3 2 4 3 6 2" xfId="29514" xr:uid="{00000000-0005-0000-0000-0000098E0000}"/>
    <cellStyle name="Percent 3 2 4 3 7" xfId="20484" xr:uid="{00000000-0005-0000-0000-00000A8E0000}"/>
    <cellStyle name="Percent 3 2 4 4" xfId="618" xr:uid="{00000000-0005-0000-0000-00000B8E0000}"/>
    <cellStyle name="Percent 3 2 4 4 2" xfId="1365" xr:uid="{00000000-0005-0000-0000-00000C8E0000}"/>
    <cellStyle name="Percent 3 2 4 4 2 2" xfId="2859" xr:uid="{00000000-0005-0000-0000-00000D8E0000}"/>
    <cellStyle name="Percent 3 2 4 4 2 2 2" xfId="7341" xr:uid="{00000000-0005-0000-0000-00000E8E0000}"/>
    <cellStyle name="Percent 3 2 4 4 2 2 2 2" xfId="16371" xr:uid="{00000000-0005-0000-0000-00000F8E0000}"/>
    <cellStyle name="Percent 3 2 4 4 2 2 2 2 2" xfId="36423" xr:uid="{00000000-0005-0000-0000-0000108E0000}"/>
    <cellStyle name="Percent 3 2 4 4 2 2 2 3" xfId="27393" xr:uid="{00000000-0005-0000-0000-0000118E0000}"/>
    <cellStyle name="Percent 3 2 4 4 2 2 3" xfId="11889" xr:uid="{00000000-0005-0000-0000-0000128E0000}"/>
    <cellStyle name="Percent 3 2 4 4 2 2 3 2" xfId="31941" xr:uid="{00000000-0005-0000-0000-0000138E0000}"/>
    <cellStyle name="Percent 3 2 4 4 2 2 4" xfId="22911" xr:uid="{00000000-0005-0000-0000-0000148E0000}"/>
    <cellStyle name="Percent 3 2 4 4 2 3" xfId="4353" xr:uid="{00000000-0005-0000-0000-0000158E0000}"/>
    <cellStyle name="Percent 3 2 4 4 2 3 2" xfId="8835" xr:uid="{00000000-0005-0000-0000-0000168E0000}"/>
    <cellStyle name="Percent 3 2 4 4 2 3 2 2" xfId="17865" xr:uid="{00000000-0005-0000-0000-0000178E0000}"/>
    <cellStyle name="Percent 3 2 4 4 2 3 2 2 2" xfId="37917" xr:uid="{00000000-0005-0000-0000-0000188E0000}"/>
    <cellStyle name="Percent 3 2 4 4 2 3 2 3" xfId="28887" xr:uid="{00000000-0005-0000-0000-0000198E0000}"/>
    <cellStyle name="Percent 3 2 4 4 2 3 3" xfId="13383" xr:uid="{00000000-0005-0000-0000-00001A8E0000}"/>
    <cellStyle name="Percent 3 2 4 4 2 3 3 2" xfId="33435" xr:uid="{00000000-0005-0000-0000-00001B8E0000}"/>
    <cellStyle name="Percent 3 2 4 4 2 3 4" xfId="24405" xr:uid="{00000000-0005-0000-0000-00001C8E0000}"/>
    <cellStyle name="Percent 3 2 4 4 2 4" xfId="5847" xr:uid="{00000000-0005-0000-0000-00001D8E0000}"/>
    <cellStyle name="Percent 3 2 4 4 2 4 2" xfId="14877" xr:uid="{00000000-0005-0000-0000-00001E8E0000}"/>
    <cellStyle name="Percent 3 2 4 4 2 4 2 2" xfId="34929" xr:uid="{00000000-0005-0000-0000-00001F8E0000}"/>
    <cellStyle name="Percent 3 2 4 4 2 4 3" xfId="25899" xr:uid="{00000000-0005-0000-0000-0000208E0000}"/>
    <cellStyle name="Percent 3 2 4 4 2 5" xfId="10395" xr:uid="{00000000-0005-0000-0000-0000218E0000}"/>
    <cellStyle name="Percent 3 2 4 4 2 5 2" xfId="30447" xr:uid="{00000000-0005-0000-0000-0000228E0000}"/>
    <cellStyle name="Percent 3 2 4 4 2 6" xfId="21417" xr:uid="{00000000-0005-0000-0000-0000238E0000}"/>
    <cellStyle name="Percent 3 2 4 4 3" xfId="2112" xr:uid="{00000000-0005-0000-0000-0000248E0000}"/>
    <cellStyle name="Percent 3 2 4 4 3 2" xfId="6594" xr:uid="{00000000-0005-0000-0000-0000258E0000}"/>
    <cellStyle name="Percent 3 2 4 4 3 2 2" xfId="15624" xr:uid="{00000000-0005-0000-0000-0000268E0000}"/>
    <cellStyle name="Percent 3 2 4 4 3 2 2 2" xfId="35676" xr:uid="{00000000-0005-0000-0000-0000278E0000}"/>
    <cellStyle name="Percent 3 2 4 4 3 2 3" xfId="26646" xr:uid="{00000000-0005-0000-0000-0000288E0000}"/>
    <cellStyle name="Percent 3 2 4 4 3 3" xfId="11142" xr:uid="{00000000-0005-0000-0000-0000298E0000}"/>
    <cellStyle name="Percent 3 2 4 4 3 3 2" xfId="31194" xr:uid="{00000000-0005-0000-0000-00002A8E0000}"/>
    <cellStyle name="Percent 3 2 4 4 3 4" xfId="22164" xr:uid="{00000000-0005-0000-0000-00002B8E0000}"/>
    <cellStyle name="Percent 3 2 4 4 4" xfId="3606" xr:uid="{00000000-0005-0000-0000-00002C8E0000}"/>
    <cellStyle name="Percent 3 2 4 4 4 2" xfId="8088" xr:uid="{00000000-0005-0000-0000-00002D8E0000}"/>
    <cellStyle name="Percent 3 2 4 4 4 2 2" xfId="17118" xr:uid="{00000000-0005-0000-0000-00002E8E0000}"/>
    <cellStyle name="Percent 3 2 4 4 4 2 2 2" xfId="37170" xr:uid="{00000000-0005-0000-0000-00002F8E0000}"/>
    <cellStyle name="Percent 3 2 4 4 4 2 3" xfId="28140" xr:uid="{00000000-0005-0000-0000-0000308E0000}"/>
    <cellStyle name="Percent 3 2 4 4 4 3" xfId="12636" xr:uid="{00000000-0005-0000-0000-0000318E0000}"/>
    <cellStyle name="Percent 3 2 4 4 4 3 2" xfId="32688" xr:uid="{00000000-0005-0000-0000-0000328E0000}"/>
    <cellStyle name="Percent 3 2 4 4 4 4" xfId="23658" xr:uid="{00000000-0005-0000-0000-0000338E0000}"/>
    <cellStyle name="Percent 3 2 4 4 5" xfId="5100" xr:uid="{00000000-0005-0000-0000-0000348E0000}"/>
    <cellStyle name="Percent 3 2 4 4 5 2" xfId="14130" xr:uid="{00000000-0005-0000-0000-0000358E0000}"/>
    <cellStyle name="Percent 3 2 4 4 5 2 2" xfId="34182" xr:uid="{00000000-0005-0000-0000-0000368E0000}"/>
    <cellStyle name="Percent 3 2 4 4 5 3" xfId="25152" xr:uid="{00000000-0005-0000-0000-0000378E0000}"/>
    <cellStyle name="Percent 3 2 4 4 6" xfId="9648" xr:uid="{00000000-0005-0000-0000-0000388E0000}"/>
    <cellStyle name="Percent 3 2 4 4 6 2" xfId="29700" xr:uid="{00000000-0005-0000-0000-0000398E0000}"/>
    <cellStyle name="Percent 3 2 4 4 7" xfId="20670" xr:uid="{00000000-0005-0000-0000-00003A8E0000}"/>
    <cellStyle name="Percent 3 2 4 5" xfId="805" xr:uid="{00000000-0005-0000-0000-00003B8E0000}"/>
    <cellStyle name="Percent 3 2 4 5 2" xfId="2299" xr:uid="{00000000-0005-0000-0000-00003C8E0000}"/>
    <cellStyle name="Percent 3 2 4 5 2 2" xfId="6781" xr:uid="{00000000-0005-0000-0000-00003D8E0000}"/>
    <cellStyle name="Percent 3 2 4 5 2 2 2" xfId="15811" xr:uid="{00000000-0005-0000-0000-00003E8E0000}"/>
    <cellStyle name="Percent 3 2 4 5 2 2 2 2" xfId="35863" xr:uid="{00000000-0005-0000-0000-00003F8E0000}"/>
    <cellStyle name="Percent 3 2 4 5 2 2 3" xfId="26833" xr:uid="{00000000-0005-0000-0000-0000408E0000}"/>
    <cellStyle name="Percent 3 2 4 5 2 3" xfId="11329" xr:uid="{00000000-0005-0000-0000-0000418E0000}"/>
    <cellStyle name="Percent 3 2 4 5 2 3 2" xfId="31381" xr:uid="{00000000-0005-0000-0000-0000428E0000}"/>
    <cellStyle name="Percent 3 2 4 5 2 4" xfId="22351" xr:uid="{00000000-0005-0000-0000-0000438E0000}"/>
    <cellStyle name="Percent 3 2 4 5 3" xfId="3793" xr:uid="{00000000-0005-0000-0000-0000448E0000}"/>
    <cellStyle name="Percent 3 2 4 5 3 2" xfId="8275" xr:uid="{00000000-0005-0000-0000-0000458E0000}"/>
    <cellStyle name="Percent 3 2 4 5 3 2 2" xfId="17305" xr:uid="{00000000-0005-0000-0000-0000468E0000}"/>
    <cellStyle name="Percent 3 2 4 5 3 2 2 2" xfId="37357" xr:uid="{00000000-0005-0000-0000-0000478E0000}"/>
    <cellStyle name="Percent 3 2 4 5 3 2 3" xfId="28327" xr:uid="{00000000-0005-0000-0000-0000488E0000}"/>
    <cellStyle name="Percent 3 2 4 5 3 3" xfId="12823" xr:uid="{00000000-0005-0000-0000-0000498E0000}"/>
    <cellStyle name="Percent 3 2 4 5 3 3 2" xfId="32875" xr:uid="{00000000-0005-0000-0000-00004A8E0000}"/>
    <cellStyle name="Percent 3 2 4 5 3 4" xfId="23845" xr:uid="{00000000-0005-0000-0000-00004B8E0000}"/>
    <cellStyle name="Percent 3 2 4 5 4" xfId="5287" xr:uid="{00000000-0005-0000-0000-00004C8E0000}"/>
    <cellStyle name="Percent 3 2 4 5 4 2" xfId="14317" xr:uid="{00000000-0005-0000-0000-00004D8E0000}"/>
    <cellStyle name="Percent 3 2 4 5 4 2 2" xfId="34369" xr:uid="{00000000-0005-0000-0000-00004E8E0000}"/>
    <cellStyle name="Percent 3 2 4 5 4 3" xfId="25339" xr:uid="{00000000-0005-0000-0000-00004F8E0000}"/>
    <cellStyle name="Percent 3 2 4 5 5" xfId="9835" xr:uid="{00000000-0005-0000-0000-0000508E0000}"/>
    <cellStyle name="Percent 3 2 4 5 5 2" xfId="29887" xr:uid="{00000000-0005-0000-0000-0000518E0000}"/>
    <cellStyle name="Percent 3 2 4 5 6" xfId="20857" xr:uid="{00000000-0005-0000-0000-0000528E0000}"/>
    <cellStyle name="Percent 3 2 4 6" xfId="1554" xr:uid="{00000000-0005-0000-0000-0000538E0000}"/>
    <cellStyle name="Percent 3 2 4 6 2" xfId="6036" xr:uid="{00000000-0005-0000-0000-0000548E0000}"/>
    <cellStyle name="Percent 3 2 4 6 2 2" xfId="15066" xr:uid="{00000000-0005-0000-0000-0000558E0000}"/>
    <cellStyle name="Percent 3 2 4 6 2 2 2" xfId="35118" xr:uid="{00000000-0005-0000-0000-0000568E0000}"/>
    <cellStyle name="Percent 3 2 4 6 2 3" xfId="26088" xr:uid="{00000000-0005-0000-0000-0000578E0000}"/>
    <cellStyle name="Percent 3 2 4 6 3" xfId="10584" xr:uid="{00000000-0005-0000-0000-0000588E0000}"/>
    <cellStyle name="Percent 3 2 4 6 3 2" xfId="30636" xr:uid="{00000000-0005-0000-0000-0000598E0000}"/>
    <cellStyle name="Percent 3 2 4 6 4" xfId="21606" xr:uid="{00000000-0005-0000-0000-00005A8E0000}"/>
    <cellStyle name="Percent 3 2 4 7" xfId="3048" xr:uid="{00000000-0005-0000-0000-00005B8E0000}"/>
    <cellStyle name="Percent 3 2 4 7 2" xfId="7530" xr:uid="{00000000-0005-0000-0000-00005C8E0000}"/>
    <cellStyle name="Percent 3 2 4 7 2 2" xfId="16560" xr:uid="{00000000-0005-0000-0000-00005D8E0000}"/>
    <cellStyle name="Percent 3 2 4 7 2 2 2" xfId="36612" xr:uid="{00000000-0005-0000-0000-00005E8E0000}"/>
    <cellStyle name="Percent 3 2 4 7 2 3" xfId="27582" xr:uid="{00000000-0005-0000-0000-00005F8E0000}"/>
    <cellStyle name="Percent 3 2 4 7 3" xfId="12078" xr:uid="{00000000-0005-0000-0000-0000608E0000}"/>
    <cellStyle name="Percent 3 2 4 7 3 2" xfId="32130" xr:uid="{00000000-0005-0000-0000-0000618E0000}"/>
    <cellStyle name="Percent 3 2 4 7 4" xfId="23100" xr:uid="{00000000-0005-0000-0000-0000628E0000}"/>
    <cellStyle name="Percent 3 2 4 8" xfId="4542" xr:uid="{00000000-0005-0000-0000-0000638E0000}"/>
    <cellStyle name="Percent 3 2 4 8 2" xfId="13572" xr:uid="{00000000-0005-0000-0000-0000648E0000}"/>
    <cellStyle name="Percent 3 2 4 8 2 2" xfId="33624" xr:uid="{00000000-0005-0000-0000-0000658E0000}"/>
    <cellStyle name="Percent 3 2 4 8 3" xfId="24594" xr:uid="{00000000-0005-0000-0000-0000668E0000}"/>
    <cellStyle name="Percent 3 2 4 9" xfId="9090" xr:uid="{00000000-0005-0000-0000-0000678E0000}"/>
    <cellStyle name="Percent 3 2 4 9 2" xfId="29142" xr:uid="{00000000-0005-0000-0000-0000688E0000}"/>
    <cellStyle name="Percent 3 2 5" xfId="84" xr:uid="{00000000-0005-0000-0000-0000698E0000}"/>
    <cellStyle name="Percent 3 2 5 10" xfId="20136" xr:uid="{00000000-0005-0000-0000-00006A8E0000}"/>
    <cellStyle name="Percent 3 2 5 2" xfId="270" xr:uid="{00000000-0005-0000-0000-00006B8E0000}"/>
    <cellStyle name="Percent 3 2 5 2 2" xfId="1014" xr:uid="{00000000-0005-0000-0000-00006C8E0000}"/>
    <cellStyle name="Percent 3 2 5 2 2 2" xfId="2508" xr:uid="{00000000-0005-0000-0000-00006D8E0000}"/>
    <cellStyle name="Percent 3 2 5 2 2 2 2" xfId="6990" xr:uid="{00000000-0005-0000-0000-00006E8E0000}"/>
    <cellStyle name="Percent 3 2 5 2 2 2 2 2" xfId="16020" xr:uid="{00000000-0005-0000-0000-00006F8E0000}"/>
    <cellStyle name="Percent 3 2 5 2 2 2 2 2 2" xfId="36072" xr:uid="{00000000-0005-0000-0000-0000708E0000}"/>
    <cellStyle name="Percent 3 2 5 2 2 2 2 3" xfId="27042" xr:uid="{00000000-0005-0000-0000-0000718E0000}"/>
    <cellStyle name="Percent 3 2 5 2 2 2 3" xfId="11538" xr:uid="{00000000-0005-0000-0000-0000728E0000}"/>
    <cellStyle name="Percent 3 2 5 2 2 2 3 2" xfId="31590" xr:uid="{00000000-0005-0000-0000-0000738E0000}"/>
    <cellStyle name="Percent 3 2 5 2 2 2 4" xfId="22560" xr:uid="{00000000-0005-0000-0000-0000748E0000}"/>
    <cellStyle name="Percent 3 2 5 2 2 3" xfId="4002" xr:uid="{00000000-0005-0000-0000-0000758E0000}"/>
    <cellStyle name="Percent 3 2 5 2 2 3 2" xfId="8484" xr:uid="{00000000-0005-0000-0000-0000768E0000}"/>
    <cellStyle name="Percent 3 2 5 2 2 3 2 2" xfId="17514" xr:uid="{00000000-0005-0000-0000-0000778E0000}"/>
    <cellStyle name="Percent 3 2 5 2 2 3 2 2 2" xfId="37566" xr:uid="{00000000-0005-0000-0000-0000788E0000}"/>
    <cellStyle name="Percent 3 2 5 2 2 3 2 3" xfId="28536" xr:uid="{00000000-0005-0000-0000-0000798E0000}"/>
    <cellStyle name="Percent 3 2 5 2 2 3 3" xfId="13032" xr:uid="{00000000-0005-0000-0000-00007A8E0000}"/>
    <cellStyle name="Percent 3 2 5 2 2 3 3 2" xfId="33084" xr:uid="{00000000-0005-0000-0000-00007B8E0000}"/>
    <cellStyle name="Percent 3 2 5 2 2 3 4" xfId="24054" xr:uid="{00000000-0005-0000-0000-00007C8E0000}"/>
    <cellStyle name="Percent 3 2 5 2 2 4" xfId="5496" xr:uid="{00000000-0005-0000-0000-00007D8E0000}"/>
    <cellStyle name="Percent 3 2 5 2 2 4 2" xfId="14526" xr:uid="{00000000-0005-0000-0000-00007E8E0000}"/>
    <cellStyle name="Percent 3 2 5 2 2 4 2 2" xfId="34578" xr:uid="{00000000-0005-0000-0000-00007F8E0000}"/>
    <cellStyle name="Percent 3 2 5 2 2 4 3" xfId="25548" xr:uid="{00000000-0005-0000-0000-0000808E0000}"/>
    <cellStyle name="Percent 3 2 5 2 2 5" xfId="10044" xr:uid="{00000000-0005-0000-0000-0000818E0000}"/>
    <cellStyle name="Percent 3 2 5 2 2 5 2" xfId="30096" xr:uid="{00000000-0005-0000-0000-0000828E0000}"/>
    <cellStyle name="Percent 3 2 5 2 2 6" xfId="21066" xr:uid="{00000000-0005-0000-0000-0000838E0000}"/>
    <cellStyle name="Percent 3 2 5 2 3" xfId="1764" xr:uid="{00000000-0005-0000-0000-0000848E0000}"/>
    <cellStyle name="Percent 3 2 5 2 3 2" xfId="6246" xr:uid="{00000000-0005-0000-0000-0000858E0000}"/>
    <cellStyle name="Percent 3 2 5 2 3 2 2" xfId="15276" xr:uid="{00000000-0005-0000-0000-0000868E0000}"/>
    <cellStyle name="Percent 3 2 5 2 3 2 2 2" xfId="35328" xr:uid="{00000000-0005-0000-0000-0000878E0000}"/>
    <cellStyle name="Percent 3 2 5 2 3 2 3" xfId="26298" xr:uid="{00000000-0005-0000-0000-0000888E0000}"/>
    <cellStyle name="Percent 3 2 5 2 3 3" xfId="10794" xr:uid="{00000000-0005-0000-0000-0000898E0000}"/>
    <cellStyle name="Percent 3 2 5 2 3 3 2" xfId="30846" xr:uid="{00000000-0005-0000-0000-00008A8E0000}"/>
    <cellStyle name="Percent 3 2 5 2 3 4" xfId="21816" xr:uid="{00000000-0005-0000-0000-00008B8E0000}"/>
    <cellStyle name="Percent 3 2 5 2 4" xfId="3258" xr:uid="{00000000-0005-0000-0000-00008C8E0000}"/>
    <cellStyle name="Percent 3 2 5 2 4 2" xfId="7740" xr:uid="{00000000-0005-0000-0000-00008D8E0000}"/>
    <cellStyle name="Percent 3 2 5 2 4 2 2" xfId="16770" xr:uid="{00000000-0005-0000-0000-00008E8E0000}"/>
    <cellStyle name="Percent 3 2 5 2 4 2 2 2" xfId="36822" xr:uid="{00000000-0005-0000-0000-00008F8E0000}"/>
    <cellStyle name="Percent 3 2 5 2 4 2 3" xfId="27792" xr:uid="{00000000-0005-0000-0000-0000908E0000}"/>
    <cellStyle name="Percent 3 2 5 2 4 3" xfId="12288" xr:uid="{00000000-0005-0000-0000-0000918E0000}"/>
    <cellStyle name="Percent 3 2 5 2 4 3 2" xfId="32340" xr:uid="{00000000-0005-0000-0000-0000928E0000}"/>
    <cellStyle name="Percent 3 2 5 2 4 4" xfId="23310" xr:uid="{00000000-0005-0000-0000-0000938E0000}"/>
    <cellStyle name="Percent 3 2 5 2 5" xfId="4752" xr:uid="{00000000-0005-0000-0000-0000948E0000}"/>
    <cellStyle name="Percent 3 2 5 2 5 2" xfId="13782" xr:uid="{00000000-0005-0000-0000-0000958E0000}"/>
    <cellStyle name="Percent 3 2 5 2 5 2 2" xfId="33834" xr:uid="{00000000-0005-0000-0000-0000968E0000}"/>
    <cellStyle name="Percent 3 2 5 2 5 3" xfId="24804" xr:uid="{00000000-0005-0000-0000-0000978E0000}"/>
    <cellStyle name="Percent 3 2 5 2 6" xfId="9300" xr:uid="{00000000-0005-0000-0000-0000988E0000}"/>
    <cellStyle name="Percent 3 2 5 2 6 2" xfId="29352" xr:uid="{00000000-0005-0000-0000-0000998E0000}"/>
    <cellStyle name="Percent 3 2 5 2 7" xfId="20322" xr:uid="{00000000-0005-0000-0000-00009A8E0000}"/>
    <cellStyle name="Percent 3 2 5 3" xfId="456" xr:uid="{00000000-0005-0000-0000-00009B8E0000}"/>
    <cellStyle name="Percent 3 2 5 3 2" xfId="1203" xr:uid="{00000000-0005-0000-0000-00009C8E0000}"/>
    <cellStyle name="Percent 3 2 5 3 2 2" xfId="2697" xr:uid="{00000000-0005-0000-0000-00009D8E0000}"/>
    <cellStyle name="Percent 3 2 5 3 2 2 2" xfId="7179" xr:uid="{00000000-0005-0000-0000-00009E8E0000}"/>
    <cellStyle name="Percent 3 2 5 3 2 2 2 2" xfId="16209" xr:uid="{00000000-0005-0000-0000-00009F8E0000}"/>
    <cellStyle name="Percent 3 2 5 3 2 2 2 2 2" xfId="36261" xr:uid="{00000000-0005-0000-0000-0000A08E0000}"/>
    <cellStyle name="Percent 3 2 5 3 2 2 2 3" xfId="27231" xr:uid="{00000000-0005-0000-0000-0000A18E0000}"/>
    <cellStyle name="Percent 3 2 5 3 2 2 3" xfId="11727" xr:uid="{00000000-0005-0000-0000-0000A28E0000}"/>
    <cellStyle name="Percent 3 2 5 3 2 2 3 2" xfId="31779" xr:uid="{00000000-0005-0000-0000-0000A38E0000}"/>
    <cellStyle name="Percent 3 2 5 3 2 2 4" xfId="22749" xr:uid="{00000000-0005-0000-0000-0000A48E0000}"/>
    <cellStyle name="Percent 3 2 5 3 2 3" xfId="4191" xr:uid="{00000000-0005-0000-0000-0000A58E0000}"/>
    <cellStyle name="Percent 3 2 5 3 2 3 2" xfId="8673" xr:uid="{00000000-0005-0000-0000-0000A68E0000}"/>
    <cellStyle name="Percent 3 2 5 3 2 3 2 2" xfId="17703" xr:uid="{00000000-0005-0000-0000-0000A78E0000}"/>
    <cellStyle name="Percent 3 2 5 3 2 3 2 2 2" xfId="37755" xr:uid="{00000000-0005-0000-0000-0000A88E0000}"/>
    <cellStyle name="Percent 3 2 5 3 2 3 2 3" xfId="28725" xr:uid="{00000000-0005-0000-0000-0000A98E0000}"/>
    <cellStyle name="Percent 3 2 5 3 2 3 3" xfId="13221" xr:uid="{00000000-0005-0000-0000-0000AA8E0000}"/>
    <cellStyle name="Percent 3 2 5 3 2 3 3 2" xfId="33273" xr:uid="{00000000-0005-0000-0000-0000AB8E0000}"/>
    <cellStyle name="Percent 3 2 5 3 2 3 4" xfId="24243" xr:uid="{00000000-0005-0000-0000-0000AC8E0000}"/>
    <cellStyle name="Percent 3 2 5 3 2 4" xfId="5685" xr:uid="{00000000-0005-0000-0000-0000AD8E0000}"/>
    <cellStyle name="Percent 3 2 5 3 2 4 2" xfId="14715" xr:uid="{00000000-0005-0000-0000-0000AE8E0000}"/>
    <cellStyle name="Percent 3 2 5 3 2 4 2 2" xfId="34767" xr:uid="{00000000-0005-0000-0000-0000AF8E0000}"/>
    <cellStyle name="Percent 3 2 5 3 2 4 3" xfId="25737" xr:uid="{00000000-0005-0000-0000-0000B08E0000}"/>
    <cellStyle name="Percent 3 2 5 3 2 5" xfId="10233" xr:uid="{00000000-0005-0000-0000-0000B18E0000}"/>
    <cellStyle name="Percent 3 2 5 3 2 5 2" xfId="30285" xr:uid="{00000000-0005-0000-0000-0000B28E0000}"/>
    <cellStyle name="Percent 3 2 5 3 2 6" xfId="21255" xr:uid="{00000000-0005-0000-0000-0000B38E0000}"/>
    <cellStyle name="Percent 3 2 5 3 3" xfId="1950" xr:uid="{00000000-0005-0000-0000-0000B48E0000}"/>
    <cellStyle name="Percent 3 2 5 3 3 2" xfId="6432" xr:uid="{00000000-0005-0000-0000-0000B58E0000}"/>
    <cellStyle name="Percent 3 2 5 3 3 2 2" xfId="15462" xr:uid="{00000000-0005-0000-0000-0000B68E0000}"/>
    <cellStyle name="Percent 3 2 5 3 3 2 2 2" xfId="35514" xr:uid="{00000000-0005-0000-0000-0000B78E0000}"/>
    <cellStyle name="Percent 3 2 5 3 3 2 3" xfId="26484" xr:uid="{00000000-0005-0000-0000-0000B88E0000}"/>
    <cellStyle name="Percent 3 2 5 3 3 3" xfId="10980" xr:uid="{00000000-0005-0000-0000-0000B98E0000}"/>
    <cellStyle name="Percent 3 2 5 3 3 3 2" xfId="31032" xr:uid="{00000000-0005-0000-0000-0000BA8E0000}"/>
    <cellStyle name="Percent 3 2 5 3 3 4" xfId="22002" xr:uid="{00000000-0005-0000-0000-0000BB8E0000}"/>
    <cellStyle name="Percent 3 2 5 3 4" xfId="3444" xr:uid="{00000000-0005-0000-0000-0000BC8E0000}"/>
    <cellStyle name="Percent 3 2 5 3 4 2" xfId="7926" xr:uid="{00000000-0005-0000-0000-0000BD8E0000}"/>
    <cellStyle name="Percent 3 2 5 3 4 2 2" xfId="16956" xr:uid="{00000000-0005-0000-0000-0000BE8E0000}"/>
    <cellStyle name="Percent 3 2 5 3 4 2 2 2" xfId="37008" xr:uid="{00000000-0005-0000-0000-0000BF8E0000}"/>
    <cellStyle name="Percent 3 2 5 3 4 2 3" xfId="27978" xr:uid="{00000000-0005-0000-0000-0000C08E0000}"/>
    <cellStyle name="Percent 3 2 5 3 4 3" xfId="12474" xr:uid="{00000000-0005-0000-0000-0000C18E0000}"/>
    <cellStyle name="Percent 3 2 5 3 4 3 2" xfId="32526" xr:uid="{00000000-0005-0000-0000-0000C28E0000}"/>
    <cellStyle name="Percent 3 2 5 3 4 4" xfId="23496" xr:uid="{00000000-0005-0000-0000-0000C38E0000}"/>
    <cellStyle name="Percent 3 2 5 3 5" xfId="4938" xr:uid="{00000000-0005-0000-0000-0000C48E0000}"/>
    <cellStyle name="Percent 3 2 5 3 5 2" xfId="13968" xr:uid="{00000000-0005-0000-0000-0000C58E0000}"/>
    <cellStyle name="Percent 3 2 5 3 5 2 2" xfId="34020" xr:uid="{00000000-0005-0000-0000-0000C68E0000}"/>
    <cellStyle name="Percent 3 2 5 3 5 3" xfId="24990" xr:uid="{00000000-0005-0000-0000-0000C78E0000}"/>
    <cellStyle name="Percent 3 2 5 3 6" xfId="9486" xr:uid="{00000000-0005-0000-0000-0000C88E0000}"/>
    <cellStyle name="Percent 3 2 5 3 6 2" xfId="29538" xr:uid="{00000000-0005-0000-0000-0000C98E0000}"/>
    <cellStyle name="Percent 3 2 5 3 7" xfId="20508" xr:uid="{00000000-0005-0000-0000-0000CA8E0000}"/>
    <cellStyle name="Percent 3 2 5 4" xfId="642" xr:uid="{00000000-0005-0000-0000-0000CB8E0000}"/>
    <cellStyle name="Percent 3 2 5 4 2" xfId="1389" xr:uid="{00000000-0005-0000-0000-0000CC8E0000}"/>
    <cellStyle name="Percent 3 2 5 4 2 2" xfId="2883" xr:uid="{00000000-0005-0000-0000-0000CD8E0000}"/>
    <cellStyle name="Percent 3 2 5 4 2 2 2" xfId="7365" xr:uid="{00000000-0005-0000-0000-0000CE8E0000}"/>
    <cellStyle name="Percent 3 2 5 4 2 2 2 2" xfId="16395" xr:uid="{00000000-0005-0000-0000-0000CF8E0000}"/>
    <cellStyle name="Percent 3 2 5 4 2 2 2 2 2" xfId="36447" xr:uid="{00000000-0005-0000-0000-0000D08E0000}"/>
    <cellStyle name="Percent 3 2 5 4 2 2 2 3" xfId="27417" xr:uid="{00000000-0005-0000-0000-0000D18E0000}"/>
    <cellStyle name="Percent 3 2 5 4 2 2 3" xfId="11913" xr:uid="{00000000-0005-0000-0000-0000D28E0000}"/>
    <cellStyle name="Percent 3 2 5 4 2 2 3 2" xfId="31965" xr:uid="{00000000-0005-0000-0000-0000D38E0000}"/>
    <cellStyle name="Percent 3 2 5 4 2 2 4" xfId="22935" xr:uid="{00000000-0005-0000-0000-0000D48E0000}"/>
    <cellStyle name="Percent 3 2 5 4 2 3" xfId="4377" xr:uid="{00000000-0005-0000-0000-0000D58E0000}"/>
    <cellStyle name="Percent 3 2 5 4 2 3 2" xfId="8859" xr:uid="{00000000-0005-0000-0000-0000D68E0000}"/>
    <cellStyle name="Percent 3 2 5 4 2 3 2 2" xfId="17889" xr:uid="{00000000-0005-0000-0000-0000D78E0000}"/>
    <cellStyle name="Percent 3 2 5 4 2 3 2 2 2" xfId="37941" xr:uid="{00000000-0005-0000-0000-0000D88E0000}"/>
    <cellStyle name="Percent 3 2 5 4 2 3 2 3" xfId="28911" xr:uid="{00000000-0005-0000-0000-0000D98E0000}"/>
    <cellStyle name="Percent 3 2 5 4 2 3 3" xfId="13407" xr:uid="{00000000-0005-0000-0000-0000DA8E0000}"/>
    <cellStyle name="Percent 3 2 5 4 2 3 3 2" xfId="33459" xr:uid="{00000000-0005-0000-0000-0000DB8E0000}"/>
    <cellStyle name="Percent 3 2 5 4 2 3 4" xfId="24429" xr:uid="{00000000-0005-0000-0000-0000DC8E0000}"/>
    <cellStyle name="Percent 3 2 5 4 2 4" xfId="5871" xr:uid="{00000000-0005-0000-0000-0000DD8E0000}"/>
    <cellStyle name="Percent 3 2 5 4 2 4 2" xfId="14901" xr:uid="{00000000-0005-0000-0000-0000DE8E0000}"/>
    <cellStyle name="Percent 3 2 5 4 2 4 2 2" xfId="34953" xr:uid="{00000000-0005-0000-0000-0000DF8E0000}"/>
    <cellStyle name="Percent 3 2 5 4 2 4 3" xfId="25923" xr:uid="{00000000-0005-0000-0000-0000E08E0000}"/>
    <cellStyle name="Percent 3 2 5 4 2 5" xfId="10419" xr:uid="{00000000-0005-0000-0000-0000E18E0000}"/>
    <cellStyle name="Percent 3 2 5 4 2 5 2" xfId="30471" xr:uid="{00000000-0005-0000-0000-0000E28E0000}"/>
    <cellStyle name="Percent 3 2 5 4 2 6" xfId="21441" xr:uid="{00000000-0005-0000-0000-0000E38E0000}"/>
    <cellStyle name="Percent 3 2 5 4 3" xfId="2136" xr:uid="{00000000-0005-0000-0000-0000E48E0000}"/>
    <cellStyle name="Percent 3 2 5 4 3 2" xfId="6618" xr:uid="{00000000-0005-0000-0000-0000E58E0000}"/>
    <cellStyle name="Percent 3 2 5 4 3 2 2" xfId="15648" xr:uid="{00000000-0005-0000-0000-0000E68E0000}"/>
    <cellStyle name="Percent 3 2 5 4 3 2 2 2" xfId="35700" xr:uid="{00000000-0005-0000-0000-0000E78E0000}"/>
    <cellStyle name="Percent 3 2 5 4 3 2 3" xfId="26670" xr:uid="{00000000-0005-0000-0000-0000E88E0000}"/>
    <cellStyle name="Percent 3 2 5 4 3 3" xfId="11166" xr:uid="{00000000-0005-0000-0000-0000E98E0000}"/>
    <cellStyle name="Percent 3 2 5 4 3 3 2" xfId="31218" xr:uid="{00000000-0005-0000-0000-0000EA8E0000}"/>
    <cellStyle name="Percent 3 2 5 4 3 4" xfId="22188" xr:uid="{00000000-0005-0000-0000-0000EB8E0000}"/>
    <cellStyle name="Percent 3 2 5 4 4" xfId="3630" xr:uid="{00000000-0005-0000-0000-0000EC8E0000}"/>
    <cellStyle name="Percent 3 2 5 4 4 2" xfId="8112" xr:uid="{00000000-0005-0000-0000-0000ED8E0000}"/>
    <cellStyle name="Percent 3 2 5 4 4 2 2" xfId="17142" xr:uid="{00000000-0005-0000-0000-0000EE8E0000}"/>
    <cellStyle name="Percent 3 2 5 4 4 2 2 2" xfId="37194" xr:uid="{00000000-0005-0000-0000-0000EF8E0000}"/>
    <cellStyle name="Percent 3 2 5 4 4 2 3" xfId="28164" xr:uid="{00000000-0005-0000-0000-0000F08E0000}"/>
    <cellStyle name="Percent 3 2 5 4 4 3" xfId="12660" xr:uid="{00000000-0005-0000-0000-0000F18E0000}"/>
    <cellStyle name="Percent 3 2 5 4 4 3 2" xfId="32712" xr:uid="{00000000-0005-0000-0000-0000F28E0000}"/>
    <cellStyle name="Percent 3 2 5 4 4 4" xfId="23682" xr:uid="{00000000-0005-0000-0000-0000F38E0000}"/>
    <cellStyle name="Percent 3 2 5 4 5" xfId="5124" xr:uid="{00000000-0005-0000-0000-0000F48E0000}"/>
    <cellStyle name="Percent 3 2 5 4 5 2" xfId="14154" xr:uid="{00000000-0005-0000-0000-0000F58E0000}"/>
    <cellStyle name="Percent 3 2 5 4 5 2 2" xfId="34206" xr:uid="{00000000-0005-0000-0000-0000F68E0000}"/>
    <cellStyle name="Percent 3 2 5 4 5 3" xfId="25176" xr:uid="{00000000-0005-0000-0000-0000F78E0000}"/>
    <cellStyle name="Percent 3 2 5 4 6" xfId="9672" xr:uid="{00000000-0005-0000-0000-0000F88E0000}"/>
    <cellStyle name="Percent 3 2 5 4 6 2" xfId="29724" xr:uid="{00000000-0005-0000-0000-0000F98E0000}"/>
    <cellStyle name="Percent 3 2 5 4 7" xfId="20694" xr:uid="{00000000-0005-0000-0000-0000FA8E0000}"/>
    <cellStyle name="Percent 3 2 5 5" xfId="829" xr:uid="{00000000-0005-0000-0000-0000FB8E0000}"/>
    <cellStyle name="Percent 3 2 5 5 2" xfId="2323" xr:uid="{00000000-0005-0000-0000-0000FC8E0000}"/>
    <cellStyle name="Percent 3 2 5 5 2 2" xfId="6805" xr:uid="{00000000-0005-0000-0000-0000FD8E0000}"/>
    <cellStyle name="Percent 3 2 5 5 2 2 2" xfId="15835" xr:uid="{00000000-0005-0000-0000-0000FE8E0000}"/>
    <cellStyle name="Percent 3 2 5 5 2 2 2 2" xfId="35887" xr:uid="{00000000-0005-0000-0000-0000FF8E0000}"/>
    <cellStyle name="Percent 3 2 5 5 2 2 3" xfId="26857" xr:uid="{00000000-0005-0000-0000-0000008F0000}"/>
    <cellStyle name="Percent 3 2 5 5 2 3" xfId="11353" xr:uid="{00000000-0005-0000-0000-0000018F0000}"/>
    <cellStyle name="Percent 3 2 5 5 2 3 2" xfId="31405" xr:uid="{00000000-0005-0000-0000-0000028F0000}"/>
    <cellStyle name="Percent 3 2 5 5 2 4" xfId="22375" xr:uid="{00000000-0005-0000-0000-0000038F0000}"/>
    <cellStyle name="Percent 3 2 5 5 3" xfId="3817" xr:uid="{00000000-0005-0000-0000-0000048F0000}"/>
    <cellStyle name="Percent 3 2 5 5 3 2" xfId="8299" xr:uid="{00000000-0005-0000-0000-0000058F0000}"/>
    <cellStyle name="Percent 3 2 5 5 3 2 2" xfId="17329" xr:uid="{00000000-0005-0000-0000-0000068F0000}"/>
    <cellStyle name="Percent 3 2 5 5 3 2 2 2" xfId="37381" xr:uid="{00000000-0005-0000-0000-0000078F0000}"/>
    <cellStyle name="Percent 3 2 5 5 3 2 3" xfId="28351" xr:uid="{00000000-0005-0000-0000-0000088F0000}"/>
    <cellStyle name="Percent 3 2 5 5 3 3" xfId="12847" xr:uid="{00000000-0005-0000-0000-0000098F0000}"/>
    <cellStyle name="Percent 3 2 5 5 3 3 2" xfId="32899" xr:uid="{00000000-0005-0000-0000-00000A8F0000}"/>
    <cellStyle name="Percent 3 2 5 5 3 4" xfId="23869" xr:uid="{00000000-0005-0000-0000-00000B8F0000}"/>
    <cellStyle name="Percent 3 2 5 5 4" xfId="5311" xr:uid="{00000000-0005-0000-0000-00000C8F0000}"/>
    <cellStyle name="Percent 3 2 5 5 4 2" xfId="14341" xr:uid="{00000000-0005-0000-0000-00000D8F0000}"/>
    <cellStyle name="Percent 3 2 5 5 4 2 2" xfId="34393" xr:uid="{00000000-0005-0000-0000-00000E8F0000}"/>
    <cellStyle name="Percent 3 2 5 5 4 3" xfId="25363" xr:uid="{00000000-0005-0000-0000-00000F8F0000}"/>
    <cellStyle name="Percent 3 2 5 5 5" xfId="9859" xr:uid="{00000000-0005-0000-0000-0000108F0000}"/>
    <cellStyle name="Percent 3 2 5 5 5 2" xfId="29911" xr:uid="{00000000-0005-0000-0000-0000118F0000}"/>
    <cellStyle name="Percent 3 2 5 5 6" xfId="20881" xr:uid="{00000000-0005-0000-0000-0000128F0000}"/>
    <cellStyle name="Percent 3 2 5 6" xfId="1578" xr:uid="{00000000-0005-0000-0000-0000138F0000}"/>
    <cellStyle name="Percent 3 2 5 6 2" xfId="6060" xr:uid="{00000000-0005-0000-0000-0000148F0000}"/>
    <cellStyle name="Percent 3 2 5 6 2 2" xfId="15090" xr:uid="{00000000-0005-0000-0000-0000158F0000}"/>
    <cellStyle name="Percent 3 2 5 6 2 2 2" xfId="35142" xr:uid="{00000000-0005-0000-0000-0000168F0000}"/>
    <cellStyle name="Percent 3 2 5 6 2 3" xfId="26112" xr:uid="{00000000-0005-0000-0000-0000178F0000}"/>
    <cellStyle name="Percent 3 2 5 6 3" xfId="10608" xr:uid="{00000000-0005-0000-0000-0000188F0000}"/>
    <cellStyle name="Percent 3 2 5 6 3 2" xfId="30660" xr:uid="{00000000-0005-0000-0000-0000198F0000}"/>
    <cellStyle name="Percent 3 2 5 6 4" xfId="21630" xr:uid="{00000000-0005-0000-0000-00001A8F0000}"/>
    <cellStyle name="Percent 3 2 5 7" xfId="3072" xr:uid="{00000000-0005-0000-0000-00001B8F0000}"/>
    <cellStyle name="Percent 3 2 5 7 2" xfId="7554" xr:uid="{00000000-0005-0000-0000-00001C8F0000}"/>
    <cellStyle name="Percent 3 2 5 7 2 2" xfId="16584" xr:uid="{00000000-0005-0000-0000-00001D8F0000}"/>
    <cellStyle name="Percent 3 2 5 7 2 2 2" xfId="36636" xr:uid="{00000000-0005-0000-0000-00001E8F0000}"/>
    <cellStyle name="Percent 3 2 5 7 2 3" xfId="27606" xr:uid="{00000000-0005-0000-0000-00001F8F0000}"/>
    <cellStyle name="Percent 3 2 5 7 3" xfId="12102" xr:uid="{00000000-0005-0000-0000-0000208F0000}"/>
    <cellStyle name="Percent 3 2 5 7 3 2" xfId="32154" xr:uid="{00000000-0005-0000-0000-0000218F0000}"/>
    <cellStyle name="Percent 3 2 5 7 4" xfId="23124" xr:uid="{00000000-0005-0000-0000-0000228F0000}"/>
    <cellStyle name="Percent 3 2 5 8" xfId="4566" xr:uid="{00000000-0005-0000-0000-0000238F0000}"/>
    <cellStyle name="Percent 3 2 5 8 2" xfId="13596" xr:uid="{00000000-0005-0000-0000-0000248F0000}"/>
    <cellStyle name="Percent 3 2 5 8 2 2" xfId="33648" xr:uid="{00000000-0005-0000-0000-0000258F0000}"/>
    <cellStyle name="Percent 3 2 5 8 3" xfId="24618" xr:uid="{00000000-0005-0000-0000-0000268F0000}"/>
    <cellStyle name="Percent 3 2 5 9" xfId="9114" xr:uid="{00000000-0005-0000-0000-0000278F0000}"/>
    <cellStyle name="Percent 3 2 5 9 2" xfId="29166" xr:uid="{00000000-0005-0000-0000-0000288F0000}"/>
    <cellStyle name="Percent 3 2 6" xfId="122" xr:uid="{00000000-0005-0000-0000-0000298F0000}"/>
    <cellStyle name="Percent 3 2 6 10" xfId="20174" xr:uid="{00000000-0005-0000-0000-00002A8F0000}"/>
    <cellStyle name="Percent 3 2 6 2" xfId="308" xr:uid="{00000000-0005-0000-0000-00002B8F0000}"/>
    <cellStyle name="Percent 3 2 6 2 2" xfId="1051" xr:uid="{00000000-0005-0000-0000-00002C8F0000}"/>
    <cellStyle name="Percent 3 2 6 2 2 2" xfId="2545" xr:uid="{00000000-0005-0000-0000-00002D8F0000}"/>
    <cellStyle name="Percent 3 2 6 2 2 2 2" xfId="7027" xr:uid="{00000000-0005-0000-0000-00002E8F0000}"/>
    <cellStyle name="Percent 3 2 6 2 2 2 2 2" xfId="16057" xr:uid="{00000000-0005-0000-0000-00002F8F0000}"/>
    <cellStyle name="Percent 3 2 6 2 2 2 2 2 2" xfId="36109" xr:uid="{00000000-0005-0000-0000-0000308F0000}"/>
    <cellStyle name="Percent 3 2 6 2 2 2 2 3" xfId="27079" xr:uid="{00000000-0005-0000-0000-0000318F0000}"/>
    <cellStyle name="Percent 3 2 6 2 2 2 3" xfId="11575" xr:uid="{00000000-0005-0000-0000-0000328F0000}"/>
    <cellStyle name="Percent 3 2 6 2 2 2 3 2" xfId="31627" xr:uid="{00000000-0005-0000-0000-0000338F0000}"/>
    <cellStyle name="Percent 3 2 6 2 2 2 4" xfId="22597" xr:uid="{00000000-0005-0000-0000-0000348F0000}"/>
    <cellStyle name="Percent 3 2 6 2 2 3" xfId="4039" xr:uid="{00000000-0005-0000-0000-0000358F0000}"/>
    <cellStyle name="Percent 3 2 6 2 2 3 2" xfId="8521" xr:uid="{00000000-0005-0000-0000-0000368F0000}"/>
    <cellStyle name="Percent 3 2 6 2 2 3 2 2" xfId="17551" xr:uid="{00000000-0005-0000-0000-0000378F0000}"/>
    <cellStyle name="Percent 3 2 6 2 2 3 2 2 2" xfId="37603" xr:uid="{00000000-0005-0000-0000-0000388F0000}"/>
    <cellStyle name="Percent 3 2 6 2 2 3 2 3" xfId="28573" xr:uid="{00000000-0005-0000-0000-0000398F0000}"/>
    <cellStyle name="Percent 3 2 6 2 2 3 3" xfId="13069" xr:uid="{00000000-0005-0000-0000-00003A8F0000}"/>
    <cellStyle name="Percent 3 2 6 2 2 3 3 2" xfId="33121" xr:uid="{00000000-0005-0000-0000-00003B8F0000}"/>
    <cellStyle name="Percent 3 2 6 2 2 3 4" xfId="24091" xr:uid="{00000000-0005-0000-0000-00003C8F0000}"/>
    <cellStyle name="Percent 3 2 6 2 2 4" xfId="5533" xr:uid="{00000000-0005-0000-0000-00003D8F0000}"/>
    <cellStyle name="Percent 3 2 6 2 2 4 2" xfId="14563" xr:uid="{00000000-0005-0000-0000-00003E8F0000}"/>
    <cellStyle name="Percent 3 2 6 2 2 4 2 2" xfId="34615" xr:uid="{00000000-0005-0000-0000-00003F8F0000}"/>
    <cellStyle name="Percent 3 2 6 2 2 4 3" xfId="25585" xr:uid="{00000000-0005-0000-0000-0000408F0000}"/>
    <cellStyle name="Percent 3 2 6 2 2 5" xfId="10081" xr:uid="{00000000-0005-0000-0000-0000418F0000}"/>
    <cellStyle name="Percent 3 2 6 2 2 5 2" xfId="30133" xr:uid="{00000000-0005-0000-0000-0000428F0000}"/>
    <cellStyle name="Percent 3 2 6 2 2 6" xfId="21103" xr:uid="{00000000-0005-0000-0000-0000438F0000}"/>
    <cellStyle name="Percent 3 2 6 2 3" xfId="1802" xr:uid="{00000000-0005-0000-0000-0000448F0000}"/>
    <cellStyle name="Percent 3 2 6 2 3 2" xfId="6284" xr:uid="{00000000-0005-0000-0000-0000458F0000}"/>
    <cellStyle name="Percent 3 2 6 2 3 2 2" xfId="15314" xr:uid="{00000000-0005-0000-0000-0000468F0000}"/>
    <cellStyle name="Percent 3 2 6 2 3 2 2 2" xfId="35366" xr:uid="{00000000-0005-0000-0000-0000478F0000}"/>
    <cellStyle name="Percent 3 2 6 2 3 2 3" xfId="26336" xr:uid="{00000000-0005-0000-0000-0000488F0000}"/>
    <cellStyle name="Percent 3 2 6 2 3 3" xfId="10832" xr:uid="{00000000-0005-0000-0000-0000498F0000}"/>
    <cellStyle name="Percent 3 2 6 2 3 3 2" xfId="30884" xr:uid="{00000000-0005-0000-0000-00004A8F0000}"/>
    <cellStyle name="Percent 3 2 6 2 3 4" xfId="21854" xr:uid="{00000000-0005-0000-0000-00004B8F0000}"/>
    <cellStyle name="Percent 3 2 6 2 4" xfId="3296" xr:uid="{00000000-0005-0000-0000-00004C8F0000}"/>
    <cellStyle name="Percent 3 2 6 2 4 2" xfId="7778" xr:uid="{00000000-0005-0000-0000-00004D8F0000}"/>
    <cellStyle name="Percent 3 2 6 2 4 2 2" xfId="16808" xr:uid="{00000000-0005-0000-0000-00004E8F0000}"/>
    <cellStyle name="Percent 3 2 6 2 4 2 2 2" xfId="36860" xr:uid="{00000000-0005-0000-0000-00004F8F0000}"/>
    <cellStyle name="Percent 3 2 6 2 4 2 3" xfId="27830" xr:uid="{00000000-0005-0000-0000-0000508F0000}"/>
    <cellStyle name="Percent 3 2 6 2 4 3" xfId="12326" xr:uid="{00000000-0005-0000-0000-0000518F0000}"/>
    <cellStyle name="Percent 3 2 6 2 4 3 2" xfId="32378" xr:uid="{00000000-0005-0000-0000-0000528F0000}"/>
    <cellStyle name="Percent 3 2 6 2 4 4" xfId="23348" xr:uid="{00000000-0005-0000-0000-0000538F0000}"/>
    <cellStyle name="Percent 3 2 6 2 5" xfId="4790" xr:uid="{00000000-0005-0000-0000-0000548F0000}"/>
    <cellStyle name="Percent 3 2 6 2 5 2" xfId="13820" xr:uid="{00000000-0005-0000-0000-0000558F0000}"/>
    <cellStyle name="Percent 3 2 6 2 5 2 2" xfId="33872" xr:uid="{00000000-0005-0000-0000-0000568F0000}"/>
    <cellStyle name="Percent 3 2 6 2 5 3" xfId="24842" xr:uid="{00000000-0005-0000-0000-0000578F0000}"/>
    <cellStyle name="Percent 3 2 6 2 6" xfId="9338" xr:uid="{00000000-0005-0000-0000-0000588F0000}"/>
    <cellStyle name="Percent 3 2 6 2 6 2" xfId="29390" xr:uid="{00000000-0005-0000-0000-0000598F0000}"/>
    <cellStyle name="Percent 3 2 6 2 7" xfId="20360" xr:uid="{00000000-0005-0000-0000-00005A8F0000}"/>
    <cellStyle name="Percent 3 2 6 3" xfId="494" xr:uid="{00000000-0005-0000-0000-00005B8F0000}"/>
    <cellStyle name="Percent 3 2 6 3 2" xfId="1241" xr:uid="{00000000-0005-0000-0000-00005C8F0000}"/>
    <cellStyle name="Percent 3 2 6 3 2 2" xfId="2735" xr:uid="{00000000-0005-0000-0000-00005D8F0000}"/>
    <cellStyle name="Percent 3 2 6 3 2 2 2" xfId="7217" xr:uid="{00000000-0005-0000-0000-00005E8F0000}"/>
    <cellStyle name="Percent 3 2 6 3 2 2 2 2" xfId="16247" xr:uid="{00000000-0005-0000-0000-00005F8F0000}"/>
    <cellStyle name="Percent 3 2 6 3 2 2 2 2 2" xfId="36299" xr:uid="{00000000-0005-0000-0000-0000608F0000}"/>
    <cellStyle name="Percent 3 2 6 3 2 2 2 3" xfId="27269" xr:uid="{00000000-0005-0000-0000-0000618F0000}"/>
    <cellStyle name="Percent 3 2 6 3 2 2 3" xfId="11765" xr:uid="{00000000-0005-0000-0000-0000628F0000}"/>
    <cellStyle name="Percent 3 2 6 3 2 2 3 2" xfId="31817" xr:uid="{00000000-0005-0000-0000-0000638F0000}"/>
    <cellStyle name="Percent 3 2 6 3 2 2 4" xfId="22787" xr:uid="{00000000-0005-0000-0000-0000648F0000}"/>
    <cellStyle name="Percent 3 2 6 3 2 3" xfId="4229" xr:uid="{00000000-0005-0000-0000-0000658F0000}"/>
    <cellStyle name="Percent 3 2 6 3 2 3 2" xfId="8711" xr:uid="{00000000-0005-0000-0000-0000668F0000}"/>
    <cellStyle name="Percent 3 2 6 3 2 3 2 2" xfId="17741" xr:uid="{00000000-0005-0000-0000-0000678F0000}"/>
    <cellStyle name="Percent 3 2 6 3 2 3 2 2 2" xfId="37793" xr:uid="{00000000-0005-0000-0000-0000688F0000}"/>
    <cellStyle name="Percent 3 2 6 3 2 3 2 3" xfId="28763" xr:uid="{00000000-0005-0000-0000-0000698F0000}"/>
    <cellStyle name="Percent 3 2 6 3 2 3 3" xfId="13259" xr:uid="{00000000-0005-0000-0000-00006A8F0000}"/>
    <cellStyle name="Percent 3 2 6 3 2 3 3 2" xfId="33311" xr:uid="{00000000-0005-0000-0000-00006B8F0000}"/>
    <cellStyle name="Percent 3 2 6 3 2 3 4" xfId="24281" xr:uid="{00000000-0005-0000-0000-00006C8F0000}"/>
    <cellStyle name="Percent 3 2 6 3 2 4" xfId="5723" xr:uid="{00000000-0005-0000-0000-00006D8F0000}"/>
    <cellStyle name="Percent 3 2 6 3 2 4 2" xfId="14753" xr:uid="{00000000-0005-0000-0000-00006E8F0000}"/>
    <cellStyle name="Percent 3 2 6 3 2 4 2 2" xfId="34805" xr:uid="{00000000-0005-0000-0000-00006F8F0000}"/>
    <cellStyle name="Percent 3 2 6 3 2 4 3" xfId="25775" xr:uid="{00000000-0005-0000-0000-0000708F0000}"/>
    <cellStyle name="Percent 3 2 6 3 2 5" xfId="10271" xr:uid="{00000000-0005-0000-0000-0000718F0000}"/>
    <cellStyle name="Percent 3 2 6 3 2 5 2" xfId="30323" xr:uid="{00000000-0005-0000-0000-0000728F0000}"/>
    <cellStyle name="Percent 3 2 6 3 2 6" xfId="21293" xr:uid="{00000000-0005-0000-0000-0000738F0000}"/>
    <cellStyle name="Percent 3 2 6 3 3" xfId="1988" xr:uid="{00000000-0005-0000-0000-0000748F0000}"/>
    <cellStyle name="Percent 3 2 6 3 3 2" xfId="6470" xr:uid="{00000000-0005-0000-0000-0000758F0000}"/>
    <cellStyle name="Percent 3 2 6 3 3 2 2" xfId="15500" xr:uid="{00000000-0005-0000-0000-0000768F0000}"/>
    <cellStyle name="Percent 3 2 6 3 3 2 2 2" xfId="35552" xr:uid="{00000000-0005-0000-0000-0000778F0000}"/>
    <cellStyle name="Percent 3 2 6 3 3 2 3" xfId="26522" xr:uid="{00000000-0005-0000-0000-0000788F0000}"/>
    <cellStyle name="Percent 3 2 6 3 3 3" xfId="11018" xr:uid="{00000000-0005-0000-0000-0000798F0000}"/>
    <cellStyle name="Percent 3 2 6 3 3 3 2" xfId="31070" xr:uid="{00000000-0005-0000-0000-00007A8F0000}"/>
    <cellStyle name="Percent 3 2 6 3 3 4" xfId="22040" xr:uid="{00000000-0005-0000-0000-00007B8F0000}"/>
    <cellStyle name="Percent 3 2 6 3 4" xfId="3482" xr:uid="{00000000-0005-0000-0000-00007C8F0000}"/>
    <cellStyle name="Percent 3 2 6 3 4 2" xfId="7964" xr:uid="{00000000-0005-0000-0000-00007D8F0000}"/>
    <cellStyle name="Percent 3 2 6 3 4 2 2" xfId="16994" xr:uid="{00000000-0005-0000-0000-00007E8F0000}"/>
    <cellStyle name="Percent 3 2 6 3 4 2 2 2" xfId="37046" xr:uid="{00000000-0005-0000-0000-00007F8F0000}"/>
    <cellStyle name="Percent 3 2 6 3 4 2 3" xfId="28016" xr:uid="{00000000-0005-0000-0000-0000808F0000}"/>
    <cellStyle name="Percent 3 2 6 3 4 3" xfId="12512" xr:uid="{00000000-0005-0000-0000-0000818F0000}"/>
    <cellStyle name="Percent 3 2 6 3 4 3 2" xfId="32564" xr:uid="{00000000-0005-0000-0000-0000828F0000}"/>
    <cellStyle name="Percent 3 2 6 3 4 4" xfId="23534" xr:uid="{00000000-0005-0000-0000-0000838F0000}"/>
    <cellStyle name="Percent 3 2 6 3 5" xfId="4976" xr:uid="{00000000-0005-0000-0000-0000848F0000}"/>
    <cellStyle name="Percent 3 2 6 3 5 2" xfId="14006" xr:uid="{00000000-0005-0000-0000-0000858F0000}"/>
    <cellStyle name="Percent 3 2 6 3 5 2 2" xfId="34058" xr:uid="{00000000-0005-0000-0000-0000868F0000}"/>
    <cellStyle name="Percent 3 2 6 3 5 3" xfId="25028" xr:uid="{00000000-0005-0000-0000-0000878F0000}"/>
    <cellStyle name="Percent 3 2 6 3 6" xfId="9524" xr:uid="{00000000-0005-0000-0000-0000888F0000}"/>
    <cellStyle name="Percent 3 2 6 3 6 2" xfId="29576" xr:uid="{00000000-0005-0000-0000-0000898F0000}"/>
    <cellStyle name="Percent 3 2 6 3 7" xfId="20546" xr:uid="{00000000-0005-0000-0000-00008A8F0000}"/>
    <cellStyle name="Percent 3 2 6 4" xfId="680" xr:uid="{00000000-0005-0000-0000-00008B8F0000}"/>
    <cellStyle name="Percent 3 2 6 4 2" xfId="1427" xr:uid="{00000000-0005-0000-0000-00008C8F0000}"/>
    <cellStyle name="Percent 3 2 6 4 2 2" xfId="2921" xr:uid="{00000000-0005-0000-0000-00008D8F0000}"/>
    <cellStyle name="Percent 3 2 6 4 2 2 2" xfId="7403" xr:uid="{00000000-0005-0000-0000-00008E8F0000}"/>
    <cellStyle name="Percent 3 2 6 4 2 2 2 2" xfId="16433" xr:uid="{00000000-0005-0000-0000-00008F8F0000}"/>
    <cellStyle name="Percent 3 2 6 4 2 2 2 2 2" xfId="36485" xr:uid="{00000000-0005-0000-0000-0000908F0000}"/>
    <cellStyle name="Percent 3 2 6 4 2 2 2 3" xfId="27455" xr:uid="{00000000-0005-0000-0000-0000918F0000}"/>
    <cellStyle name="Percent 3 2 6 4 2 2 3" xfId="11951" xr:uid="{00000000-0005-0000-0000-0000928F0000}"/>
    <cellStyle name="Percent 3 2 6 4 2 2 3 2" xfId="32003" xr:uid="{00000000-0005-0000-0000-0000938F0000}"/>
    <cellStyle name="Percent 3 2 6 4 2 2 4" xfId="22973" xr:uid="{00000000-0005-0000-0000-0000948F0000}"/>
    <cellStyle name="Percent 3 2 6 4 2 3" xfId="4415" xr:uid="{00000000-0005-0000-0000-0000958F0000}"/>
    <cellStyle name="Percent 3 2 6 4 2 3 2" xfId="8897" xr:uid="{00000000-0005-0000-0000-0000968F0000}"/>
    <cellStyle name="Percent 3 2 6 4 2 3 2 2" xfId="17927" xr:uid="{00000000-0005-0000-0000-0000978F0000}"/>
    <cellStyle name="Percent 3 2 6 4 2 3 2 2 2" xfId="37979" xr:uid="{00000000-0005-0000-0000-0000988F0000}"/>
    <cellStyle name="Percent 3 2 6 4 2 3 2 3" xfId="28949" xr:uid="{00000000-0005-0000-0000-0000998F0000}"/>
    <cellStyle name="Percent 3 2 6 4 2 3 3" xfId="13445" xr:uid="{00000000-0005-0000-0000-00009A8F0000}"/>
    <cellStyle name="Percent 3 2 6 4 2 3 3 2" xfId="33497" xr:uid="{00000000-0005-0000-0000-00009B8F0000}"/>
    <cellStyle name="Percent 3 2 6 4 2 3 4" xfId="24467" xr:uid="{00000000-0005-0000-0000-00009C8F0000}"/>
    <cellStyle name="Percent 3 2 6 4 2 4" xfId="5909" xr:uid="{00000000-0005-0000-0000-00009D8F0000}"/>
    <cellStyle name="Percent 3 2 6 4 2 4 2" xfId="14939" xr:uid="{00000000-0005-0000-0000-00009E8F0000}"/>
    <cellStyle name="Percent 3 2 6 4 2 4 2 2" xfId="34991" xr:uid="{00000000-0005-0000-0000-00009F8F0000}"/>
    <cellStyle name="Percent 3 2 6 4 2 4 3" xfId="25961" xr:uid="{00000000-0005-0000-0000-0000A08F0000}"/>
    <cellStyle name="Percent 3 2 6 4 2 5" xfId="10457" xr:uid="{00000000-0005-0000-0000-0000A18F0000}"/>
    <cellStyle name="Percent 3 2 6 4 2 5 2" xfId="30509" xr:uid="{00000000-0005-0000-0000-0000A28F0000}"/>
    <cellStyle name="Percent 3 2 6 4 2 6" xfId="21479" xr:uid="{00000000-0005-0000-0000-0000A38F0000}"/>
    <cellStyle name="Percent 3 2 6 4 3" xfId="2174" xr:uid="{00000000-0005-0000-0000-0000A48F0000}"/>
    <cellStyle name="Percent 3 2 6 4 3 2" xfId="6656" xr:uid="{00000000-0005-0000-0000-0000A58F0000}"/>
    <cellStyle name="Percent 3 2 6 4 3 2 2" xfId="15686" xr:uid="{00000000-0005-0000-0000-0000A68F0000}"/>
    <cellStyle name="Percent 3 2 6 4 3 2 2 2" xfId="35738" xr:uid="{00000000-0005-0000-0000-0000A78F0000}"/>
    <cellStyle name="Percent 3 2 6 4 3 2 3" xfId="26708" xr:uid="{00000000-0005-0000-0000-0000A88F0000}"/>
    <cellStyle name="Percent 3 2 6 4 3 3" xfId="11204" xr:uid="{00000000-0005-0000-0000-0000A98F0000}"/>
    <cellStyle name="Percent 3 2 6 4 3 3 2" xfId="31256" xr:uid="{00000000-0005-0000-0000-0000AA8F0000}"/>
    <cellStyle name="Percent 3 2 6 4 3 4" xfId="22226" xr:uid="{00000000-0005-0000-0000-0000AB8F0000}"/>
    <cellStyle name="Percent 3 2 6 4 4" xfId="3668" xr:uid="{00000000-0005-0000-0000-0000AC8F0000}"/>
    <cellStyle name="Percent 3 2 6 4 4 2" xfId="8150" xr:uid="{00000000-0005-0000-0000-0000AD8F0000}"/>
    <cellStyle name="Percent 3 2 6 4 4 2 2" xfId="17180" xr:uid="{00000000-0005-0000-0000-0000AE8F0000}"/>
    <cellStyle name="Percent 3 2 6 4 4 2 2 2" xfId="37232" xr:uid="{00000000-0005-0000-0000-0000AF8F0000}"/>
    <cellStyle name="Percent 3 2 6 4 4 2 3" xfId="28202" xr:uid="{00000000-0005-0000-0000-0000B08F0000}"/>
    <cellStyle name="Percent 3 2 6 4 4 3" xfId="12698" xr:uid="{00000000-0005-0000-0000-0000B18F0000}"/>
    <cellStyle name="Percent 3 2 6 4 4 3 2" xfId="32750" xr:uid="{00000000-0005-0000-0000-0000B28F0000}"/>
    <cellStyle name="Percent 3 2 6 4 4 4" xfId="23720" xr:uid="{00000000-0005-0000-0000-0000B38F0000}"/>
    <cellStyle name="Percent 3 2 6 4 5" xfId="5162" xr:uid="{00000000-0005-0000-0000-0000B48F0000}"/>
    <cellStyle name="Percent 3 2 6 4 5 2" xfId="14192" xr:uid="{00000000-0005-0000-0000-0000B58F0000}"/>
    <cellStyle name="Percent 3 2 6 4 5 2 2" xfId="34244" xr:uid="{00000000-0005-0000-0000-0000B68F0000}"/>
    <cellStyle name="Percent 3 2 6 4 5 3" xfId="25214" xr:uid="{00000000-0005-0000-0000-0000B78F0000}"/>
    <cellStyle name="Percent 3 2 6 4 6" xfId="9710" xr:uid="{00000000-0005-0000-0000-0000B88F0000}"/>
    <cellStyle name="Percent 3 2 6 4 6 2" xfId="29762" xr:uid="{00000000-0005-0000-0000-0000B98F0000}"/>
    <cellStyle name="Percent 3 2 6 4 7" xfId="20732" xr:uid="{00000000-0005-0000-0000-0000BA8F0000}"/>
    <cellStyle name="Percent 3 2 6 5" xfId="867" xr:uid="{00000000-0005-0000-0000-0000BB8F0000}"/>
    <cellStyle name="Percent 3 2 6 5 2" xfId="2361" xr:uid="{00000000-0005-0000-0000-0000BC8F0000}"/>
    <cellStyle name="Percent 3 2 6 5 2 2" xfId="6843" xr:uid="{00000000-0005-0000-0000-0000BD8F0000}"/>
    <cellStyle name="Percent 3 2 6 5 2 2 2" xfId="15873" xr:uid="{00000000-0005-0000-0000-0000BE8F0000}"/>
    <cellStyle name="Percent 3 2 6 5 2 2 2 2" xfId="35925" xr:uid="{00000000-0005-0000-0000-0000BF8F0000}"/>
    <cellStyle name="Percent 3 2 6 5 2 2 3" xfId="26895" xr:uid="{00000000-0005-0000-0000-0000C08F0000}"/>
    <cellStyle name="Percent 3 2 6 5 2 3" xfId="11391" xr:uid="{00000000-0005-0000-0000-0000C18F0000}"/>
    <cellStyle name="Percent 3 2 6 5 2 3 2" xfId="31443" xr:uid="{00000000-0005-0000-0000-0000C28F0000}"/>
    <cellStyle name="Percent 3 2 6 5 2 4" xfId="22413" xr:uid="{00000000-0005-0000-0000-0000C38F0000}"/>
    <cellStyle name="Percent 3 2 6 5 3" xfId="3855" xr:uid="{00000000-0005-0000-0000-0000C48F0000}"/>
    <cellStyle name="Percent 3 2 6 5 3 2" xfId="8337" xr:uid="{00000000-0005-0000-0000-0000C58F0000}"/>
    <cellStyle name="Percent 3 2 6 5 3 2 2" xfId="17367" xr:uid="{00000000-0005-0000-0000-0000C68F0000}"/>
    <cellStyle name="Percent 3 2 6 5 3 2 2 2" xfId="37419" xr:uid="{00000000-0005-0000-0000-0000C78F0000}"/>
    <cellStyle name="Percent 3 2 6 5 3 2 3" xfId="28389" xr:uid="{00000000-0005-0000-0000-0000C88F0000}"/>
    <cellStyle name="Percent 3 2 6 5 3 3" xfId="12885" xr:uid="{00000000-0005-0000-0000-0000C98F0000}"/>
    <cellStyle name="Percent 3 2 6 5 3 3 2" xfId="32937" xr:uid="{00000000-0005-0000-0000-0000CA8F0000}"/>
    <cellStyle name="Percent 3 2 6 5 3 4" xfId="23907" xr:uid="{00000000-0005-0000-0000-0000CB8F0000}"/>
    <cellStyle name="Percent 3 2 6 5 4" xfId="5349" xr:uid="{00000000-0005-0000-0000-0000CC8F0000}"/>
    <cellStyle name="Percent 3 2 6 5 4 2" xfId="14379" xr:uid="{00000000-0005-0000-0000-0000CD8F0000}"/>
    <cellStyle name="Percent 3 2 6 5 4 2 2" xfId="34431" xr:uid="{00000000-0005-0000-0000-0000CE8F0000}"/>
    <cellStyle name="Percent 3 2 6 5 4 3" xfId="25401" xr:uid="{00000000-0005-0000-0000-0000CF8F0000}"/>
    <cellStyle name="Percent 3 2 6 5 5" xfId="9897" xr:uid="{00000000-0005-0000-0000-0000D08F0000}"/>
    <cellStyle name="Percent 3 2 6 5 5 2" xfId="29949" xr:uid="{00000000-0005-0000-0000-0000D18F0000}"/>
    <cellStyle name="Percent 3 2 6 5 6" xfId="20919" xr:uid="{00000000-0005-0000-0000-0000D28F0000}"/>
    <cellStyle name="Percent 3 2 6 6" xfId="1616" xr:uid="{00000000-0005-0000-0000-0000D38F0000}"/>
    <cellStyle name="Percent 3 2 6 6 2" xfId="6098" xr:uid="{00000000-0005-0000-0000-0000D48F0000}"/>
    <cellStyle name="Percent 3 2 6 6 2 2" xfId="15128" xr:uid="{00000000-0005-0000-0000-0000D58F0000}"/>
    <cellStyle name="Percent 3 2 6 6 2 2 2" xfId="35180" xr:uid="{00000000-0005-0000-0000-0000D68F0000}"/>
    <cellStyle name="Percent 3 2 6 6 2 3" xfId="26150" xr:uid="{00000000-0005-0000-0000-0000D78F0000}"/>
    <cellStyle name="Percent 3 2 6 6 3" xfId="10646" xr:uid="{00000000-0005-0000-0000-0000D88F0000}"/>
    <cellStyle name="Percent 3 2 6 6 3 2" xfId="30698" xr:uid="{00000000-0005-0000-0000-0000D98F0000}"/>
    <cellStyle name="Percent 3 2 6 6 4" xfId="21668" xr:uid="{00000000-0005-0000-0000-0000DA8F0000}"/>
    <cellStyle name="Percent 3 2 6 7" xfId="3110" xr:uid="{00000000-0005-0000-0000-0000DB8F0000}"/>
    <cellStyle name="Percent 3 2 6 7 2" xfId="7592" xr:uid="{00000000-0005-0000-0000-0000DC8F0000}"/>
    <cellStyle name="Percent 3 2 6 7 2 2" xfId="16622" xr:uid="{00000000-0005-0000-0000-0000DD8F0000}"/>
    <cellStyle name="Percent 3 2 6 7 2 2 2" xfId="36674" xr:uid="{00000000-0005-0000-0000-0000DE8F0000}"/>
    <cellStyle name="Percent 3 2 6 7 2 3" xfId="27644" xr:uid="{00000000-0005-0000-0000-0000DF8F0000}"/>
    <cellStyle name="Percent 3 2 6 7 3" xfId="12140" xr:uid="{00000000-0005-0000-0000-0000E08F0000}"/>
    <cellStyle name="Percent 3 2 6 7 3 2" xfId="32192" xr:uid="{00000000-0005-0000-0000-0000E18F0000}"/>
    <cellStyle name="Percent 3 2 6 7 4" xfId="23162" xr:uid="{00000000-0005-0000-0000-0000E28F0000}"/>
    <cellStyle name="Percent 3 2 6 8" xfId="4604" xr:uid="{00000000-0005-0000-0000-0000E38F0000}"/>
    <cellStyle name="Percent 3 2 6 8 2" xfId="13634" xr:uid="{00000000-0005-0000-0000-0000E48F0000}"/>
    <cellStyle name="Percent 3 2 6 8 2 2" xfId="33686" xr:uid="{00000000-0005-0000-0000-0000E58F0000}"/>
    <cellStyle name="Percent 3 2 6 8 3" xfId="24656" xr:uid="{00000000-0005-0000-0000-0000E68F0000}"/>
    <cellStyle name="Percent 3 2 6 9" xfId="9152" xr:uid="{00000000-0005-0000-0000-0000E78F0000}"/>
    <cellStyle name="Percent 3 2 6 9 2" xfId="29204" xr:uid="{00000000-0005-0000-0000-0000E88F0000}"/>
    <cellStyle name="Percent 3 2 7" xfId="131" xr:uid="{00000000-0005-0000-0000-0000E98F0000}"/>
    <cellStyle name="Percent 3 2 7 10" xfId="20183" xr:uid="{00000000-0005-0000-0000-0000EA8F0000}"/>
    <cellStyle name="Percent 3 2 7 2" xfId="317" xr:uid="{00000000-0005-0000-0000-0000EB8F0000}"/>
    <cellStyle name="Percent 3 2 7 2 2" xfId="1060" xr:uid="{00000000-0005-0000-0000-0000EC8F0000}"/>
    <cellStyle name="Percent 3 2 7 2 2 2" xfId="2554" xr:uid="{00000000-0005-0000-0000-0000ED8F0000}"/>
    <cellStyle name="Percent 3 2 7 2 2 2 2" xfId="7036" xr:uid="{00000000-0005-0000-0000-0000EE8F0000}"/>
    <cellStyle name="Percent 3 2 7 2 2 2 2 2" xfId="16066" xr:uid="{00000000-0005-0000-0000-0000EF8F0000}"/>
    <cellStyle name="Percent 3 2 7 2 2 2 2 2 2" xfId="36118" xr:uid="{00000000-0005-0000-0000-0000F08F0000}"/>
    <cellStyle name="Percent 3 2 7 2 2 2 2 3" xfId="27088" xr:uid="{00000000-0005-0000-0000-0000F18F0000}"/>
    <cellStyle name="Percent 3 2 7 2 2 2 3" xfId="11584" xr:uid="{00000000-0005-0000-0000-0000F28F0000}"/>
    <cellStyle name="Percent 3 2 7 2 2 2 3 2" xfId="31636" xr:uid="{00000000-0005-0000-0000-0000F38F0000}"/>
    <cellStyle name="Percent 3 2 7 2 2 2 4" xfId="22606" xr:uid="{00000000-0005-0000-0000-0000F48F0000}"/>
    <cellStyle name="Percent 3 2 7 2 2 3" xfId="4048" xr:uid="{00000000-0005-0000-0000-0000F58F0000}"/>
    <cellStyle name="Percent 3 2 7 2 2 3 2" xfId="8530" xr:uid="{00000000-0005-0000-0000-0000F68F0000}"/>
    <cellStyle name="Percent 3 2 7 2 2 3 2 2" xfId="17560" xr:uid="{00000000-0005-0000-0000-0000F78F0000}"/>
    <cellStyle name="Percent 3 2 7 2 2 3 2 2 2" xfId="37612" xr:uid="{00000000-0005-0000-0000-0000F88F0000}"/>
    <cellStyle name="Percent 3 2 7 2 2 3 2 3" xfId="28582" xr:uid="{00000000-0005-0000-0000-0000F98F0000}"/>
    <cellStyle name="Percent 3 2 7 2 2 3 3" xfId="13078" xr:uid="{00000000-0005-0000-0000-0000FA8F0000}"/>
    <cellStyle name="Percent 3 2 7 2 2 3 3 2" xfId="33130" xr:uid="{00000000-0005-0000-0000-0000FB8F0000}"/>
    <cellStyle name="Percent 3 2 7 2 2 3 4" xfId="24100" xr:uid="{00000000-0005-0000-0000-0000FC8F0000}"/>
    <cellStyle name="Percent 3 2 7 2 2 4" xfId="5542" xr:uid="{00000000-0005-0000-0000-0000FD8F0000}"/>
    <cellStyle name="Percent 3 2 7 2 2 4 2" xfId="14572" xr:uid="{00000000-0005-0000-0000-0000FE8F0000}"/>
    <cellStyle name="Percent 3 2 7 2 2 4 2 2" xfId="34624" xr:uid="{00000000-0005-0000-0000-0000FF8F0000}"/>
    <cellStyle name="Percent 3 2 7 2 2 4 3" xfId="25594" xr:uid="{00000000-0005-0000-0000-000000900000}"/>
    <cellStyle name="Percent 3 2 7 2 2 5" xfId="10090" xr:uid="{00000000-0005-0000-0000-000001900000}"/>
    <cellStyle name="Percent 3 2 7 2 2 5 2" xfId="30142" xr:uid="{00000000-0005-0000-0000-000002900000}"/>
    <cellStyle name="Percent 3 2 7 2 2 6" xfId="21112" xr:uid="{00000000-0005-0000-0000-000003900000}"/>
    <cellStyle name="Percent 3 2 7 2 3" xfId="1811" xr:uid="{00000000-0005-0000-0000-000004900000}"/>
    <cellStyle name="Percent 3 2 7 2 3 2" xfId="6293" xr:uid="{00000000-0005-0000-0000-000005900000}"/>
    <cellStyle name="Percent 3 2 7 2 3 2 2" xfId="15323" xr:uid="{00000000-0005-0000-0000-000006900000}"/>
    <cellStyle name="Percent 3 2 7 2 3 2 2 2" xfId="35375" xr:uid="{00000000-0005-0000-0000-000007900000}"/>
    <cellStyle name="Percent 3 2 7 2 3 2 3" xfId="26345" xr:uid="{00000000-0005-0000-0000-000008900000}"/>
    <cellStyle name="Percent 3 2 7 2 3 3" xfId="10841" xr:uid="{00000000-0005-0000-0000-000009900000}"/>
    <cellStyle name="Percent 3 2 7 2 3 3 2" xfId="30893" xr:uid="{00000000-0005-0000-0000-00000A900000}"/>
    <cellStyle name="Percent 3 2 7 2 3 4" xfId="21863" xr:uid="{00000000-0005-0000-0000-00000B900000}"/>
    <cellStyle name="Percent 3 2 7 2 4" xfId="3305" xr:uid="{00000000-0005-0000-0000-00000C900000}"/>
    <cellStyle name="Percent 3 2 7 2 4 2" xfId="7787" xr:uid="{00000000-0005-0000-0000-00000D900000}"/>
    <cellStyle name="Percent 3 2 7 2 4 2 2" xfId="16817" xr:uid="{00000000-0005-0000-0000-00000E900000}"/>
    <cellStyle name="Percent 3 2 7 2 4 2 2 2" xfId="36869" xr:uid="{00000000-0005-0000-0000-00000F900000}"/>
    <cellStyle name="Percent 3 2 7 2 4 2 3" xfId="27839" xr:uid="{00000000-0005-0000-0000-000010900000}"/>
    <cellStyle name="Percent 3 2 7 2 4 3" xfId="12335" xr:uid="{00000000-0005-0000-0000-000011900000}"/>
    <cellStyle name="Percent 3 2 7 2 4 3 2" xfId="32387" xr:uid="{00000000-0005-0000-0000-000012900000}"/>
    <cellStyle name="Percent 3 2 7 2 4 4" xfId="23357" xr:uid="{00000000-0005-0000-0000-000013900000}"/>
    <cellStyle name="Percent 3 2 7 2 5" xfId="4799" xr:uid="{00000000-0005-0000-0000-000014900000}"/>
    <cellStyle name="Percent 3 2 7 2 5 2" xfId="13829" xr:uid="{00000000-0005-0000-0000-000015900000}"/>
    <cellStyle name="Percent 3 2 7 2 5 2 2" xfId="33881" xr:uid="{00000000-0005-0000-0000-000016900000}"/>
    <cellStyle name="Percent 3 2 7 2 5 3" xfId="24851" xr:uid="{00000000-0005-0000-0000-000017900000}"/>
    <cellStyle name="Percent 3 2 7 2 6" xfId="9347" xr:uid="{00000000-0005-0000-0000-000018900000}"/>
    <cellStyle name="Percent 3 2 7 2 6 2" xfId="29399" xr:uid="{00000000-0005-0000-0000-000019900000}"/>
    <cellStyle name="Percent 3 2 7 2 7" xfId="20369" xr:uid="{00000000-0005-0000-0000-00001A900000}"/>
    <cellStyle name="Percent 3 2 7 3" xfId="503" xr:uid="{00000000-0005-0000-0000-00001B900000}"/>
    <cellStyle name="Percent 3 2 7 3 2" xfId="1250" xr:uid="{00000000-0005-0000-0000-00001C900000}"/>
    <cellStyle name="Percent 3 2 7 3 2 2" xfId="2744" xr:uid="{00000000-0005-0000-0000-00001D900000}"/>
    <cellStyle name="Percent 3 2 7 3 2 2 2" xfId="7226" xr:uid="{00000000-0005-0000-0000-00001E900000}"/>
    <cellStyle name="Percent 3 2 7 3 2 2 2 2" xfId="16256" xr:uid="{00000000-0005-0000-0000-00001F900000}"/>
    <cellStyle name="Percent 3 2 7 3 2 2 2 2 2" xfId="36308" xr:uid="{00000000-0005-0000-0000-000020900000}"/>
    <cellStyle name="Percent 3 2 7 3 2 2 2 3" xfId="27278" xr:uid="{00000000-0005-0000-0000-000021900000}"/>
    <cellStyle name="Percent 3 2 7 3 2 2 3" xfId="11774" xr:uid="{00000000-0005-0000-0000-000022900000}"/>
    <cellStyle name="Percent 3 2 7 3 2 2 3 2" xfId="31826" xr:uid="{00000000-0005-0000-0000-000023900000}"/>
    <cellStyle name="Percent 3 2 7 3 2 2 4" xfId="22796" xr:uid="{00000000-0005-0000-0000-000024900000}"/>
    <cellStyle name="Percent 3 2 7 3 2 3" xfId="4238" xr:uid="{00000000-0005-0000-0000-000025900000}"/>
    <cellStyle name="Percent 3 2 7 3 2 3 2" xfId="8720" xr:uid="{00000000-0005-0000-0000-000026900000}"/>
    <cellStyle name="Percent 3 2 7 3 2 3 2 2" xfId="17750" xr:uid="{00000000-0005-0000-0000-000027900000}"/>
    <cellStyle name="Percent 3 2 7 3 2 3 2 2 2" xfId="37802" xr:uid="{00000000-0005-0000-0000-000028900000}"/>
    <cellStyle name="Percent 3 2 7 3 2 3 2 3" xfId="28772" xr:uid="{00000000-0005-0000-0000-000029900000}"/>
    <cellStyle name="Percent 3 2 7 3 2 3 3" xfId="13268" xr:uid="{00000000-0005-0000-0000-00002A900000}"/>
    <cellStyle name="Percent 3 2 7 3 2 3 3 2" xfId="33320" xr:uid="{00000000-0005-0000-0000-00002B900000}"/>
    <cellStyle name="Percent 3 2 7 3 2 3 4" xfId="24290" xr:uid="{00000000-0005-0000-0000-00002C900000}"/>
    <cellStyle name="Percent 3 2 7 3 2 4" xfId="5732" xr:uid="{00000000-0005-0000-0000-00002D900000}"/>
    <cellStyle name="Percent 3 2 7 3 2 4 2" xfId="14762" xr:uid="{00000000-0005-0000-0000-00002E900000}"/>
    <cellStyle name="Percent 3 2 7 3 2 4 2 2" xfId="34814" xr:uid="{00000000-0005-0000-0000-00002F900000}"/>
    <cellStyle name="Percent 3 2 7 3 2 4 3" xfId="25784" xr:uid="{00000000-0005-0000-0000-000030900000}"/>
    <cellStyle name="Percent 3 2 7 3 2 5" xfId="10280" xr:uid="{00000000-0005-0000-0000-000031900000}"/>
    <cellStyle name="Percent 3 2 7 3 2 5 2" xfId="30332" xr:uid="{00000000-0005-0000-0000-000032900000}"/>
    <cellStyle name="Percent 3 2 7 3 2 6" xfId="21302" xr:uid="{00000000-0005-0000-0000-000033900000}"/>
    <cellStyle name="Percent 3 2 7 3 3" xfId="1997" xr:uid="{00000000-0005-0000-0000-000034900000}"/>
    <cellStyle name="Percent 3 2 7 3 3 2" xfId="6479" xr:uid="{00000000-0005-0000-0000-000035900000}"/>
    <cellStyle name="Percent 3 2 7 3 3 2 2" xfId="15509" xr:uid="{00000000-0005-0000-0000-000036900000}"/>
    <cellStyle name="Percent 3 2 7 3 3 2 2 2" xfId="35561" xr:uid="{00000000-0005-0000-0000-000037900000}"/>
    <cellStyle name="Percent 3 2 7 3 3 2 3" xfId="26531" xr:uid="{00000000-0005-0000-0000-000038900000}"/>
    <cellStyle name="Percent 3 2 7 3 3 3" xfId="11027" xr:uid="{00000000-0005-0000-0000-000039900000}"/>
    <cellStyle name="Percent 3 2 7 3 3 3 2" xfId="31079" xr:uid="{00000000-0005-0000-0000-00003A900000}"/>
    <cellStyle name="Percent 3 2 7 3 3 4" xfId="22049" xr:uid="{00000000-0005-0000-0000-00003B900000}"/>
    <cellStyle name="Percent 3 2 7 3 4" xfId="3491" xr:uid="{00000000-0005-0000-0000-00003C900000}"/>
    <cellStyle name="Percent 3 2 7 3 4 2" xfId="7973" xr:uid="{00000000-0005-0000-0000-00003D900000}"/>
    <cellStyle name="Percent 3 2 7 3 4 2 2" xfId="17003" xr:uid="{00000000-0005-0000-0000-00003E900000}"/>
    <cellStyle name="Percent 3 2 7 3 4 2 2 2" xfId="37055" xr:uid="{00000000-0005-0000-0000-00003F900000}"/>
    <cellStyle name="Percent 3 2 7 3 4 2 3" xfId="28025" xr:uid="{00000000-0005-0000-0000-000040900000}"/>
    <cellStyle name="Percent 3 2 7 3 4 3" xfId="12521" xr:uid="{00000000-0005-0000-0000-000041900000}"/>
    <cellStyle name="Percent 3 2 7 3 4 3 2" xfId="32573" xr:uid="{00000000-0005-0000-0000-000042900000}"/>
    <cellStyle name="Percent 3 2 7 3 4 4" xfId="23543" xr:uid="{00000000-0005-0000-0000-000043900000}"/>
    <cellStyle name="Percent 3 2 7 3 5" xfId="4985" xr:uid="{00000000-0005-0000-0000-000044900000}"/>
    <cellStyle name="Percent 3 2 7 3 5 2" xfId="14015" xr:uid="{00000000-0005-0000-0000-000045900000}"/>
    <cellStyle name="Percent 3 2 7 3 5 2 2" xfId="34067" xr:uid="{00000000-0005-0000-0000-000046900000}"/>
    <cellStyle name="Percent 3 2 7 3 5 3" xfId="25037" xr:uid="{00000000-0005-0000-0000-000047900000}"/>
    <cellStyle name="Percent 3 2 7 3 6" xfId="9533" xr:uid="{00000000-0005-0000-0000-000048900000}"/>
    <cellStyle name="Percent 3 2 7 3 6 2" xfId="29585" xr:uid="{00000000-0005-0000-0000-000049900000}"/>
    <cellStyle name="Percent 3 2 7 3 7" xfId="20555" xr:uid="{00000000-0005-0000-0000-00004A900000}"/>
    <cellStyle name="Percent 3 2 7 4" xfId="689" xr:uid="{00000000-0005-0000-0000-00004B900000}"/>
    <cellStyle name="Percent 3 2 7 4 2" xfId="1436" xr:uid="{00000000-0005-0000-0000-00004C900000}"/>
    <cellStyle name="Percent 3 2 7 4 2 2" xfId="2930" xr:uid="{00000000-0005-0000-0000-00004D900000}"/>
    <cellStyle name="Percent 3 2 7 4 2 2 2" xfId="7412" xr:uid="{00000000-0005-0000-0000-00004E900000}"/>
    <cellStyle name="Percent 3 2 7 4 2 2 2 2" xfId="16442" xr:uid="{00000000-0005-0000-0000-00004F900000}"/>
    <cellStyle name="Percent 3 2 7 4 2 2 2 2 2" xfId="36494" xr:uid="{00000000-0005-0000-0000-000050900000}"/>
    <cellStyle name="Percent 3 2 7 4 2 2 2 3" xfId="27464" xr:uid="{00000000-0005-0000-0000-000051900000}"/>
    <cellStyle name="Percent 3 2 7 4 2 2 3" xfId="11960" xr:uid="{00000000-0005-0000-0000-000052900000}"/>
    <cellStyle name="Percent 3 2 7 4 2 2 3 2" xfId="32012" xr:uid="{00000000-0005-0000-0000-000053900000}"/>
    <cellStyle name="Percent 3 2 7 4 2 2 4" xfId="22982" xr:uid="{00000000-0005-0000-0000-000054900000}"/>
    <cellStyle name="Percent 3 2 7 4 2 3" xfId="4424" xr:uid="{00000000-0005-0000-0000-000055900000}"/>
    <cellStyle name="Percent 3 2 7 4 2 3 2" xfId="8906" xr:uid="{00000000-0005-0000-0000-000056900000}"/>
    <cellStyle name="Percent 3 2 7 4 2 3 2 2" xfId="17936" xr:uid="{00000000-0005-0000-0000-000057900000}"/>
    <cellStyle name="Percent 3 2 7 4 2 3 2 2 2" xfId="37988" xr:uid="{00000000-0005-0000-0000-000058900000}"/>
    <cellStyle name="Percent 3 2 7 4 2 3 2 3" xfId="28958" xr:uid="{00000000-0005-0000-0000-000059900000}"/>
    <cellStyle name="Percent 3 2 7 4 2 3 3" xfId="13454" xr:uid="{00000000-0005-0000-0000-00005A900000}"/>
    <cellStyle name="Percent 3 2 7 4 2 3 3 2" xfId="33506" xr:uid="{00000000-0005-0000-0000-00005B900000}"/>
    <cellStyle name="Percent 3 2 7 4 2 3 4" xfId="24476" xr:uid="{00000000-0005-0000-0000-00005C900000}"/>
    <cellStyle name="Percent 3 2 7 4 2 4" xfId="5918" xr:uid="{00000000-0005-0000-0000-00005D900000}"/>
    <cellStyle name="Percent 3 2 7 4 2 4 2" xfId="14948" xr:uid="{00000000-0005-0000-0000-00005E900000}"/>
    <cellStyle name="Percent 3 2 7 4 2 4 2 2" xfId="35000" xr:uid="{00000000-0005-0000-0000-00005F900000}"/>
    <cellStyle name="Percent 3 2 7 4 2 4 3" xfId="25970" xr:uid="{00000000-0005-0000-0000-000060900000}"/>
    <cellStyle name="Percent 3 2 7 4 2 5" xfId="10466" xr:uid="{00000000-0005-0000-0000-000061900000}"/>
    <cellStyle name="Percent 3 2 7 4 2 5 2" xfId="30518" xr:uid="{00000000-0005-0000-0000-000062900000}"/>
    <cellStyle name="Percent 3 2 7 4 2 6" xfId="21488" xr:uid="{00000000-0005-0000-0000-000063900000}"/>
    <cellStyle name="Percent 3 2 7 4 3" xfId="2183" xr:uid="{00000000-0005-0000-0000-000064900000}"/>
    <cellStyle name="Percent 3 2 7 4 3 2" xfId="6665" xr:uid="{00000000-0005-0000-0000-000065900000}"/>
    <cellStyle name="Percent 3 2 7 4 3 2 2" xfId="15695" xr:uid="{00000000-0005-0000-0000-000066900000}"/>
    <cellStyle name="Percent 3 2 7 4 3 2 2 2" xfId="35747" xr:uid="{00000000-0005-0000-0000-000067900000}"/>
    <cellStyle name="Percent 3 2 7 4 3 2 3" xfId="26717" xr:uid="{00000000-0005-0000-0000-000068900000}"/>
    <cellStyle name="Percent 3 2 7 4 3 3" xfId="11213" xr:uid="{00000000-0005-0000-0000-000069900000}"/>
    <cellStyle name="Percent 3 2 7 4 3 3 2" xfId="31265" xr:uid="{00000000-0005-0000-0000-00006A900000}"/>
    <cellStyle name="Percent 3 2 7 4 3 4" xfId="22235" xr:uid="{00000000-0005-0000-0000-00006B900000}"/>
    <cellStyle name="Percent 3 2 7 4 4" xfId="3677" xr:uid="{00000000-0005-0000-0000-00006C900000}"/>
    <cellStyle name="Percent 3 2 7 4 4 2" xfId="8159" xr:uid="{00000000-0005-0000-0000-00006D900000}"/>
    <cellStyle name="Percent 3 2 7 4 4 2 2" xfId="17189" xr:uid="{00000000-0005-0000-0000-00006E900000}"/>
    <cellStyle name="Percent 3 2 7 4 4 2 2 2" xfId="37241" xr:uid="{00000000-0005-0000-0000-00006F900000}"/>
    <cellStyle name="Percent 3 2 7 4 4 2 3" xfId="28211" xr:uid="{00000000-0005-0000-0000-000070900000}"/>
    <cellStyle name="Percent 3 2 7 4 4 3" xfId="12707" xr:uid="{00000000-0005-0000-0000-000071900000}"/>
    <cellStyle name="Percent 3 2 7 4 4 3 2" xfId="32759" xr:uid="{00000000-0005-0000-0000-000072900000}"/>
    <cellStyle name="Percent 3 2 7 4 4 4" xfId="23729" xr:uid="{00000000-0005-0000-0000-000073900000}"/>
    <cellStyle name="Percent 3 2 7 4 5" xfId="5171" xr:uid="{00000000-0005-0000-0000-000074900000}"/>
    <cellStyle name="Percent 3 2 7 4 5 2" xfId="14201" xr:uid="{00000000-0005-0000-0000-000075900000}"/>
    <cellStyle name="Percent 3 2 7 4 5 2 2" xfId="34253" xr:uid="{00000000-0005-0000-0000-000076900000}"/>
    <cellStyle name="Percent 3 2 7 4 5 3" xfId="25223" xr:uid="{00000000-0005-0000-0000-000077900000}"/>
    <cellStyle name="Percent 3 2 7 4 6" xfId="9719" xr:uid="{00000000-0005-0000-0000-000078900000}"/>
    <cellStyle name="Percent 3 2 7 4 6 2" xfId="29771" xr:uid="{00000000-0005-0000-0000-000079900000}"/>
    <cellStyle name="Percent 3 2 7 4 7" xfId="20741" xr:uid="{00000000-0005-0000-0000-00007A900000}"/>
    <cellStyle name="Percent 3 2 7 5" xfId="876" xr:uid="{00000000-0005-0000-0000-00007B900000}"/>
    <cellStyle name="Percent 3 2 7 5 2" xfId="2370" xr:uid="{00000000-0005-0000-0000-00007C900000}"/>
    <cellStyle name="Percent 3 2 7 5 2 2" xfId="6852" xr:uid="{00000000-0005-0000-0000-00007D900000}"/>
    <cellStyle name="Percent 3 2 7 5 2 2 2" xfId="15882" xr:uid="{00000000-0005-0000-0000-00007E900000}"/>
    <cellStyle name="Percent 3 2 7 5 2 2 2 2" xfId="35934" xr:uid="{00000000-0005-0000-0000-00007F900000}"/>
    <cellStyle name="Percent 3 2 7 5 2 2 3" xfId="26904" xr:uid="{00000000-0005-0000-0000-000080900000}"/>
    <cellStyle name="Percent 3 2 7 5 2 3" xfId="11400" xr:uid="{00000000-0005-0000-0000-000081900000}"/>
    <cellStyle name="Percent 3 2 7 5 2 3 2" xfId="31452" xr:uid="{00000000-0005-0000-0000-000082900000}"/>
    <cellStyle name="Percent 3 2 7 5 2 4" xfId="22422" xr:uid="{00000000-0005-0000-0000-000083900000}"/>
    <cellStyle name="Percent 3 2 7 5 3" xfId="3864" xr:uid="{00000000-0005-0000-0000-000084900000}"/>
    <cellStyle name="Percent 3 2 7 5 3 2" xfId="8346" xr:uid="{00000000-0005-0000-0000-000085900000}"/>
    <cellStyle name="Percent 3 2 7 5 3 2 2" xfId="17376" xr:uid="{00000000-0005-0000-0000-000086900000}"/>
    <cellStyle name="Percent 3 2 7 5 3 2 2 2" xfId="37428" xr:uid="{00000000-0005-0000-0000-000087900000}"/>
    <cellStyle name="Percent 3 2 7 5 3 2 3" xfId="28398" xr:uid="{00000000-0005-0000-0000-000088900000}"/>
    <cellStyle name="Percent 3 2 7 5 3 3" xfId="12894" xr:uid="{00000000-0005-0000-0000-000089900000}"/>
    <cellStyle name="Percent 3 2 7 5 3 3 2" xfId="32946" xr:uid="{00000000-0005-0000-0000-00008A900000}"/>
    <cellStyle name="Percent 3 2 7 5 3 4" xfId="23916" xr:uid="{00000000-0005-0000-0000-00008B900000}"/>
    <cellStyle name="Percent 3 2 7 5 4" xfId="5358" xr:uid="{00000000-0005-0000-0000-00008C900000}"/>
    <cellStyle name="Percent 3 2 7 5 4 2" xfId="14388" xr:uid="{00000000-0005-0000-0000-00008D900000}"/>
    <cellStyle name="Percent 3 2 7 5 4 2 2" xfId="34440" xr:uid="{00000000-0005-0000-0000-00008E900000}"/>
    <cellStyle name="Percent 3 2 7 5 4 3" xfId="25410" xr:uid="{00000000-0005-0000-0000-00008F900000}"/>
    <cellStyle name="Percent 3 2 7 5 5" xfId="9906" xr:uid="{00000000-0005-0000-0000-000090900000}"/>
    <cellStyle name="Percent 3 2 7 5 5 2" xfId="29958" xr:uid="{00000000-0005-0000-0000-000091900000}"/>
    <cellStyle name="Percent 3 2 7 5 6" xfId="20928" xr:uid="{00000000-0005-0000-0000-000092900000}"/>
    <cellStyle name="Percent 3 2 7 6" xfId="1625" xr:uid="{00000000-0005-0000-0000-000093900000}"/>
    <cellStyle name="Percent 3 2 7 6 2" xfId="6107" xr:uid="{00000000-0005-0000-0000-000094900000}"/>
    <cellStyle name="Percent 3 2 7 6 2 2" xfId="15137" xr:uid="{00000000-0005-0000-0000-000095900000}"/>
    <cellStyle name="Percent 3 2 7 6 2 2 2" xfId="35189" xr:uid="{00000000-0005-0000-0000-000096900000}"/>
    <cellStyle name="Percent 3 2 7 6 2 3" xfId="26159" xr:uid="{00000000-0005-0000-0000-000097900000}"/>
    <cellStyle name="Percent 3 2 7 6 3" xfId="10655" xr:uid="{00000000-0005-0000-0000-000098900000}"/>
    <cellStyle name="Percent 3 2 7 6 3 2" xfId="30707" xr:uid="{00000000-0005-0000-0000-000099900000}"/>
    <cellStyle name="Percent 3 2 7 6 4" xfId="21677" xr:uid="{00000000-0005-0000-0000-00009A900000}"/>
    <cellStyle name="Percent 3 2 7 7" xfId="3119" xr:uid="{00000000-0005-0000-0000-00009B900000}"/>
    <cellStyle name="Percent 3 2 7 7 2" xfId="7601" xr:uid="{00000000-0005-0000-0000-00009C900000}"/>
    <cellStyle name="Percent 3 2 7 7 2 2" xfId="16631" xr:uid="{00000000-0005-0000-0000-00009D900000}"/>
    <cellStyle name="Percent 3 2 7 7 2 2 2" xfId="36683" xr:uid="{00000000-0005-0000-0000-00009E900000}"/>
    <cellStyle name="Percent 3 2 7 7 2 3" xfId="27653" xr:uid="{00000000-0005-0000-0000-00009F900000}"/>
    <cellStyle name="Percent 3 2 7 7 3" xfId="12149" xr:uid="{00000000-0005-0000-0000-0000A0900000}"/>
    <cellStyle name="Percent 3 2 7 7 3 2" xfId="32201" xr:uid="{00000000-0005-0000-0000-0000A1900000}"/>
    <cellStyle name="Percent 3 2 7 7 4" xfId="23171" xr:uid="{00000000-0005-0000-0000-0000A2900000}"/>
    <cellStyle name="Percent 3 2 7 8" xfId="4613" xr:uid="{00000000-0005-0000-0000-0000A3900000}"/>
    <cellStyle name="Percent 3 2 7 8 2" xfId="13643" xr:uid="{00000000-0005-0000-0000-0000A4900000}"/>
    <cellStyle name="Percent 3 2 7 8 2 2" xfId="33695" xr:uid="{00000000-0005-0000-0000-0000A5900000}"/>
    <cellStyle name="Percent 3 2 7 8 3" xfId="24665" xr:uid="{00000000-0005-0000-0000-0000A6900000}"/>
    <cellStyle name="Percent 3 2 7 9" xfId="9161" xr:uid="{00000000-0005-0000-0000-0000A7900000}"/>
    <cellStyle name="Percent 3 2 7 9 2" xfId="29213" xr:uid="{00000000-0005-0000-0000-0000A8900000}"/>
    <cellStyle name="Percent 3 2 8" xfId="154" xr:uid="{00000000-0005-0000-0000-0000A9900000}"/>
    <cellStyle name="Percent 3 2 8 10" xfId="20206" xr:uid="{00000000-0005-0000-0000-0000AA900000}"/>
    <cellStyle name="Percent 3 2 8 2" xfId="340" xr:uid="{00000000-0005-0000-0000-0000AB900000}"/>
    <cellStyle name="Percent 3 2 8 2 2" xfId="1083" xr:uid="{00000000-0005-0000-0000-0000AC900000}"/>
    <cellStyle name="Percent 3 2 8 2 2 2" xfId="2577" xr:uid="{00000000-0005-0000-0000-0000AD900000}"/>
    <cellStyle name="Percent 3 2 8 2 2 2 2" xfId="7059" xr:uid="{00000000-0005-0000-0000-0000AE900000}"/>
    <cellStyle name="Percent 3 2 8 2 2 2 2 2" xfId="16089" xr:uid="{00000000-0005-0000-0000-0000AF900000}"/>
    <cellStyle name="Percent 3 2 8 2 2 2 2 2 2" xfId="36141" xr:uid="{00000000-0005-0000-0000-0000B0900000}"/>
    <cellStyle name="Percent 3 2 8 2 2 2 2 3" xfId="27111" xr:uid="{00000000-0005-0000-0000-0000B1900000}"/>
    <cellStyle name="Percent 3 2 8 2 2 2 3" xfId="11607" xr:uid="{00000000-0005-0000-0000-0000B2900000}"/>
    <cellStyle name="Percent 3 2 8 2 2 2 3 2" xfId="31659" xr:uid="{00000000-0005-0000-0000-0000B3900000}"/>
    <cellStyle name="Percent 3 2 8 2 2 2 4" xfId="22629" xr:uid="{00000000-0005-0000-0000-0000B4900000}"/>
    <cellStyle name="Percent 3 2 8 2 2 3" xfId="4071" xr:uid="{00000000-0005-0000-0000-0000B5900000}"/>
    <cellStyle name="Percent 3 2 8 2 2 3 2" xfId="8553" xr:uid="{00000000-0005-0000-0000-0000B6900000}"/>
    <cellStyle name="Percent 3 2 8 2 2 3 2 2" xfId="17583" xr:uid="{00000000-0005-0000-0000-0000B7900000}"/>
    <cellStyle name="Percent 3 2 8 2 2 3 2 2 2" xfId="37635" xr:uid="{00000000-0005-0000-0000-0000B8900000}"/>
    <cellStyle name="Percent 3 2 8 2 2 3 2 3" xfId="28605" xr:uid="{00000000-0005-0000-0000-0000B9900000}"/>
    <cellStyle name="Percent 3 2 8 2 2 3 3" xfId="13101" xr:uid="{00000000-0005-0000-0000-0000BA900000}"/>
    <cellStyle name="Percent 3 2 8 2 2 3 3 2" xfId="33153" xr:uid="{00000000-0005-0000-0000-0000BB900000}"/>
    <cellStyle name="Percent 3 2 8 2 2 3 4" xfId="24123" xr:uid="{00000000-0005-0000-0000-0000BC900000}"/>
    <cellStyle name="Percent 3 2 8 2 2 4" xfId="5565" xr:uid="{00000000-0005-0000-0000-0000BD900000}"/>
    <cellStyle name="Percent 3 2 8 2 2 4 2" xfId="14595" xr:uid="{00000000-0005-0000-0000-0000BE900000}"/>
    <cellStyle name="Percent 3 2 8 2 2 4 2 2" xfId="34647" xr:uid="{00000000-0005-0000-0000-0000BF900000}"/>
    <cellStyle name="Percent 3 2 8 2 2 4 3" xfId="25617" xr:uid="{00000000-0005-0000-0000-0000C0900000}"/>
    <cellStyle name="Percent 3 2 8 2 2 5" xfId="10113" xr:uid="{00000000-0005-0000-0000-0000C1900000}"/>
    <cellStyle name="Percent 3 2 8 2 2 5 2" xfId="30165" xr:uid="{00000000-0005-0000-0000-0000C2900000}"/>
    <cellStyle name="Percent 3 2 8 2 2 6" xfId="21135" xr:uid="{00000000-0005-0000-0000-0000C3900000}"/>
    <cellStyle name="Percent 3 2 8 2 3" xfId="1834" xr:uid="{00000000-0005-0000-0000-0000C4900000}"/>
    <cellStyle name="Percent 3 2 8 2 3 2" xfId="6316" xr:uid="{00000000-0005-0000-0000-0000C5900000}"/>
    <cellStyle name="Percent 3 2 8 2 3 2 2" xfId="15346" xr:uid="{00000000-0005-0000-0000-0000C6900000}"/>
    <cellStyle name="Percent 3 2 8 2 3 2 2 2" xfId="35398" xr:uid="{00000000-0005-0000-0000-0000C7900000}"/>
    <cellStyle name="Percent 3 2 8 2 3 2 3" xfId="26368" xr:uid="{00000000-0005-0000-0000-0000C8900000}"/>
    <cellStyle name="Percent 3 2 8 2 3 3" xfId="10864" xr:uid="{00000000-0005-0000-0000-0000C9900000}"/>
    <cellStyle name="Percent 3 2 8 2 3 3 2" xfId="30916" xr:uid="{00000000-0005-0000-0000-0000CA900000}"/>
    <cellStyle name="Percent 3 2 8 2 3 4" xfId="21886" xr:uid="{00000000-0005-0000-0000-0000CB900000}"/>
    <cellStyle name="Percent 3 2 8 2 4" xfId="3328" xr:uid="{00000000-0005-0000-0000-0000CC900000}"/>
    <cellStyle name="Percent 3 2 8 2 4 2" xfId="7810" xr:uid="{00000000-0005-0000-0000-0000CD900000}"/>
    <cellStyle name="Percent 3 2 8 2 4 2 2" xfId="16840" xr:uid="{00000000-0005-0000-0000-0000CE900000}"/>
    <cellStyle name="Percent 3 2 8 2 4 2 2 2" xfId="36892" xr:uid="{00000000-0005-0000-0000-0000CF900000}"/>
    <cellStyle name="Percent 3 2 8 2 4 2 3" xfId="27862" xr:uid="{00000000-0005-0000-0000-0000D0900000}"/>
    <cellStyle name="Percent 3 2 8 2 4 3" xfId="12358" xr:uid="{00000000-0005-0000-0000-0000D1900000}"/>
    <cellStyle name="Percent 3 2 8 2 4 3 2" xfId="32410" xr:uid="{00000000-0005-0000-0000-0000D2900000}"/>
    <cellStyle name="Percent 3 2 8 2 4 4" xfId="23380" xr:uid="{00000000-0005-0000-0000-0000D3900000}"/>
    <cellStyle name="Percent 3 2 8 2 5" xfId="4822" xr:uid="{00000000-0005-0000-0000-0000D4900000}"/>
    <cellStyle name="Percent 3 2 8 2 5 2" xfId="13852" xr:uid="{00000000-0005-0000-0000-0000D5900000}"/>
    <cellStyle name="Percent 3 2 8 2 5 2 2" xfId="33904" xr:uid="{00000000-0005-0000-0000-0000D6900000}"/>
    <cellStyle name="Percent 3 2 8 2 5 3" xfId="24874" xr:uid="{00000000-0005-0000-0000-0000D7900000}"/>
    <cellStyle name="Percent 3 2 8 2 6" xfId="9370" xr:uid="{00000000-0005-0000-0000-0000D8900000}"/>
    <cellStyle name="Percent 3 2 8 2 6 2" xfId="29422" xr:uid="{00000000-0005-0000-0000-0000D9900000}"/>
    <cellStyle name="Percent 3 2 8 2 7" xfId="20392" xr:uid="{00000000-0005-0000-0000-0000DA900000}"/>
    <cellStyle name="Percent 3 2 8 3" xfId="526" xr:uid="{00000000-0005-0000-0000-0000DB900000}"/>
    <cellStyle name="Percent 3 2 8 3 2" xfId="1273" xr:uid="{00000000-0005-0000-0000-0000DC900000}"/>
    <cellStyle name="Percent 3 2 8 3 2 2" xfId="2767" xr:uid="{00000000-0005-0000-0000-0000DD900000}"/>
    <cellStyle name="Percent 3 2 8 3 2 2 2" xfId="7249" xr:uid="{00000000-0005-0000-0000-0000DE900000}"/>
    <cellStyle name="Percent 3 2 8 3 2 2 2 2" xfId="16279" xr:uid="{00000000-0005-0000-0000-0000DF900000}"/>
    <cellStyle name="Percent 3 2 8 3 2 2 2 2 2" xfId="36331" xr:uid="{00000000-0005-0000-0000-0000E0900000}"/>
    <cellStyle name="Percent 3 2 8 3 2 2 2 3" xfId="27301" xr:uid="{00000000-0005-0000-0000-0000E1900000}"/>
    <cellStyle name="Percent 3 2 8 3 2 2 3" xfId="11797" xr:uid="{00000000-0005-0000-0000-0000E2900000}"/>
    <cellStyle name="Percent 3 2 8 3 2 2 3 2" xfId="31849" xr:uid="{00000000-0005-0000-0000-0000E3900000}"/>
    <cellStyle name="Percent 3 2 8 3 2 2 4" xfId="22819" xr:uid="{00000000-0005-0000-0000-0000E4900000}"/>
    <cellStyle name="Percent 3 2 8 3 2 3" xfId="4261" xr:uid="{00000000-0005-0000-0000-0000E5900000}"/>
    <cellStyle name="Percent 3 2 8 3 2 3 2" xfId="8743" xr:uid="{00000000-0005-0000-0000-0000E6900000}"/>
    <cellStyle name="Percent 3 2 8 3 2 3 2 2" xfId="17773" xr:uid="{00000000-0005-0000-0000-0000E7900000}"/>
    <cellStyle name="Percent 3 2 8 3 2 3 2 2 2" xfId="37825" xr:uid="{00000000-0005-0000-0000-0000E8900000}"/>
    <cellStyle name="Percent 3 2 8 3 2 3 2 3" xfId="28795" xr:uid="{00000000-0005-0000-0000-0000E9900000}"/>
    <cellStyle name="Percent 3 2 8 3 2 3 3" xfId="13291" xr:uid="{00000000-0005-0000-0000-0000EA900000}"/>
    <cellStyle name="Percent 3 2 8 3 2 3 3 2" xfId="33343" xr:uid="{00000000-0005-0000-0000-0000EB900000}"/>
    <cellStyle name="Percent 3 2 8 3 2 3 4" xfId="24313" xr:uid="{00000000-0005-0000-0000-0000EC900000}"/>
    <cellStyle name="Percent 3 2 8 3 2 4" xfId="5755" xr:uid="{00000000-0005-0000-0000-0000ED900000}"/>
    <cellStyle name="Percent 3 2 8 3 2 4 2" xfId="14785" xr:uid="{00000000-0005-0000-0000-0000EE900000}"/>
    <cellStyle name="Percent 3 2 8 3 2 4 2 2" xfId="34837" xr:uid="{00000000-0005-0000-0000-0000EF900000}"/>
    <cellStyle name="Percent 3 2 8 3 2 4 3" xfId="25807" xr:uid="{00000000-0005-0000-0000-0000F0900000}"/>
    <cellStyle name="Percent 3 2 8 3 2 5" xfId="10303" xr:uid="{00000000-0005-0000-0000-0000F1900000}"/>
    <cellStyle name="Percent 3 2 8 3 2 5 2" xfId="30355" xr:uid="{00000000-0005-0000-0000-0000F2900000}"/>
    <cellStyle name="Percent 3 2 8 3 2 6" xfId="21325" xr:uid="{00000000-0005-0000-0000-0000F3900000}"/>
    <cellStyle name="Percent 3 2 8 3 3" xfId="2020" xr:uid="{00000000-0005-0000-0000-0000F4900000}"/>
    <cellStyle name="Percent 3 2 8 3 3 2" xfId="6502" xr:uid="{00000000-0005-0000-0000-0000F5900000}"/>
    <cellStyle name="Percent 3 2 8 3 3 2 2" xfId="15532" xr:uid="{00000000-0005-0000-0000-0000F6900000}"/>
    <cellStyle name="Percent 3 2 8 3 3 2 2 2" xfId="35584" xr:uid="{00000000-0005-0000-0000-0000F7900000}"/>
    <cellStyle name="Percent 3 2 8 3 3 2 3" xfId="26554" xr:uid="{00000000-0005-0000-0000-0000F8900000}"/>
    <cellStyle name="Percent 3 2 8 3 3 3" xfId="11050" xr:uid="{00000000-0005-0000-0000-0000F9900000}"/>
    <cellStyle name="Percent 3 2 8 3 3 3 2" xfId="31102" xr:uid="{00000000-0005-0000-0000-0000FA900000}"/>
    <cellStyle name="Percent 3 2 8 3 3 4" xfId="22072" xr:uid="{00000000-0005-0000-0000-0000FB900000}"/>
    <cellStyle name="Percent 3 2 8 3 4" xfId="3514" xr:uid="{00000000-0005-0000-0000-0000FC900000}"/>
    <cellStyle name="Percent 3 2 8 3 4 2" xfId="7996" xr:uid="{00000000-0005-0000-0000-0000FD900000}"/>
    <cellStyle name="Percent 3 2 8 3 4 2 2" xfId="17026" xr:uid="{00000000-0005-0000-0000-0000FE900000}"/>
    <cellStyle name="Percent 3 2 8 3 4 2 2 2" xfId="37078" xr:uid="{00000000-0005-0000-0000-0000FF900000}"/>
    <cellStyle name="Percent 3 2 8 3 4 2 3" xfId="28048" xr:uid="{00000000-0005-0000-0000-000000910000}"/>
    <cellStyle name="Percent 3 2 8 3 4 3" xfId="12544" xr:uid="{00000000-0005-0000-0000-000001910000}"/>
    <cellStyle name="Percent 3 2 8 3 4 3 2" xfId="32596" xr:uid="{00000000-0005-0000-0000-000002910000}"/>
    <cellStyle name="Percent 3 2 8 3 4 4" xfId="23566" xr:uid="{00000000-0005-0000-0000-000003910000}"/>
    <cellStyle name="Percent 3 2 8 3 5" xfId="5008" xr:uid="{00000000-0005-0000-0000-000004910000}"/>
    <cellStyle name="Percent 3 2 8 3 5 2" xfId="14038" xr:uid="{00000000-0005-0000-0000-000005910000}"/>
    <cellStyle name="Percent 3 2 8 3 5 2 2" xfId="34090" xr:uid="{00000000-0005-0000-0000-000006910000}"/>
    <cellStyle name="Percent 3 2 8 3 5 3" xfId="25060" xr:uid="{00000000-0005-0000-0000-000007910000}"/>
    <cellStyle name="Percent 3 2 8 3 6" xfId="9556" xr:uid="{00000000-0005-0000-0000-000008910000}"/>
    <cellStyle name="Percent 3 2 8 3 6 2" xfId="29608" xr:uid="{00000000-0005-0000-0000-000009910000}"/>
    <cellStyle name="Percent 3 2 8 3 7" xfId="20578" xr:uid="{00000000-0005-0000-0000-00000A910000}"/>
    <cellStyle name="Percent 3 2 8 4" xfId="712" xr:uid="{00000000-0005-0000-0000-00000B910000}"/>
    <cellStyle name="Percent 3 2 8 4 2" xfId="1459" xr:uid="{00000000-0005-0000-0000-00000C910000}"/>
    <cellStyle name="Percent 3 2 8 4 2 2" xfId="2953" xr:uid="{00000000-0005-0000-0000-00000D910000}"/>
    <cellStyle name="Percent 3 2 8 4 2 2 2" xfId="7435" xr:uid="{00000000-0005-0000-0000-00000E910000}"/>
    <cellStyle name="Percent 3 2 8 4 2 2 2 2" xfId="16465" xr:uid="{00000000-0005-0000-0000-00000F910000}"/>
    <cellStyle name="Percent 3 2 8 4 2 2 2 2 2" xfId="36517" xr:uid="{00000000-0005-0000-0000-000010910000}"/>
    <cellStyle name="Percent 3 2 8 4 2 2 2 3" xfId="27487" xr:uid="{00000000-0005-0000-0000-000011910000}"/>
    <cellStyle name="Percent 3 2 8 4 2 2 3" xfId="11983" xr:uid="{00000000-0005-0000-0000-000012910000}"/>
    <cellStyle name="Percent 3 2 8 4 2 2 3 2" xfId="32035" xr:uid="{00000000-0005-0000-0000-000013910000}"/>
    <cellStyle name="Percent 3 2 8 4 2 2 4" xfId="23005" xr:uid="{00000000-0005-0000-0000-000014910000}"/>
    <cellStyle name="Percent 3 2 8 4 2 3" xfId="4447" xr:uid="{00000000-0005-0000-0000-000015910000}"/>
    <cellStyle name="Percent 3 2 8 4 2 3 2" xfId="8929" xr:uid="{00000000-0005-0000-0000-000016910000}"/>
    <cellStyle name="Percent 3 2 8 4 2 3 2 2" xfId="17959" xr:uid="{00000000-0005-0000-0000-000017910000}"/>
    <cellStyle name="Percent 3 2 8 4 2 3 2 2 2" xfId="38011" xr:uid="{00000000-0005-0000-0000-000018910000}"/>
    <cellStyle name="Percent 3 2 8 4 2 3 2 3" xfId="28981" xr:uid="{00000000-0005-0000-0000-000019910000}"/>
    <cellStyle name="Percent 3 2 8 4 2 3 3" xfId="13477" xr:uid="{00000000-0005-0000-0000-00001A910000}"/>
    <cellStyle name="Percent 3 2 8 4 2 3 3 2" xfId="33529" xr:uid="{00000000-0005-0000-0000-00001B910000}"/>
    <cellStyle name="Percent 3 2 8 4 2 3 4" xfId="24499" xr:uid="{00000000-0005-0000-0000-00001C910000}"/>
    <cellStyle name="Percent 3 2 8 4 2 4" xfId="5941" xr:uid="{00000000-0005-0000-0000-00001D910000}"/>
    <cellStyle name="Percent 3 2 8 4 2 4 2" xfId="14971" xr:uid="{00000000-0005-0000-0000-00001E910000}"/>
    <cellStyle name="Percent 3 2 8 4 2 4 2 2" xfId="35023" xr:uid="{00000000-0005-0000-0000-00001F910000}"/>
    <cellStyle name="Percent 3 2 8 4 2 4 3" xfId="25993" xr:uid="{00000000-0005-0000-0000-000020910000}"/>
    <cellStyle name="Percent 3 2 8 4 2 5" xfId="10489" xr:uid="{00000000-0005-0000-0000-000021910000}"/>
    <cellStyle name="Percent 3 2 8 4 2 5 2" xfId="30541" xr:uid="{00000000-0005-0000-0000-000022910000}"/>
    <cellStyle name="Percent 3 2 8 4 2 6" xfId="21511" xr:uid="{00000000-0005-0000-0000-000023910000}"/>
    <cellStyle name="Percent 3 2 8 4 3" xfId="2206" xr:uid="{00000000-0005-0000-0000-000024910000}"/>
    <cellStyle name="Percent 3 2 8 4 3 2" xfId="6688" xr:uid="{00000000-0005-0000-0000-000025910000}"/>
    <cellStyle name="Percent 3 2 8 4 3 2 2" xfId="15718" xr:uid="{00000000-0005-0000-0000-000026910000}"/>
    <cellStyle name="Percent 3 2 8 4 3 2 2 2" xfId="35770" xr:uid="{00000000-0005-0000-0000-000027910000}"/>
    <cellStyle name="Percent 3 2 8 4 3 2 3" xfId="26740" xr:uid="{00000000-0005-0000-0000-000028910000}"/>
    <cellStyle name="Percent 3 2 8 4 3 3" xfId="11236" xr:uid="{00000000-0005-0000-0000-000029910000}"/>
    <cellStyle name="Percent 3 2 8 4 3 3 2" xfId="31288" xr:uid="{00000000-0005-0000-0000-00002A910000}"/>
    <cellStyle name="Percent 3 2 8 4 3 4" xfId="22258" xr:uid="{00000000-0005-0000-0000-00002B910000}"/>
    <cellStyle name="Percent 3 2 8 4 4" xfId="3700" xr:uid="{00000000-0005-0000-0000-00002C910000}"/>
    <cellStyle name="Percent 3 2 8 4 4 2" xfId="8182" xr:uid="{00000000-0005-0000-0000-00002D910000}"/>
    <cellStyle name="Percent 3 2 8 4 4 2 2" xfId="17212" xr:uid="{00000000-0005-0000-0000-00002E910000}"/>
    <cellStyle name="Percent 3 2 8 4 4 2 2 2" xfId="37264" xr:uid="{00000000-0005-0000-0000-00002F910000}"/>
    <cellStyle name="Percent 3 2 8 4 4 2 3" xfId="28234" xr:uid="{00000000-0005-0000-0000-000030910000}"/>
    <cellStyle name="Percent 3 2 8 4 4 3" xfId="12730" xr:uid="{00000000-0005-0000-0000-000031910000}"/>
    <cellStyle name="Percent 3 2 8 4 4 3 2" xfId="32782" xr:uid="{00000000-0005-0000-0000-000032910000}"/>
    <cellStyle name="Percent 3 2 8 4 4 4" xfId="23752" xr:uid="{00000000-0005-0000-0000-000033910000}"/>
    <cellStyle name="Percent 3 2 8 4 5" xfId="5194" xr:uid="{00000000-0005-0000-0000-000034910000}"/>
    <cellStyle name="Percent 3 2 8 4 5 2" xfId="14224" xr:uid="{00000000-0005-0000-0000-000035910000}"/>
    <cellStyle name="Percent 3 2 8 4 5 2 2" xfId="34276" xr:uid="{00000000-0005-0000-0000-000036910000}"/>
    <cellStyle name="Percent 3 2 8 4 5 3" xfId="25246" xr:uid="{00000000-0005-0000-0000-000037910000}"/>
    <cellStyle name="Percent 3 2 8 4 6" xfId="9742" xr:uid="{00000000-0005-0000-0000-000038910000}"/>
    <cellStyle name="Percent 3 2 8 4 6 2" xfId="29794" xr:uid="{00000000-0005-0000-0000-000039910000}"/>
    <cellStyle name="Percent 3 2 8 4 7" xfId="20764" xr:uid="{00000000-0005-0000-0000-00003A910000}"/>
    <cellStyle name="Percent 3 2 8 5" xfId="899" xr:uid="{00000000-0005-0000-0000-00003B910000}"/>
    <cellStyle name="Percent 3 2 8 5 2" xfId="2393" xr:uid="{00000000-0005-0000-0000-00003C910000}"/>
    <cellStyle name="Percent 3 2 8 5 2 2" xfId="6875" xr:uid="{00000000-0005-0000-0000-00003D910000}"/>
    <cellStyle name="Percent 3 2 8 5 2 2 2" xfId="15905" xr:uid="{00000000-0005-0000-0000-00003E910000}"/>
    <cellStyle name="Percent 3 2 8 5 2 2 2 2" xfId="35957" xr:uid="{00000000-0005-0000-0000-00003F910000}"/>
    <cellStyle name="Percent 3 2 8 5 2 2 3" xfId="26927" xr:uid="{00000000-0005-0000-0000-000040910000}"/>
    <cellStyle name="Percent 3 2 8 5 2 3" xfId="11423" xr:uid="{00000000-0005-0000-0000-000041910000}"/>
    <cellStyle name="Percent 3 2 8 5 2 3 2" xfId="31475" xr:uid="{00000000-0005-0000-0000-000042910000}"/>
    <cellStyle name="Percent 3 2 8 5 2 4" xfId="22445" xr:uid="{00000000-0005-0000-0000-000043910000}"/>
    <cellStyle name="Percent 3 2 8 5 3" xfId="3887" xr:uid="{00000000-0005-0000-0000-000044910000}"/>
    <cellStyle name="Percent 3 2 8 5 3 2" xfId="8369" xr:uid="{00000000-0005-0000-0000-000045910000}"/>
    <cellStyle name="Percent 3 2 8 5 3 2 2" xfId="17399" xr:uid="{00000000-0005-0000-0000-000046910000}"/>
    <cellStyle name="Percent 3 2 8 5 3 2 2 2" xfId="37451" xr:uid="{00000000-0005-0000-0000-000047910000}"/>
    <cellStyle name="Percent 3 2 8 5 3 2 3" xfId="28421" xr:uid="{00000000-0005-0000-0000-000048910000}"/>
    <cellStyle name="Percent 3 2 8 5 3 3" xfId="12917" xr:uid="{00000000-0005-0000-0000-000049910000}"/>
    <cellStyle name="Percent 3 2 8 5 3 3 2" xfId="32969" xr:uid="{00000000-0005-0000-0000-00004A910000}"/>
    <cellStyle name="Percent 3 2 8 5 3 4" xfId="23939" xr:uid="{00000000-0005-0000-0000-00004B910000}"/>
    <cellStyle name="Percent 3 2 8 5 4" xfId="5381" xr:uid="{00000000-0005-0000-0000-00004C910000}"/>
    <cellStyle name="Percent 3 2 8 5 4 2" xfId="14411" xr:uid="{00000000-0005-0000-0000-00004D910000}"/>
    <cellStyle name="Percent 3 2 8 5 4 2 2" xfId="34463" xr:uid="{00000000-0005-0000-0000-00004E910000}"/>
    <cellStyle name="Percent 3 2 8 5 4 3" xfId="25433" xr:uid="{00000000-0005-0000-0000-00004F910000}"/>
    <cellStyle name="Percent 3 2 8 5 5" xfId="9929" xr:uid="{00000000-0005-0000-0000-000050910000}"/>
    <cellStyle name="Percent 3 2 8 5 5 2" xfId="29981" xr:uid="{00000000-0005-0000-0000-000051910000}"/>
    <cellStyle name="Percent 3 2 8 5 6" xfId="20951" xr:uid="{00000000-0005-0000-0000-000052910000}"/>
    <cellStyle name="Percent 3 2 8 6" xfId="1648" xr:uid="{00000000-0005-0000-0000-000053910000}"/>
    <cellStyle name="Percent 3 2 8 6 2" xfId="6130" xr:uid="{00000000-0005-0000-0000-000054910000}"/>
    <cellStyle name="Percent 3 2 8 6 2 2" xfId="15160" xr:uid="{00000000-0005-0000-0000-000055910000}"/>
    <cellStyle name="Percent 3 2 8 6 2 2 2" xfId="35212" xr:uid="{00000000-0005-0000-0000-000056910000}"/>
    <cellStyle name="Percent 3 2 8 6 2 3" xfId="26182" xr:uid="{00000000-0005-0000-0000-000057910000}"/>
    <cellStyle name="Percent 3 2 8 6 3" xfId="10678" xr:uid="{00000000-0005-0000-0000-000058910000}"/>
    <cellStyle name="Percent 3 2 8 6 3 2" xfId="30730" xr:uid="{00000000-0005-0000-0000-000059910000}"/>
    <cellStyle name="Percent 3 2 8 6 4" xfId="21700" xr:uid="{00000000-0005-0000-0000-00005A910000}"/>
    <cellStyle name="Percent 3 2 8 7" xfId="3142" xr:uid="{00000000-0005-0000-0000-00005B910000}"/>
    <cellStyle name="Percent 3 2 8 7 2" xfId="7624" xr:uid="{00000000-0005-0000-0000-00005C910000}"/>
    <cellStyle name="Percent 3 2 8 7 2 2" xfId="16654" xr:uid="{00000000-0005-0000-0000-00005D910000}"/>
    <cellStyle name="Percent 3 2 8 7 2 2 2" xfId="36706" xr:uid="{00000000-0005-0000-0000-00005E910000}"/>
    <cellStyle name="Percent 3 2 8 7 2 3" xfId="27676" xr:uid="{00000000-0005-0000-0000-00005F910000}"/>
    <cellStyle name="Percent 3 2 8 7 3" xfId="12172" xr:uid="{00000000-0005-0000-0000-000060910000}"/>
    <cellStyle name="Percent 3 2 8 7 3 2" xfId="32224" xr:uid="{00000000-0005-0000-0000-000061910000}"/>
    <cellStyle name="Percent 3 2 8 7 4" xfId="23194" xr:uid="{00000000-0005-0000-0000-000062910000}"/>
    <cellStyle name="Percent 3 2 8 8" xfId="4636" xr:uid="{00000000-0005-0000-0000-000063910000}"/>
    <cellStyle name="Percent 3 2 8 8 2" xfId="13666" xr:uid="{00000000-0005-0000-0000-000064910000}"/>
    <cellStyle name="Percent 3 2 8 8 2 2" xfId="33718" xr:uid="{00000000-0005-0000-0000-000065910000}"/>
    <cellStyle name="Percent 3 2 8 8 3" xfId="24688" xr:uid="{00000000-0005-0000-0000-000066910000}"/>
    <cellStyle name="Percent 3 2 8 9" xfId="9184" xr:uid="{00000000-0005-0000-0000-000067910000}"/>
    <cellStyle name="Percent 3 2 8 9 2" xfId="29236" xr:uid="{00000000-0005-0000-0000-000068910000}"/>
    <cellStyle name="Percent 3 2 9" xfId="177" xr:uid="{00000000-0005-0000-0000-000069910000}"/>
    <cellStyle name="Percent 3 2 9 10" xfId="20229" xr:uid="{00000000-0005-0000-0000-00006A910000}"/>
    <cellStyle name="Percent 3 2 9 2" xfId="363" xr:uid="{00000000-0005-0000-0000-00006B910000}"/>
    <cellStyle name="Percent 3 2 9 2 2" xfId="1106" xr:uid="{00000000-0005-0000-0000-00006C910000}"/>
    <cellStyle name="Percent 3 2 9 2 2 2" xfId="2600" xr:uid="{00000000-0005-0000-0000-00006D910000}"/>
    <cellStyle name="Percent 3 2 9 2 2 2 2" xfId="7082" xr:uid="{00000000-0005-0000-0000-00006E910000}"/>
    <cellStyle name="Percent 3 2 9 2 2 2 2 2" xfId="16112" xr:uid="{00000000-0005-0000-0000-00006F910000}"/>
    <cellStyle name="Percent 3 2 9 2 2 2 2 2 2" xfId="36164" xr:uid="{00000000-0005-0000-0000-000070910000}"/>
    <cellStyle name="Percent 3 2 9 2 2 2 2 3" xfId="27134" xr:uid="{00000000-0005-0000-0000-000071910000}"/>
    <cellStyle name="Percent 3 2 9 2 2 2 3" xfId="11630" xr:uid="{00000000-0005-0000-0000-000072910000}"/>
    <cellStyle name="Percent 3 2 9 2 2 2 3 2" xfId="31682" xr:uid="{00000000-0005-0000-0000-000073910000}"/>
    <cellStyle name="Percent 3 2 9 2 2 2 4" xfId="22652" xr:uid="{00000000-0005-0000-0000-000074910000}"/>
    <cellStyle name="Percent 3 2 9 2 2 3" xfId="4094" xr:uid="{00000000-0005-0000-0000-000075910000}"/>
    <cellStyle name="Percent 3 2 9 2 2 3 2" xfId="8576" xr:uid="{00000000-0005-0000-0000-000076910000}"/>
    <cellStyle name="Percent 3 2 9 2 2 3 2 2" xfId="17606" xr:uid="{00000000-0005-0000-0000-000077910000}"/>
    <cellStyle name="Percent 3 2 9 2 2 3 2 2 2" xfId="37658" xr:uid="{00000000-0005-0000-0000-000078910000}"/>
    <cellStyle name="Percent 3 2 9 2 2 3 2 3" xfId="28628" xr:uid="{00000000-0005-0000-0000-000079910000}"/>
    <cellStyle name="Percent 3 2 9 2 2 3 3" xfId="13124" xr:uid="{00000000-0005-0000-0000-00007A910000}"/>
    <cellStyle name="Percent 3 2 9 2 2 3 3 2" xfId="33176" xr:uid="{00000000-0005-0000-0000-00007B910000}"/>
    <cellStyle name="Percent 3 2 9 2 2 3 4" xfId="24146" xr:uid="{00000000-0005-0000-0000-00007C910000}"/>
    <cellStyle name="Percent 3 2 9 2 2 4" xfId="5588" xr:uid="{00000000-0005-0000-0000-00007D910000}"/>
    <cellStyle name="Percent 3 2 9 2 2 4 2" xfId="14618" xr:uid="{00000000-0005-0000-0000-00007E910000}"/>
    <cellStyle name="Percent 3 2 9 2 2 4 2 2" xfId="34670" xr:uid="{00000000-0005-0000-0000-00007F910000}"/>
    <cellStyle name="Percent 3 2 9 2 2 4 3" xfId="25640" xr:uid="{00000000-0005-0000-0000-000080910000}"/>
    <cellStyle name="Percent 3 2 9 2 2 5" xfId="10136" xr:uid="{00000000-0005-0000-0000-000081910000}"/>
    <cellStyle name="Percent 3 2 9 2 2 5 2" xfId="30188" xr:uid="{00000000-0005-0000-0000-000082910000}"/>
    <cellStyle name="Percent 3 2 9 2 2 6" xfId="21158" xr:uid="{00000000-0005-0000-0000-000083910000}"/>
    <cellStyle name="Percent 3 2 9 2 3" xfId="1857" xr:uid="{00000000-0005-0000-0000-000084910000}"/>
    <cellStyle name="Percent 3 2 9 2 3 2" xfId="6339" xr:uid="{00000000-0005-0000-0000-000085910000}"/>
    <cellStyle name="Percent 3 2 9 2 3 2 2" xfId="15369" xr:uid="{00000000-0005-0000-0000-000086910000}"/>
    <cellStyle name="Percent 3 2 9 2 3 2 2 2" xfId="35421" xr:uid="{00000000-0005-0000-0000-000087910000}"/>
    <cellStyle name="Percent 3 2 9 2 3 2 3" xfId="26391" xr:uid="{00000000-0005-0000-0000-000088910000}"/>
    <cellStyle name="Percent 3 2 9 2 3 3" xfId="10887" xr:uid="{00000000-0005-0000-0000-000089910000}"/>
    <cellStyle name="Percent 3 2 9 2 3 3 2" xfId="30939" xr:uid="{00000000-0005-0000-0000-00008A910000}"/>
    <cellStyle name="Percent 3 2 9 2 3 4" xfId="21909" xr:uid="{00000000-0005-0000-0000-00008B910000}"/>
    <cellStyle name="Percent 3 2 9 2 4" xfId="3351" xr:uid="{00000000-0005-0000-0000-00008C910000}"/>
    <cellStyle name="Percent 3 2 9 2 4 2" xfId="7833" xr:uid="{00000000-0005-0000-0000-00008D910000}"/>
    <cellStyle name="Percent 3 2 9 2 4 2 2" xfId="16863" xr:uid="{00000000-0005-0000-0000-00008E910000}"/>
    <cellStyle name="Percent 3 2 9 2 4 2 2 2" xfId="36915" xr:uid="{00000000-0005-0000-0000-00008F910000}"/>
    <cellStyle name="Percent 3 2 9 2 4 2 3" xfId="27885" xr:uid="{00000000-0005-0000-0000-000090910000}"/>
    <cellStyle name="Percent 3 2 9 2 4 3" xfId="12381" xr:uid="{00000000-0005-0000-0000-000091910000}"/>
    <cellStyle name="Percent 3 2 9 2 4 3 2" xfId="32433" xr:uid="{00000000-0005-0000-0000-000092910000}"/>
    <cellStyle name="Percent 3 2 9 2 4 4" xfId="23403" xr:uid="{00000000-0005-0000-0000-000093910000}"/>
    <cellStyle name="Percent 3 2 9 2 5" xfId="4845" xr:uid="{00000000-0005-0000-0000-000094910000}"/>
    <cellStyle name="Percent 3 2 9 2 5 2" xfId="13875" xr:uid="{00000000-0005-0000-0000-000095910000}"/>
    <cellStyle name="Percent 3 2 9 2 5 2 2" xfId="33927" xr:uid="{00000000-0005-0000-0000-000096910000}"/>
    <cellStyle name="Percent 3 2 9 2 5 3" xfId="24897" xr:uid="{00000000-0005-0000-0000-000097910000}"/>
    <cellStyle name="Percent 3 2 9 2 6" xfId="9393" xr:uid="{00000000-0005-0000-0000-000098910000}"/>
    <cellStyle name="Percent 3 2 9 2 6 2" xfId="29445" xr:uid="{00000000-0005-0000-0000-000099910000}"/>
    <cellStyle name="Percent 3 2 9 2 7" xfId="20415" xr:uid="{00000000-0005-0000-0000-00009A910000}"/>
    <cellStyle name="Percent 3 2 9 3" xfId="549" xr:uid="{00000000-0005-0000-0000-00009B910000}"/>
    <cellStyle name="Percent 3 2 9 3 2" xfId="1296" xr:uid="{00000000-0005-0000-0000-00009C910000}"/>
    <cellStyle name="Percent 3 2 9 3 2 2" xfId="2790" xr:uid="{00000000-0005-0000-0000-00009D910000}"/>
    <cellStyle name="Percent 3 2 9 3 2 2 2" xfId="7272" xr:uid="{00000000-0005-0000-0000-00009E910000}"/>
    <cellStyle name="Percent 3 2 9 3 2 2 2 2" xfId="16302" xr:uid="{00000000-0005-0000-0000-00009F910000}"/>
    <cellStyle name="Percent 3 2 9 3 2 2 2 2 2" xfId="36354" xr:uid="{00000000-0005-0000-0000-0000A0910000}"/>
    <cellStyle name="Percent 3 2 9 3 2 2 2 3" xfId="27324" xr:uid="{00000000-0005-0000-0000-0000A1910000}"/>
    <cellStyle name="Percent 3 2 9 3 2 2 3" xfId="11820" xr:uid="{00000000-0005-0000-0000-0000A2910000}"/>
    <cellStyle name="Percent 3 2 9 3 2 2 3 2" xfId="31872" xr:uid="{00000000-0005-0000-0000-0000A3910000}"/>
    <cellStyle name="Percent 3 2 9 3 2 2 4" xfId="22842" xr:uid="{00000000-0005-0000-0000-0000A4910000}"/>
    <cellStyle name="Percent 3 2 9 3 2 3" xfId="4284" xr:uid="{00000000-0005-0000-0000-0000A5910000}"/>
    <cellStyle name="Percent 3 2 9 3 2 3 2" xfId="8766" xr:uid="{00000000-0005-0000-0000-0000A6910000}"/>
    <cellStyle name="Percent 3 2 9 3 2 3 2 2" xfId="17796" xr:uid="{00000000-0005-0000-0000-0000A7910000}"/>
    <cellStyle name="Percent 3 2 9 3 2 3 2 2 2" xfId="37848" xr:uid="{00000000-0005-0000-0000-0000A8910000}"/>
    <cellStyle name="Percent 3 2 9 3 2 3 2 3" xfId="28818" xr:uid="{00000000-0005-0000-0000-0000A9910000}"/>
    <cellStyle name="Percent 3 2 9 3 2 3 3" xfId="13314" xr:uid="{00000000-0005-0000-0000-0000AA910000}"/>
    <cellStyle name="Percent 3 2 9 3 2 3 3 2" xfId="33366" xr:uid="{00000000-0005-0000-0000-0000AB910000}"/>
    <cellStyle name="Percent 3 2 9 3 2 3 4" xfId="24336" xr:uid="{00000000-0005-0000-0000-0000AC910000}"/>
    <cellStyle name="Percent 3 2 9 3 2 4" xfId="5778" xr:uid="{00000000-0005-0000-0000-0000AD910000}"/>
    <cellStyle name="Percent 3 2 9 3 2 4 2" xfId="14808" xr:uid="{00000000-0005-0000-0000-0000AE910000}"/>
    <cellStyle name="Percent 3 2 9 3 2 4 2 2" xfId="34860" xr:uid="{00000000-0005-0000-0000-0000AF910000}"/>
    <cellStyle name="Percent 3 2 9 3 2 4 3" xfId="25830" xr:uid="{00000000-0005-0000-0000-0000B0910000}"/>
    <cellStyle name="Percent 3 2 9 3 2 5" xfId="10326" xr:uid="{00000000-0005-0000-0000-0000B1910000}"/>
    <cellStyle name="Percent 3 2 9 3 2 5 2" xfId="30378" xr:uid="{00000000-0005-0000-0000-0000B2910000}"/>
    <cellStyle name="Percent 3 2 9 3 2 6" xfId="21348" xr:uid="{00000000-0005-0000-0000-0000B3910000}"/>
    <cellStyle name="Percent 3 2 9 3 3" xfId="2043" xr:uid="{00000000-0005-0000-0000-0000B4910000}"/>
    <cellStyle name="Percent 3 2 9 3 3 2" xfId="6525" xr:uid="{00000000-0005-0000-0000-0000B5910000}"/>
    <cellStyle name="Percent 3 2 9 3 3 2 2" xfId="15555" xr:uid="{00000000-0005-0000-0000-0000B6910000}"/>
    <cellStyle name="Percent 3 2 9 3 3 2 2 2" xfId="35607" xr:uid="{00000000-0005-0000-0000-0000B7910000}"/>
    <cellStyle name="Percent 3 2 9 3 3 2 3" xfId="26577" xr:uid="{00000000-0005-0000-0000-0000B8910000}"/>
    <cellStyle name="Percent 3 2 9 3 3 3" xfId="11073" xr:uid="{00000000-0005-0000-0000-0000B9910000}"/>
    <cellStyle name="Percent 3 2 9 3 3 3 2" xfId="31125" xr:uid="{00000000-0005-0000-0000-0000BA910000}"/>
    <cellStyle name="Percent 3 2 9 3 3 4" xfId="22095" xr:uid="{00000000-0005-0000-0000-0000BB910000}"/>
    <cellStyle name="Percent 3 2 9 3 4" xfId="3537" xr:uid="{00000000-0005-0000-0000-0000BC910000}"/>
    <cellStyle name="Percent 3 2 9 3 4 2" xfId="8019" xr:uid="{00000000-0005-0000-0000-0000BD910000}"/>
    <cellStyle name="Percent 3 2 9 3 4 2 2" xfId="17049" xr:uid="{00000000-0005-0000-0000-0000BE910000}"/>
    <cellStyle name="Percent 3 2 9 3 4 2 2 2" xfId="37101" xr:uid="{00000000-0005-0000-0000-0000BF910000}"/>
    <cellStyle name="Percent 3 2 9 3 4 2 3" xfId="28071" xr:uid="{00000000-0005-0000-0000-0000C0910000}"/>
    <cellStyle name="Percent 3 2 9 3 4 3" xfId="12567" xr:uid="{00000000-0005-0000-0000-0000C1910000}"/>
    <cellStyle name="Percent 3 2 9 3 4 3 2" xfId="32619" xr:uid="{00000000-0005-0000-0000-0000C2910000}"/>
    <cellStyle name="Percent 3 2 9 3 4 4" xfId="23589" xr:uid="{00000000-0005-0000-0000-0000C3910000}"/>
    <cellStyle name="Percent 3 2 9 3 5" xfId="5031" xr:uid="{00000000-0005-0000-0000-0000C4910000}"/>
    <cellStyle name="Percent 3 2 9 3 5 2" xfId="14061" xr:uid="{00000000-0005-0000-0000-0000C5910000}"/>
    <cellStyle name="Percent 3 2 9 3 5 2 2" xfId="34113" xr:uid="{00000000-0005-0000-0000-0000C6910000}"/>
    <cellStyle name="Percent 3 2 9 3 5 3" xfId="25083" xr:uid="{00000000-0005-0000-0000-0000C7910000}"/>
    <cellStyle name="Percent 3 2 9 3 6" xfId="9579" xr:uid="{00000000-0005-0000-0000-0000C8910000}"/>
    <cellStyle name="Percent 3 2 9 3 6 2" xfId="29631" xr:uid="{00000000-0005-0000-0000-0000C9910000}"/>
    <cellStyle name="Percent 3 2 9 3 7" xfId="20601" xr:uid="{00000000-0005-0000-0000-0000CA910000}"/>
    <cellStyle name="Percent 3 2 9 4" xfId="735" xr:uid="{00000000-0005-0000-0000-0000CB910000}"/>
    <cellStyle name="Percent 3 2 9 4 2" xfId="1482" xr:uid="{00000000-0005-0000-0000-0000CC910000}"/>
    <cellStyle name="Percent 3 2 9 4 2 2" xfId="2976" xr:uid="{00000000-0005-0000-0000-0000CD910000}"/>
    <cellStyle name="Percent 3 2 9 4 2 2 2" xfId="7458" xr:uid="{00000000-0005-0000-0000-0000CE910000}"/>
    <cellStyle name="Percent 3 2 9 4 2 2 2 2" xfId="16488" xr:uid="{00000000-0005-0000-0000-0000CF910000}"/>
    <cellStyle name="Percent 3 2 9 4 2 2 2 2 2" xfId="36540" xr:uid="{00000000-0005-0000-0000-0000D0910000}"/>
    <cellStyle name="Percent 3 2 9 4 2 2 2 3" xfId="27510" xr:uid="{00000000-0005-0000-0000-0000D1910000}"/>
    <cellStyle name="Percent 3 2 9 4 2 2 3" xfId="12006" xr:uid="{00000000-0005-0000-0000-0000D2910000}"/>
    <cellStyle name="Percent 3 2 9 4 2 2 3 2" xfId="32058" xr:uid="{00000000-0005-0000-0000-0000D3910000}"/>
    <cellStyle name="Percent 3 2 9 4 2 2 4" xfId="23028" xr:uid="{00000000-0005-0000-0000-0000D4910000}"/>
    <cellStyle name="Percent 3 2 9 4 2 3" xfId="4470" xr:uid="{00000000-0005-0000-0000-0000D5910000}"/>
    <cellStyle name="Percent 3 2 9 4 2 3 2" xfId="8952" xr:uid="{00000000-0005-0000-0000-0000D6910000}"/>
    <cellStyle name="Percent 3 2 9 4 2 3 2 2" xfId="17982" xr:uid="{00000000-0005-0000-0000-0000D7910000}"/>
    <cellStyle name="Percent 3 2 9 4 2 3 2 2 2" xfId="38034" xr:uid="{00000000-0005-0000-0000-0000D8910000}"/>
    <cellStyle name="Percent 3 2 9 4 2 3 2 3" xfId="29004" xr:uid="{00000000-0005-0000-0000-0000D9910000}"/>
    <cellStyle name="Percent 3 2 9 4 2 3 3" xfId="13500" xr:uid="{00000000-0005-0000-0000-0000DA910000}"/>
    <cellStyle name="Percent 3 2 9 4 2 3 3 2" xfId="33552" xr:uid="{00000000-0005-0000-0000-0000DB910000}"/>
    <cellStyle name="Percent 3 2 9 4 2 3 4" xfId="24522" xr:uid="{00000000-0005-0000-0000-0000DC910000}"/>
    <cellStyle name="Percent 3 2 9 4 2 4" xfId="5964" xr:uid="{00000000-0005-0000-0000-0000DD910000}"/>
    <cellStyle name="Percent 3 2 9 4 2 4 2" xfId="14994" xr:uid="{00000000-0005-0000-0000-0000DE910000}"/>
    <cellStyle name="Percent 3 2 9 4 2 4 2 2" xfId="35046" xr:uid="{00000000-0005-0000-0000-0000DF910000}"/>
    <cellStyle name="Percent 3 2 9 4 2 4 3" xfId="26016" xr:uid="{00000000-0005-0000-0000-0000E0910000}"/>
    <cellStyle name="Percent 3 2 9 4 2 5" xfId="10512" xr:uid="{00000000-0005-0000-0000-0000E1910000}"/>
    <cellStyle name="Percent 3 2 9 4 2 5 2" xfId="30564" xr:uid="{00000000-0005-0000-0000-0000E2910000}"/>
    <cellStyle name="Percent 3 2 9 4 2 6" xfId="21534" xr:uid="{00000000-0005-0000-0000-0000E3910000}"/>
    <cellStyle name="Percent 3 2 9 4 3" xfId="2229" xr:uid="{00000000-0005-0000-0000-0000E4910000}"/>
    <cellStyle name="Percent 3 2 9 4 3 2" xfId="6711" xr:uid="{00000000-0005-0000-0000-0000E5910000}"/>
    <cellStyle name="Percent 3 2 9 4 3 2 2" xfId="15741" xr:uid="{00000000-0005-0000-0000-0000E6910000}"/>
    <cellStyle name="Percent 3 2 9 4 3 2 2 2" xfId="35793" xr:uid="{00000000-0005-0000-0000-0000E7910000}"/>
    <cellStyle name="Percent 3 2 9 4 3 2 3" xfId="26763" xr:uid="{00000000-0005-0000-0000-0000E8910000}"/>
    <cellStyle name="Percent 3 2 9 4 3 3" xfId="11259" xr:uid="{00000000-0005-0000-0000-0000E9910000}"/>
    <cellStyle name="Percent 3 2 9 4 3 3 2" xfId="31311" xr:uid="{00000000-0005-0000-0000-0000EA910000}"/>
    <cellStyle name="Percent 3 2 9 4 3 4" xfId="22281" xr:uid="{00000000-0005-0000-0000-0000EB910000}"/>
    <cellStyle name="Percent 3 2 9 4 4" xfId="3723" xr:uid="{00000000-0005-0000-0000-0000EC910000}"/>
    <cellStyle name="Percent 3 2 9 4 4 2" xfId="8205" xr:uid="{00000000-0005-0000-0000-0000ED910000}"/>
    <cellStyle name="Percent 3 2 9 4 4 2 2" xfId="17235" xr:uid="{00000000-0005-0000-0000-0000EE910000}"/>
    <cellStyle name="Percent 3 2 9 4 4 2 2 2" xfId="37287" xr:uid="{00000000-0005-0000-0000-0000EF910000}"/>
    <cellStyle name="Percent 3 2 9 4 4 2 3" xfId="28257" xr:uid="{00000000-0005-0000-0000-0000F0910000}"/>
    <cellStyle name="Percent 3 2 9 4 4 3" xfId="12753" xr:uid="{00000000-0005-0000-0000-0000F1910000}"/>
    <cellStyle name="Percent 3 2 9 4 4 3 2" xfId="32805" xr:uid="{00000000-0005-0000-0000-0000F2910000}"/>
    <cellStyle name="Percent 3 2 9 4 4 4" xfId="23775" xr:uid="{00000000-0005-0000-0000-0000F3910000}"/>
    <cellStyle name="Percent 3 2 9 4 5" xfId="5217" xr:uid="{00000000-0005-0000-0000-0000F4910000}"/>
    <cellStyle name="Percent 3 2 9 4 5 2" xfId="14247" xr:uid="{00000000-0005-0000-0000-0000F5910000}"/>
    <cellStyle name="Percent 3 2 9 4 5 2 2" xfId="34299" xr:uid="{00000000-0005-0000-0000-0000F6910000}"/>
    <cellStyle name="Percent 3 2 9 4 5 3" xfId="25269" xr:uid="{00000000-0005-0000-0000-0000F7910000}"/>
    <cellStyle name="Percent 3 2 9 4 6" xfId="9765" xr:uid="{00000000-0005-0000-0000-0000F8910000}"/>
    <cellStyle name="Percent 3 2 9 4 6 2" xfId="29817" xr:uid="{00000000-0005-0000-0000-0000F9910000}"/>
    <cellStyle name="Percent 3 2 9 4 7" xfId="20787" xr:uid="{00000000-0005-0000-0000-0000FA910000}"/>
    <cellStyle name="Percent 3 2 9 5" xfId="922" xr:uid="{00000000-0005-0000-0000-0000FB910000}"/>
    <cellStyle name="Percent 3 2 9 5 2" xfId="2416" xr:uid="{00000000-0005-0000-0000-0000FC910000}"/>
    <cellStyle name="Percent 3 2 9 5 2 2" xfId="6898" xr:uid="{00000000-0005-0000-0000-0000FD910000}"/>
    <cellStyle name="Percent 3 2 9 5 2 2 2" xfId="15928" xr:uid="{00000000-0005-0000-0000-0000FE910000}"/>
    <cellStyle name="Percent 3 2 9 5 2 2 2 2" xfId="35980" xr:uid="{00000000-0005-0000-0000-0000FF910000}"/>
    <cellStyle name="Percent 3 2 9 5 2 2 3" xfId="26950" xr:uid="{00000000-0005-0000-0000-000000920000}"/>
    <cellStyle name="Percent 3 2 9 5 2 3" xfId="11446" xr:uid="{00000000-0005-0000-0000-000001920000}"/>
    <cellStyle name="Percent 3 2 9 5 2 3 2" xfId="31498" xr:uid="{00000000-0005-0000-0000-000002920000}"/>
    <cellStyle name="Percent 3 2 9 5 2 4" xfId="22468" xr:uid="{00000000-0005-0000-0000-000003920000}"/>
    <cellStyle name="Percent 3 2 9 5 3" xfId="3910" xr:uid="{00000000-0005-0000-0000-000004920000}"/>
    <cellStyle name="Percent 3 2 9 5 3 2" xfId="8392" xr:uid="{00000000-0005-0000-0000-000005920000}"/>
    <cellStyle name="Percent 3 2 9 5 3 2 2" xfId="17422" xr:uid="{00000000-0005-0000-0000-000006920000}"/>
    <cellStyle name="Percent 3 2 9 5 3 2 2 2" xfId="37474" xr:uid="{00000000-0005-0000-0000-000007920000}"/>
    <cellStyle name="Percent 3 2 9 5 3 2 3" xfId="28444" xr:uid="{00000000-0005-0000-0000-000008920000}"/>
    <cellStyle name="Percent 3 2 9 5 3 3" xfId="12940" xr:uid="{00000000-0005-0000-0000-000009920000}"/>
    <cellStyle name="Percent 3 2 9 5 3 3 2" xfId="32992" xr:uid="{00000000-0005-0000-0000-00000A920000}"/>
    <cellStyle name="Percent 3 2 9 5 3 4" xfId="23962" xr:uid="{00000000-0005-0000-0000-00000B920000}"/>
    <cellStyle name="Percent 3 2 9 5 4" xfId="5404" xr:uid="{00000000-0005-0000-0000-00000C920000}"/>
    <cellStyle name="Percent 3 2 9 5 4 2" xfId="14434" xr:uid="{00000000-0005-0000-0000-00000D920000}"/>
    <cellStyle name="Percent 3 2 9 5 4 2 2" xfId="34486" xr:uid="{00000000-0005-0000-0000-00000E920000}"/>
    <cellStyle name="Percent 3 2 9 5 4 3" xfId="25456" xr:uid="{00000000-0005-0000-0000-00000F920000}"/>
    <cellStyle name="Percent 3 2 9 5 5" xfId="9952" xr:uid="{00000000-0005-0000-0000-000010920000}"/>
    <cellStyle name="Percent 3 2 9 5 5 2" xfId="30004" xr:uid="{00000000-0005-0000-0000-000011920000}"/>
    <cellStyle name="Percent 3 2 9 5 6" xfId="20974" xr:uid="{00000000-0005-0000-0000-000012920000}"/>
    <cellStyle name="Percent 3 2 9 6" xfId="1671" xr:uid="{00000000-0005-0000-0000-000013920000}"/>
    <cellStyle name="Percent 3 2 9 6 2" xfId="6153" xr:uid="{00000000-0005-0000-0000-000014920000}"/>
    <cellStyle name="Percent 3 2 9 6 2 2" xfId="15183" xr:uid="{00000000-0005-0000-0000-000015920000}"/>
    <cellStyle name="Percent 3 2 9 6 2 2 2" xfId="35235" xr:uid="{00000000-0005-0000-0000-000016920000}"/>
    <cellStyle name="Percent 3 2 9 6 2 3" xfId="26205" xr:uid="{00000000-0005-0000-0000-000017920000}"/>
    <cellStyle name="Percent 3 2 9 6 3" xfId="10701" xr:uid="{00000000-0005-0000-0000-000018920000}"/>
    <cellStyle name="Percent 3 2 9 6 3 2" xfId="30753" xr:uid="{00000000-0005-0000-0000-000019920000}"/>
    <cellStyle name="Percent 3 2 9 6 4" xfId="21723" xr:uid="{00000000-0005-0000-0000-00001A920000}"/>
    <cellStyle name="Percent 3 2 9 7" xfId="3165" xr:uid="{00000000-0005-0000-0000-00001B920000}"/>
    <cellStyle name="Percent 3 2 9 7 2" xfId="7647" xr:uid="{00000000-0005-0000-0000-00001C920000}"/>
    <cellStyle name="Percent 3 2 9 7 2 2" xfId="16677" xr:uid="{00000000-0005-0000-0000-00001D920000}"/>
    <cellStyle name="Percent 3 2 9 7 2 2 2" xfId="36729" xr:uid="{00000000-0005-0000-0000-00001E920000}"/>
    <cellStyle name="Percent 3 2 9 7 2 3" xfId="27699" xr:uid="{00000000-0005-0000-0000-00001F920000}"/>
    <cellStyle name="Percent 3 2 9 7 3" xfId="12195" xr:uid="{00000000-0005-0000-0000-000020920000}"/>
    <cellStyle name="Percent 3 2 9 7 3 2" xfId="32247" xr:uid="{00000000-0005-0000-0000-000021920000}"/>
    <cellStyle name="Percent 3 2 9 7 4" xfId="23217" xr:uid="{00000000-0005-0000-0000-000022920000}"/>
    <cellStyle name="Percent 3 2 9 8" xfId="4659" xr:uid="{00000000-0005-0000-0000-000023920000}"/>
    <cellStyle name="Percent 3 2 9 8 2" xfId="13689" xr:uid="{00000000-0005-0000-0000-000024920000}"/>
    <cellStyle name="Percent 3 2 9 8 2 2" xfId="33741" xr:uid="{00000000-0005-0000-0000-000025920000}"/>
    <cellStyle name="Percent 3 2 9 8 3" xfId="24711" xr:uid="{00000000-0005-0000-0000-000026920000}"/>
    <cellStyle name="Percent 3 2 9 9" xfId="9207" xr:uid="{00000000-0005-0000-0000-000027920000}"/>
    <cellStyle name="Percent 3 2 9 9 2" xfId="29259" xr:uid="{00000000-0005-0000-0000-000028920000}"/>
    <cellStyle name="Percent 3 3" xfId="19" xr:uid="{00000000-0005-0000-0000-000029920000}"/>
    <cellStyle name="Percent 3 3 10" xfId="391" xr:uid="{00000000-0005-0000-0000-00002A920000}"/>
    <cellStyle name="Percent 3 3 10 2" xfId="1138" xr:uid="{00000000-0005-0000-0000-00002B920000}"/>
    <cellStyle name="Percent 3 3 10 2 2" xfId="2632" xr:uid="{00000000-0005-0000-0000-00002C920000}"/>
    <cellStyle name="Percent 3 3 10 2 2 2" xfId="7114" xr:uid="{00000000-0005-0000-0000-00002D920000}"/>
    <cellStyle name="Percent 3 3 10 2 2 2 2" xfId="16144" xr:uid="{00000000-0005-0000-0000-00002E920000}"/>
    <cellStyle name="Percent 3 3 10 2 2 2 2 2" xfId="36196" xr:uid="{00000000-0005-0000-0000-00002F920000}"/>
    <cellStyle name="Percent 3 3 10 2 2 2 3" xfId="27166" xr:uid="{00000000-0005-0000-0000-000030920000}"/>
    <cellStyle name="Percent 3 3 10 2 2 3" xfId="11662" xr:uid="{00000000-0005-0000-0000-000031920000}"/>
    <cellStyle name="Percent 3 3 10 2 2 3 2" xfId="31714" xr:uid="{00000000-0005-0000-0000-000032920000}"/>
    <cellStyle name="Percent 3 3 10 2 2 4" xfId="22684" xr:uid="{00000000-0005-0000-0000-000033920000}"/>
    <cellStyle name="Percent 3 3 10 2 3" xfId="4126" xr:uid="{00000000-0005-0000-0000-000034920000}"/>
    <cellStyle name="Percent 3 3 10 2 3 2" xfId="8608" xr:uid="{00000000-0005-0000-0000-000035920000}"/>
    <cellStyle name="Percent 3 3 10 2 3 2 2" xfId="17638" xr:uid="{00000000-0005-0000-0000-000036920000}"/>
    <cellStyle name="Percent 3 3 10 2 3 2 2 2" xfId="37690" xr:uid="{00000000-0005-0000-0000-000037920000}"/>
    <cellStyle name="Percent 3 3 10 2 3 2 3" xfId="28660" xr:uid="{00000000-0005-0000-0000-000038920000}"/>
    <cellStyle name="Percent 3 3 10 2 3 3" xfId="13156" xr:uid="{00000000-0005-0000-0000-000039920000}"/>
    <cellStyle name="Percent 3 3 10 2 3 3 2" xfId="33208" xr:uid="{00000000-0005-0000-0000-00003A920000}"/>
    <cellStyle name="Percent 3 3 10 2 3 4" xfId="24178" xr:uid="{00000000-0005-0000-0000-00003B920000}"/>
    <cellStyle name="Percent 3 3 10 2 4" xfId="5620" xr:uid="{00000000-0005-0000-0000-00003C920000}"/>
    <cellStyle name="Percent 3 3 10 2 4 2" xfId="14650" xr:uid="{00000000-0005-0000-0000-00003D920000}"/>
    <cellStyle name="Percent 3 3 10 2 4 2 2" xfId="34702" xr:uid="{00000000-0005-0000-0000-00003E920000}"/>
    <cellStyle name="Percent 3 3 10 2 4 3" xfId="25672" xr:uid="{00000000-0005-0000-0000-00003F920000}"/>
    <cellStyle name="Percent 3 3 10 2 5" xfId="10168" xr:uid="{00000000-0005-0000-0000-000040920000}"/>
    <cellStyle name="Percent 3 3 10 2 5 2" xfId="30220" xr:uid="{00000000-0005-0000-0000-000041920000}"/>
    <cellStyle name="Percent 3 3 10 2 6" xfId="21190" xr:uid="{00000000-0005-0000-0000-000042920000}"/>
    <cellStyle name="Percent 3 3 10 3" xfId="1885" xr:uid="{00000000-0005-0000-0000-000043920000}"/>
    <cellStyle name="Percent 3 3 10 3 2" xfId="6367" xr:uid="{00000000-0005-0000-0000-000044920000}"/>
    <cellStyle name="Percent 3 3 10 3 2 2" xfId="15397" xr:uid="{00000000-0005-0000-0000-000045920000}"/>
    <cellStyle name="Percent 3 3 10 3 2 2 2" xfId="35449" xr:uid="{00000000-0005-0000-0000-000046920000}"/>
    <cellStyle name="Percent 3 3 10 3 2 3" xfId="26419" xr:uid="{00000000-0005-0000-0000-000047920000}"/>
    <cellStyle name="Percent 3 3 10 3 3" xfId="10915" xr:uid="{00000000-0005-0000-0000-000048920000}"/>
    <cellStyle name="Percent 3 3 10 3 3 2" xfId="30967" xr:uid="{00000000-0005-0000-0000-000049920000}"/>
    <cellStyle name="Percent 3 3 10 3 4" xfId="21937" xr:uid="{00000000-0005-0000-0000-00004A920000}"/>
    <cellStyle name="Percent 3 3 10 4" xfId="3379" xr:uid="{00000000-0005-0000-0000-00004B920000}"/>
    <cellStyle name="Percent 3 3 10 4 2" xfId="7861" xr:uid="{00000000-0005-0000-0000-00004C920000}"/>
    <cellStyle name="Percent 3 3 10 4 2 2" xfId="16891" xr:uid="{00000000-0005-0000-0000-00004D920000}"/>
    <cellStyle name="Percent 3 3 10 4 2 2 2" xfId="36943" xr:uid="{00000000-0005-0000-0000-00004E920000}"/>
    <cellStyle name="Percent 3 3 10 4 2 3" xfId="27913" xr:uid="{00000000-0005-0000-0000-00004F920000}"/>
    <cellStyle name="Percent 3 3 10 4 3" xfId="12409" xr:uid="{00000000-0005-0000-0000-000050920000}"/>
    <cellStyle name="Percent 3 3 10 4 3 2" xfId="32461" xr:uid="{00000000-0005-0000-0000-000051920000}"/>
    <cellStyle name="Percent 3 3 10 4 4" xfId="23431" xr:uid="{00000000-0005-0000-0000-000052920000}"/>
    <cellStyle name="Percent 3 3 10 5" xfId="4873" xr:uid="{00000000-0005-0000-0000-000053920000}"/>
    <cellStyle name="Percent 3 3 10 5 2" xfId="13903" xr:uid="{00000000-0005-0000-0000-000054920000}"/>
    <cellStyle name="Percent 3 3 10 5 2 2" xfId="33955" xr:uid="{00000000-0005-0000-0000-000055920000}"/>
    <cellStyle name="Percent 3 3 10 5 3" xfId="24925" xr:uid="{00000000-0005-0000-0000-000056920000}"/>
    <cellStyle name="Percent 3 3 10 6" xfId="9421" xr:uid="{00000000-0005-0000-0000-000057920000}"/>
    <cellStyle name="Percent 3 3 10 6 2" xfId="29473" xr:uid="{00000000-0005-0000-0000-000058920000}"/>
    <cellStyle name="Percent 3 3 10 7" xfId="20443" xr:uid="{00000000-0005-0000-0000-000059920000}"/>
    <cellStyle name="Percent 3 3 11" xfId="577" xr:uid="{00000000-0005-0000-0000-00005A920000}"/>
    <cellStyle name="Percent 3 3 11 2" xfId="1324" xr:uid="{00000000-0005-0000-0000-00005B920000}"/>
    <cellStyle name="Percent 3 3 11 2 2" xfId="2818" xr:uid="{00000000-0005-0000-0000-00005C920000}"/>
    <cellStyle name="Percent 3 3 11 2 2 2" xfId="7300" xr:uid="{00000000-0005-0000-0000-00005D920000}"/>
    <cellStyle name="Percent 3 3 11 2 2 2 2" xfId="16330" xr:uid="{00000000-0005-0000-0000-00005E920000}"/>
    <cellStyle name="Percent 3 3 11 2 2 2 2 2" xfId="36382" xr:uid="{00000000-0005-0000-0000-00005F920000}"/>
    <cellStyle name="Percent 3 3 11 2 2 2 3" xfId="27352" xr:uid="{00000000-0005-0000-0000-000060920000}"/>
    <cellStyle name="Percent 3 3 11 2 2 3" xfId="11848" xr:uid="{00000000-0005-0000-0000-000061920000}"/>
    <cellStyle name="Percent 3 3 11 2 2 3 2" xfId="31900" xr:uid="{00000000-0005-0000-0000-000062920000}"/>
    <cellStyle name="Percent 3 3 11 2 2 4" xfId="22870" xr:uid="{00000000-0005-0000-0000-000063920000}"/>
    <cellStyle name="Percent 3 3 11 2 3" xfId="4312" xr:uid="{00000000-0005-0000-0000-000064920000}"/>
    <cellStyle name="Percent 3 3 11 2 3 2" xfId="8794" xr:uid="{00000000-0005-0000-0000-000065920000}"/>
    <cellStyle name="Percent 3 3 11 2 3 2 2" xfId="17824" xr:uid="{00000000-0005-0000-0000-000066920000}"/>
    <cellStyle name="Percent 3 3 11 2 3 2 2 2" xfId="37876" xr:uid="{00000000-0005-0000-0000-000067920000}"/>
    <cellStyle name="Percent 3 3 11 2 3 2 3" xfId="28846" xr:uid="{00000000-0005-0000-0000-000068920000}"/>
    <cellStyle name="Percent 3 3 11 2 3 3" xfId="13342" xr:uid="{00000000-0005-0000-0000-000069920000}"/>
    <cellStyle name="Percent 3 3 11 2 3 3 2" xfId="33394" xr:uid="{00000000-0005-0000-0000-00006A920000}"/>
    <cellStyle name="Percent 3 3 11 2 3 4" xfId="24364" xr:uid="{00000000-0005-0000-0000-00006B920000}"/>
    <cellStyle name="Percent 3 3 11 2 4" xfId="5806" xr:uid="{00000000-0005-0000-0000-00006C920000}"/>
    <cellStyle name="Percent 3 3 11 2 4 2" xfId="14836" xr:uid="{00000000-0005-0000-0000-00006D920000}"/>
    <cellStyle name="Percent 3 3 11 2 4 2 2" xfId="34888" xr:uid="{00000000-0005-0000-0000-00006E920000}"/>
    <cellStyle name="Percent 3 3 11 2 4 3" xfId="25858" xr:uid="{00000000-0005-0000-0000-00006F920000}"/>
    <cellStyle name="Percent 3 3 11 2 5" xfId="10354" xr:uid="{00000000-0005-0000-0000-000070920000}"/>
    <cellStyle name="Percent 3 3 11 2 5 2" xfId="30406" xr:uid="{00000000-0005-0000-0000-000071920000}"/>
    <cellStyle name="Percent 3 3 11 2 6" xfId="21376" xr:uid="{00000000-0005-0000-0000-000072920000}"/>
    <cellStyle name="Percent 3 3 11 3" xfId="2071" xr:uid="{00000000-0005-0000-0000-000073920000}"/>
    <cellStyle name="Percent 3 3 11 3 2" xfId="6553" xr:uid="{00000000-0005-0000-0000-000074920000}"/>
    <cellStyle name="Percent 3 3 11 3 2 2" xfId="15583" xr:uid="{00000000-0005-0000-0000-000075920000}"/>
    <cellStyle name="Percent 3 3 11 3 2 2 2" xfId="35635" xr:uid="{00000000-0005-0000-0000-000076920000}"/>
    <cellStyle name="Percent 3 3 11 3 2 3" xfId="26605" xr:uid="{00000000-0005-0000-0000-000077920000}"/>
    <cellStyle name="Percent 3 3 11 3 3" xfId="11101" xr:uid="{00000000-0005-0000-0000-000078920000}"/>
    <cellStyle name="Percent 3 3 11 3 3 2" xfId="31153" xr:uid="{00000000-0005-0000-0000-000079920000}"/>
    <cellStyle name="Percent 3 3 11 3 4" xfId="22123" xr:uid="{00000000-0005-0000-0000-00007A920000}"/>
    <cellStyle name="Percent 3 3 11 4" xfId="3565" xr:uid="{00000000-0005-0000-0000-00007B920000}"/>
    <cellStyle name="Percent 3 3 11 4 2" xfId="8047" xr:uid="{00000000-0005-0000-0000-00007C920000}"/>
    <cellStyle name="Percent 3 3 11 4 2 2" xfId="17077" xr:uid="{00000000-0005-0000-0000-00007D920000}"/>
    <cellStyle name="Percent 3 3 11 4 2 2 2" xfId="37129" xr:uid="{00000000-0005-0000-0000-00007E920000}"/>
    <cellStyle name="Percent 3 3 11 4 2 3" xfId="28099" xr:uid="{00000000-0005-0000-0000-00007F920000}"/>
    <cellStyle name="Percent 3 3 11 4 3" xfId="12595" xr:uid="{00000000-0005-0000-0000-000080920000}"/>
    <cellStyle name="Percent 3 3 11 4 3 2" xfId="32647" xr:uid="{00000000-0005-0000-0000-000081920000}"/>
    <cellStyle name="Percent 3 3 11 4 4" xfId="23617" xr:uid="{00000000-0005-0000-0000-000082920000}"/>
    <cellStyle name="Percent 3 3 11 5" xfId="5059" xr:uid="{00000000-0005-0000-0000-000083920000}"/>
    <cellStyle name="Percent 3 3 11 5 2" xfId="14089" xr:uid="{00000000-0005-0000-0000-000084920000}"/>
    <cellStyle name="Percent 3 3 11 5 2 2" xfId="34141" xr:uid="{00000000-0005-0000-0000-000085920000}"/>
    <cellStyle name="Percent 3 3 11 5 3" xfId="25111" xr:uid="{00000000-0005-0000-0000-000086920000}"/>
    <cellStyle name="Percent 3 3 11 6" xfId="9607" xr:uid="{00000000-0005-0000-0000-000087920000}"/>
    <cellStyle name="Percent 3 3 11 6 2" xfId="29659" xr:uid="{00000000-0005-0000-0000-000088920000}"/>
    <cellStyle name="Percent 3 3 11 7" xfId="20629" xr:uid="{00000000-0005-0000-0000-000089920000}"/>
    <cellStyle name="Percent 3 3 12" xfId="764" xr:uid="{00000000-0005-0000-0000-00008A920000}"/>
    <cellStyle name="Percent 3 3 12 2" xfId="2258" xr:uid="{00000000-0005-0000-0000-00008B920000}"/>
    <cellStyle name="Percent 3 3 12 2 2" xfId="6740" xr:uid="{00000000-0005-0000-0000-00008C920000}"/>
    <cellStyle name="Percent 3 3 12 2 2 2" xfId="15770" xr:uid="{00000000-0005-0000-0000-00008D920000}"/>
    <cellStyle name="Percent 3 3 12 2 2 2 2" xfId="35822" xr:uid="{00000000-0005-0000-0000-00008E920000}"/>
    <cellStyle name="Percent 3 3 12 2 2 3" xfId="26792" xr:uid="{00000000-0005-0000-0000-00008F920000}"/>
    <cellStyle name="Percent 3 3 12 2 3" xfId="11288" xr:uid="{00000000-0005-0000-0000-000090920000}"/>
    <cellStyle name="Percent 3 3 12 2 3 2" xfId="31340" xr:uid="{00000000-0005-0000-0000-000091920000}"/>
    <cellStyle name="Percent 3 3 12 2 4" xfId="22310" xr:uid="{00000000-0005-0000-0000-000092920000}"/>
    <cellStyle name="Percent 3 3 12 3" xfId="3752" xr:uid="{00000000-0005-0000-0000-000093920000}"/>
    <cellStyle name="Percent 3 3 12 3 2" xfId="8234" xr:uid="{00000000-0005-0000-0000-000094920000}"/>
    <cellStyle name="Percent 3 3 12 3 2 2" xfId="17264" xr:uid="{00000000-0005-0000-0000-000095920000}"/>
    <cellStyle name="Percent 3 3 12 3 2 2 2" xfId="37316" xr:uid="{00000000-0005-0000-0000-000096920000}"/>
    <cellStyle name="Percent 3 3 12 3 2 3" xfId="28286" xr:uid="{00000000-0005-0000-0000-000097920000}"/>
    <cellStyle name="Percent 3 3 12 3 3" xfId="12782" xr:uid="{00000000-0005-0000-0000-000098920000}"/>
    <cellStyle name="Percent 3 3 12 3 3 2" xfId="32834" xr:uid="{00000000-0005-0000-0000-000099920000}"/>
    <cellStyle name="Percent 3 3 12 3 4" xfId="23804" xr:uid="{00000000-0005-0000-0000-00009A920000}"/>
    <cellStyle name="Percent 3 3 12 4" xfId="5246" xr:uid="{00000000-0005-0000-0000-00009B920000}"/>
    <cellStyle name="Percent 3 3 12 4 2" xfId="14276" xr:uid="{00000000-0005-0000-0000-00009C920000}"/>
    <cellStyle name="Percent 3 3 12 4 2 2" xfId="34328" xr:uid="{00000000-0005-0000-0000-00009D920000}"/>
    <cellStyle name="Percent 3 3 12 4 3" xfId="25298" xr:uid="{00000000-0005-0000-0000-00009E920000}"/>
    <cellStyle name="Percent 3 3 12 5" xfId="9794" xr:uid="{00000000-0005-0000-0000-00009F920000}"/>
    <cellStyle name="Percent 3 3 12 5 2" xfId="29846" xr:uid="{00000000-0005-0000-0000-0000A0920000}"/>
    <cellStyle name="Percent 3 3 12 6" xfId="20816" xr:uid="{00000000-0005-0000-0000-0000A1920000}"/>
    <cellStyle name="Percent 3 3 13" xfId="1513" xr:uid="{00000000-0005-0000-0000-0000A2920000}"/>
    <cellStyle name="Percent 3 3 13 2" xfId="5995" xr:uid="{00000000-0005-0000-0000-0000A3920000}"/>
    <cellStyle name="Percent 3 3 13 2 2" xfId="15025" xr:uid="{00000000-0005-0000-0000-0000A4920000}"/>
    <cellStyle name="Percent 3 3 13 2 2 2" xfId="35077" xr:uid="{00000000-0005-0000-0000-0000A5920000}"/>
    <cellStyle name="Percent 3 3 13 2 3" xfId="26047" xr:uid="{00000000-0005-0000-0000-0000A6920000}"/>
    <cellStyle name="Percent 3 3 13 3" xfId="10543" xr:uid="{00000000-0005-0000-0000-0000A7920000}"/>
    <cellStyle name="Percent 3 3 13 3 2" xfId="30595" xr:uid="{00000000-0005-0000-0000-0000A8920000}"/>
    <cellStyle name="Percent 3 3 13 4" xfId="21565" xr:uid="{00000000-0005-0000-0000-0000A9920000}"/>
    <cellStyle name="Percent 3 3 14" xfId="3007" xr:uid="{00000000-0005-0000-0000-0000AA920000}"/>
    <cellStyle name="Percent 3 3 14 2" xfId="7489" xr:uid="{00000000-0005-0000-0000-0000AB920000}"/>
    <cellStyle name="Percent 3 3 14 2 2" xfId="16519" xr:uid="{00000000-0005-0000-0000-0000AC920000}"/>
    <cellStyle name="Percent 3 3 14 2 2 2" xfId="36571" xr:uid="{00000000-0005-0000-0000-0000AD920000}"/>
    <cellStyle name="Percent 3 3 14 2 3" xfId="27541" xr:uid="{00000000-0005-0000-0000-0000AE920000}"/>
    <cellStyle name="Percent 3 3 14 3" xfId="12037" xr:uid="{00000000-0005-0000-0000-0000AF920000}"/>
    <cellStyle name="Percent 3 3 14 3 2" xfId="32089" xr:uid="{00000000-0005-0000-0000-0000B0920000}"/>
    <cellStyle name="Percent 3 3 14 4" xfId="23059" xr:uid="{00000000-0005-0000-0000-0000B1920000}"/>
    <cellStyle name="Percent 3 3 15" xfId="4501" xr:uid="{00000000-0005-0000-0000-0000B2920000}"/>
    <cellStyle name="Percent 3 3 15 2" xfId="13531" xr:uid="{00000000-0005-0000-0000-0000B3920000}"/>
    <cellStyle name="Percent 3 3 15 2 2" xfId="33583" xr:uid="{00000000-0005-0000-0000-0000B4920000}"/>
    <cellStyle name="Percent 3 3 15 3" xfId="24553" xr:uid="{00000000-0005-0000-0000-0000B5920000}"/>
    <cellStyle name="Percent 3 3 16" xfId="9049" xr:uid="{00000000-0005-0000-0000-0000B6920000}"/>
    <cellStyle name="Percent 3 3 16 2" xfId="29101" xr:uid="{00000000-0005-0000-0000-0000B7920000}"/>
    <cellStyle name="Percent 3 3 17" xfId="20071" xr:uid="{00000000-0005-0000-0000-0000B8920000}"/>
    <cellStyle name="Percent 3 3 2" xfId="42" xr:uid="{00000000-0005-0000-0000-0000B9920000}"/>
    <cellStyle name="Percent 3 3 2 10" xfId="20094" xr:uid="{00000000-0005-0000-0000-0000BA920000}"/>
    <cellStyle name="Percent 3 3 2 2" xfId="228" xr:uid="{00000000-0005-0000-0000-0000BB920000}"/>
    <cellStyle name="Percent 3 3 2 2 2" xfId="973" xr:uid="{00000000-0005-0000-0000-0000BC920000}"/>
    <cellStyle name="Percent 3 3 2 2 2 2" xfId="2467" xr:uid="{00000000-0005-0000-0000-0000BD920000}"/>
    <cellStyle name="Percent 3 3 2 2 2 2 2" xfId="6949" xr:uid="{00000000-0005-0000-0000-0000BE920000}"/>
    <cellStyle name="Percent 3 3 2 2 2 2 2 2" xfId="15979" xr:uid="{00000000-0005-0000-0000-0000BF920000}"/>
    <cellStyle name="Percent 3 3 2 2 2 2 2 2 2" xfId="36031" xr:uid="{00000000-0005-0000-0000-0000C0920000}"/>
    <cellStyle name="Percent 3 3 2 2 2 2 2 3" xfId="27001" xr:uid="{00000000-0005-0000-0000-0000C1920000}"/>
    <cellStyle name="Percent 3 3 2 2 2 2 3" xfId="11497" xr:uid="{00000000-0005-0000-0000-0000C2920000}"/>
    <cellStyle name="Percent 3 3 2 2 2 2 3 2" xfId="31549" xr:uid="{00000000-0005-0000-0000-0000C3920000}"/>
    <cellStyle name="Percent 3 3 2 2 2 2 4" xfId="22519" xr:uid="{00000000-0005-0000-0000-0000C4920000}"/>
    <cellStyle name="Percent 3 3 2 2 2 3" xfId="3961" xr:uid="{00000000-0005-0000-0000-0000C5920000}"/>
    <cellStyle name="Percent 3 3 2 2 2 3 2" xfId="8443" xr:uid="{00000000-0005-0000-0000-0000C6920000}"/>
    <cellStyle name="Percent 3 3 2 2 2 3 2 2" xfId="17473" xr:uid="{00000000-0005-0000-0000-0000C7920000}"/>
    <cellStyle name="Percent 3 3 2 2 2 3 2 2 2" xfId="37525" xr:uid="{00000000-0005-0000-0000-0000C8920000}"/>
    <cellStyle name="Percent 3 3 2 2 2 3 2 3" xfId="28495" xr:uid="{00000000-0005-0000-0000-0000C9920000}"/>
    <cellStyle name="Percent 3 3 2 2 2 3 3" xfId="12991" xr:uid="{00000000-0005-0000-0000-0000CA920000}"/>
    <cellStyle name="Percent 3 3 2 2 2 3 3 2" xfId="33043" xr:uid="{00000000-0005-0000-0000-0000CB920000}"/>
    <cellStyle name="Percent 3 3 2 2 2 3 4" xfId="24013" xr:uid="{00000000-0005-0000-0000-0000CC920000}"/>
    <cellStyle name="Percent 3 3 2 2 2 4" xfId="5455" xr:uid="{00000000-0005-0000-0000-0000CD920000}"/>
    <cellStyle name="Percent 3 3 2 2 2 4 2" xfId="14485" xr:uid="{00000000-0005-0000-0000-0000CE920000}"/>
    <cellStyle name="Percent 3 3 2 2 2 4 2 2" xfId="34537" xr:uid="{00000000-0005-0000-0000-0000CF920000}"/>
    <cellStyle name="Percent 3 3 2 2 2 4 3" xfId="25507" xr:uid="{00000000-0005-0000-0000-0000D0920000}"/>
    <cellStyle name="Percent 3 3 2 2 2 5" xfId="10003" xr:uid="{00000000-0005-0000-0000-0000D1920000}"/>
    <cellStyle name="Percent 3 3 2 2 2 5 2" xfId="30055" xr:uid="{00000000-0005-0000-0000-0000D2920000}"/>
    <cellStyle name="Percent 3 3 2 2 2 6" xfId="21025" xr:uid="{00000000-0005-0000-0000-0000D3920000}"/>
    <cellStyle name="Percent 3 3 2 2 3" xfId="1722" xr:uid="{00000000-0005-0000-0000-0000D4920000}"/>
    <cellStyle name="Percent 3 3 2 2 3 2" xfId="6204" xr:uid="{00000000-0005-0000-0000-0000D5920000}"/>
    <cellStyle name="Percent 3 3 2 2 3 2 2" xfId="15234" xr:uid="{00000000-0005-0000-0000-0000D6920000}"/>
    <cellStyle name="Percent 3 3 2 2 3 2 2 2" xfId="35286" xr:uid="{00000000-0005-0000-0000-0000D7920000}"/>
    <cellStyle name="Percent 3 3 2 2 3 2 3" xfId="26256" xr:uid="{00000000-0005-0000-0000-0000D8920000}"/>
    <cellStyle name="Percent 3 3 2 2 3 3" xfId="10752" xr:uid="{00000000-0005-0000-0000-0000D9920000}"/>
    <cellStyle name="Percent 3 3 2 2 3 3 2" xfId="30804" xr:uid="{00000000-0005-0000-0000-0000DA920000}"/>
    <cellStyle name="Percent 3 3 2 2 3 4" xfId="21774" xr:uid="{00000000-0005-0000-0000-0000DB920000}"/>
    <cellStyle name="Percent 3 3 2 2 4" xfId="3216" xr:uid="{00000000-0005-0000-0000-0000DC920000}"/>
    <cellStyle name="Percent 3 3 2 2 4 2" xfId="7698" xr:uid="{00000000-0005-0000-0000-0000DD920000}"/>
    <cellStyle name="Percent 3 3 2 2 4 2 2" xfId="16728" xr:uid="{00000000-0005-0000-0000-0000DE920000}"/>
    <cellStyle name="Percent 3 3 2 2 4 2 2 2" xfId="36780" xr:uid="{00000000-0005-0000-0000-0000DF920000}"/>
    <cellStyle name="Percent 3 3 2 2 4 2 3" xfId="27750" xr:uid="{00000000-0005-0000-0000-0000E0920000}"/>
    <cellStyle name="Percent 3 3 2 2 4 3" xfId="12246" xr:uid="{00000000-0005-0000-0000-0000E1920000}"/>
    <cellStyle name="Percent 3 3 2 2 4 3 2" xfId="32298" xr:uid="{00000000-0005-0000-0000-0000E2920000}"/>
    <cellStyle name="Percent 3 3 2 2 4 4" xfId="23268" xr:uid="{00000000-0005-0000-0000-0000E3920000}"/>
    <cellStyle name="Percent 3 3 2 2 5" xfId="4710" xr:uid="{00000000-0005-0000-0000-0000E4920000}"/>
    <cellStyle name="Percent 3 3 2 2 5 2" xfId="13740" xr:uid="{00000000-0005-0000-0000-0000E5920000}"/>
    <cellStyle name="Percent 3 3 2 2 5 2 2" xfId="33792" xr:uid="{00000000-0005-0000-0000-0000E6920000}"/>
    <cellStyle name="Percent 3 3 2 2 5 3" xfId="24762" xr:uid="{00000000-0005-0000-0000-0000E7920000}"/>
    <cellStyle name="Percent 3 3 2 2 6" xfId="9258" xr:uid="{00000000-0005-0000-0000-0000E8920000}"/>
    <cellStyle name="Percent 3 3 2 2 6 2" xfId="29310" xr:uid="{00000000-0005-0000-0000-0000E9920000}"/>
    <cellStyle name="Percent 3 3 2 2 7" xfId="20280" xr:uid="{00000000-0005-0000-0000-0000EA920000}"/>
    <cellStyle name="Percent 3 3 2 3" xfId="414" xr:uid="{00000000-0005-0000-0000-0000EB920000}"/>
    <cellStyle name="Percent 3 3 2 3 2" xfId="1161" xr:uid="{00000000-0005-0000-0000-0000EC920000}"/>
    <cellStyle name="Percent 3 3 2 3 2 2" xfId="2655" xr:uid="{00000000-0005-0000-0000-0000ED920000}"/>
    <cellStyle name="Percent 3 3 2 3 2 2 2" xfId="7137" xr:uid="{00000000-0005-0000-0000-0000EE920000}"/>
    <cellStyle name="Percent 3 3 2 3 2 2 2 2" xfId="16167" xr:uid="{00000000-0005-0000-0000-0000EF920000}"/>
    <cellStyle name="Percent 3 3 2 3 2 2 2 2 2" xfId="36219" xr:uid="{00000000-0005-0000-0000-0000F0920000}"/>
    <cellStyle name="Percent 3 3 2 3 2 2 2 3" xfId="27189" xr:uid="{00000000-0005-0000-0000-0000F1920000}"/>
    <cellStyle name="Percent 3 3 2 3 2 2 3" xfId="11685" xr:uid="{00000000-0005-0000-0000-0000F2920000}"/>
    <cellStyle name="Percent 3 3 2 3 2 2 3 2" xfId="31737" xr:uid="{00000000-0005-0000-0000-0000F3920000}"/>
    <cellStyle name="Percent 3 3 2 3 2 2 4" xfId="22707" xr:uid="{00000000-0005-0000-0000-0000F4920000}"/>
    <cellStyle name="Percent 3 3 2 3 2 3" xfId="4149" xr:uid="{00000000-0005-0000-0000-0000F5920000}"/>
    <cellStyle name="Percent 3 3 2 3 2 3 2" xfId="8631" xr:uid="{00000000-0005-0000-0000-0000F6920000}"/>
    <cellStyle name="Percent 3 3 2 3 2 3 2 2" xfId="17661" xr:uid="{00000000-0005-0000-0000-0000F7920000}"/>
    <cellStyle name="Percent 3 3 2 3 2 3 2 2 2" xfId="37713" xr:uid="{00000000-0005-0000-0000-0000F8920000}"/>
    <cellStyle name="Percent 3 3 2 3 2 3 2 3" xfId="28683" xr:uid="{00000000-0005-0000-0000-0000F9920000}"/>
    <cellStyle name="Percent 3 3 2 3 2 3 3" xfId="13179" xr:uid="{00000000-0005-0000-0000-0000FA920000}"/>
    <cellStyle name="Percent 3 3 2 3 2 3 3 2" xfId="33231" xr:uid="{00000000-0005-0000-0000-0000FB920000}"/>
    <cellStyle name="Percent 3 3 2 3 2 3 4" xfId="24201" xr:uid="{00000000-0005-0000-0000-0000FC920000}"/>
    <cellStyle name="Percent 3 3 2 3 2 4" xfId="5643" xr:uid="{00000000-0005-0000-0000-0000FD920000}"/>
    <cellStyle name="Percent 3 3 2 3 2 4 2" xfId="14673" xr:uid="{00000000-0005-0000-0000-0000FE920000}"/>
    <cellStyle name="Percent 3 3 2 3 2 4 2 2" xfId="34725" xr:uid="{00000000-0005-0000-0000-0000FF920000}"/>
    <cellStyle name="Percent 3 3 2 3 2 4 3" xfId="25695" xr:uid="{00000000-0005-0000-0000-000000930000}"/>
    <cellStyle name="Percent 3 3 2 3 2 5" xfId="10191" xr:uid="{00000000-0005-0000-0000-000001930000}"/>
    <cellStyle name="Percent 3 3 2 3 2 5 2" xfId="30243" xr:uid="{00000000-0005-0000-0000-000002930000}"/>
    <cellStyle name="Percent 3 3 2 3 2 6" xfId="21213" xr:uid="{00000000-0005-0000-0000-000003930000}"/>
    <cellStyle name="Percent 3 3 2 3 3" xfId="1908" xr:uid="{00000000-0005-0000-0000-000004930000}"/>
    <cellStyle name="Percent 3 3 2 3 3 2" xfId="6390" xr:uid="{00000000-0005-0000-0000-000005930000}"/>
    <cellStyle name="Percent 3 3 2 3 3 2 2" xfId="15420" xr:uid="{00000000-0005-0000-0000-000006930000}"/>
    <cellStyle name="Percent 3 3 2 3 3 2 2 2" xfId="35472" xr:uid="{00000000-0005-0000-0000-000007930000}"/>
    <cellStyle name="Percent 3 3 2 3 3 2 3" xfId="26442" xr:uid="{00000000-0005-0000-0000-000008930000}"/>
    <cellStyle name="Percent 3 3 2 3 3 3" xfId="10938" xr:uid="{00000000-0005-0000-0000-000009930000}"/>
    <cellStyle name="Percent 3 3 2 3 3 3 2" xfId="30990" xr:uid="{00000000-0005-0000-0000-00000A930000}"/>
    <cellStyle name="Percent 3 3 2 3 3 4" xfId="21960" xr:uid="{00000000-0005-0000-0000-00000B930000}"/>
    <cellStyle name="Percent 3 3 2 3 4" xfId="3402" xr:uid="{00000000-0005-0000-0000-00000C930000}"/>
    <cellStyle name="Percent 3 3 2 3 4 2" xfId="7884" xr:uid="{00000000-0005-0000-0000-00000D930000}"/>
    <cellStyle name="Percent 3 3 2 3 4 2 2" xfId="16914" xr:uid="{00000000-0005-0000-0000-00000E930000}"/>
    <cellStyle name="Percent 3 3 2 3 4 2 2 2" xfId="36966" xr:uid="{00000000-0005-0000-0000-00000F930000}"/>
    <cellStyle name="Percent 3 3 2 3 4 2 3" xfId="27936" xr:uid="{00000000-0005-0000-0000-000010930000}"/>
    <cellStyle name="Percent 3 3 2 3 4 3" xfId="12432" xr:uid="{00000000-0005-0000-0000-000011930000}"/>
    <cellStyle name="Percent 3 3 2 3 4 3 2" xfId="32484" xr:uid="{00000000-0005-0000-0000-000012930000}"/>
    <cellStyle name="Percent 3 3 2 3 4 4" xfId="23454" xr:uid="{00000000-0005-0000-0000-000013930000}"/>
    <cellStyle name="Percent 3 3 2 3 5" xfId="4896" xr:uid="{00000000-0005-0000-0000-000014930000}"/>
    <cellStyle name="Percent 3 3 2 3 5 2" xfId="13926" xr:uid="{00000000-0005-0000-0000-000015930000}"/>
    <cellStyle name="Percent 3 3 2 3 5 2 2" xfId="33978" xr:uid="{00000000-0005-0000-0000-000016930000}"/>
    <cellStyle name="Percent 3 3 2 3 5 3" xfId="24948" xr:uid="{00000000-0005-0000-0000-000017930000}"/>
    <cellStyle name="Percent 3 3 2 3 6" xfId="9444" xr:uid="{00000000-0005-0000-0000-000018930000}"/>
    <cellStyle name="Percent 3 3 2 3 6 2" xfId="29496" xr:uid="{00000000-0005-0000-0000-000019930000}"/>
    <cellStyle name="Percent 3 3 2 3 7" xfId="20466" xr:uid="{00000000-0005-0000-0000-00001A930000}"/>
    <cellStyle name="Percent 3 3 2 4" xfId="600" xr:uid="{00000000-0005-0000-0000-00001B930000}"/>
    <cellStyle name="Percent 3 3 2 4 2" xfId="1347" xr:uid="{00000000-0005-0000-0000-00001C930000}"/>
    <cellStyle name="Percent 3 3 2 4 2 2" xfId="2841" xr:uid="{00000000-0005-0000-0000-00001D930000}"/>
    <cellStyle name="Percent 3 3 2 4 2 2 2" xfId="7323" xr:uid="{00000000-0005-0000-0000-00001E930000}"/>
    <cellStyle name="Percent 3 3 2 4 2 2 2 2" xfId="16353" xr:uid="{00000000-0005-0000-0000-00001F930000}"/>
    <cellStyle name="Percent 3 3 2 4 2 2 2 2 2" xfId="36405" xr:uid="{00000000-0005-0000-0000-000020930000}"/>
    <cellStyle name="Percent 3 3 2 4 2 2 2 3" xfId="27375" xr:uid="{00000000-0005-0000-0000-000021930000}"/>
    <cellStyle name="Percent 3 3 2 4 2 2 3" xfId="11871" xr:uid="{00000000-0005-0000-0000-000022930000}"/>
    <cellStyle name="Percent 3 3 2 4 2 2 3 2" xfId="31923" xr:uid="{00000000-0005-0000-0000-000023930000}"/>
    <cellStyle name="Percent 3 3 2 4 2 2 4" xfId="22893" xr:uid="{00000000-0005-0000-0000-000024930000}"/>
    <cellStyle name="Percent 3 3 2 4 2 3" xfId="4335" xr:uid="{00000000-0005-0000-0000-000025930000}"/>
    <cellStyle name="Percent 3 3 2 4 2 3 2" xfId="8817" xr:uid="{00000000-0005-0000-0000-000026930000}"/>
    <cellStyle name="Percent 3 3 2 4 2 3 2 2" xfId="17847" xr:uid="{00000000-0005-0000-0000-000027930000}"/>
    <cellStyle name="Percent 3 3 2 4 2 3 2 2 2" xfId="37899" xr:uid="{00000000-0005-0000-0000-000028930000}"/>
    <cellStyle name="Percent 3 3 2 4 2 3 2 3" xfId="28869" xr:uid="{00000000-0005-0000-0000-000029930000}"/>
    <cellStyle name="Percent 3 3 2 4 2 3 3" xfId="13365" xr:uid="{00000000-0005-0000-0000-00002A930000}"/>
    <cellStyle name="Percent 3 3 2 4 2 3 3 2" xfId="33417" xr:uid="{00000000-0005-0000-0000-00002B930000}"/>
    <cellStyle name="Percent 3 3 2 4 2 3 4" xfId="24387" xr:uid="{00000000-0005-0000-0000-00002C930000}"/>
    <cellStyle name="Percent 3 3 2 4 2 4" xfId="5829" xr:uid="{00000000-0005-0000-0000-00002D930000}"/>
    <cellStyle name="Percent 3 3 2 4 2 4 2" xfId="14859" xr:uid="{00000000-0005-0000-0000-00002E930000}"/>
    <cellStyle name="Percent 3 3 2 4 2 4 2 2" xfId="34911" xr:uid="{00000000-0005-0000-0000-00002F930000}"/>
    <cellStyle name="Percent 3 3 2 4 2 4 3" xfId="25881" xr:uid="{00000000-0005-0000-0000-000030930000}"/>
    <cellStyle name="Percent 3 3 2 4 2 5" xfId="10377" xr:uid="{00000000-0005-0000-0000-000031930000}"/>
    <cellStyle name="Percent 3 3 2 4 2 5 2" xfId="30429" xr:uid="{00000000-0005-0000-0000-000032930000}"/>
    <cellStyle name="Percent 3 3 2 4 2 6" xfId="21399" xr:uid="{00000000-0005-0000-0000-000033930000}"/>
    <cellStyle name="Percent 3 3 2 4 3" xfId="2094" xr:uid="{00000000-0005-0000-0000-000034930000}"/>
    <cellStyle name="Percent 3 3 2 4 3 2" xfId="6576" xr:uid="{00000000-0005-0000-0000-000035930000}"/>
    <cellStyle name="Percent 3 3 2 4 3 2 2" xfId="15606" xr:uid="{00000000-0005-0000-0000-000036930000}"/>
    <cellStyle name="Percent 3 3 2 4 3 2 2 2" xfId="35658" xr:uid="{00000000-0005-0000-0000-000037930000}"/>
    <cellStyle name="Percent 3 3 2 4 3 2 3" xfId="26628" xr:uid="{00000000-0005-0000-0000-000038930000}"/>
    <cellStyle name="Percent 3 3 2 4 3 3" xfId="11124" xr:uid="{00000000-0005-0000-0000-000039930000}"/>
    <cellStyle name="Percent 3 3 2 4 3 3 2" xfId="31176" xr:uid="{00000000-0005-0000-0000-00003A930000}"/>
    <cellStyle name="Percent 3 3 2 4 3 4" xfId="22146" xr:uid="{00000000-0005-0000-0000-00003B930000}"/>
    <cellStyle name="Percent 3 3 2 4 4" xfId="3588" xr:uid="{00000000-0005-0000-0000-00003C930000}"/>
    <cellStyle name="Percent 3 3 2 4 4 2" xfId="8070" xr:uid="{00000000-0005-0000-0000-00003D930000}"/>
    <cellStyle name="Percent 3 3 2 4 4 2 2" xfId="17100" xr:uid="{00000000-0005-0000-0000-00003E930000}"/>
    <cellStyle name="Percent 3 3 2 4 4 2 2 2" xfId="37152" xr:uid="{00000000-0005-0000-0000-00003F930000}"/>
    <cellStyle name="Percent 3 3 2 4 4 2 3" xfId="28122" xr:uid="{00000000-0005-0000-0000-000040930000}"/>
    <cellStyle name="Percent 3 3 2 4 4 3" xfId="12618" xr:uid="{00000000-0005-0000-0000-000041930000}"/>
    <cellStyle name="Percent 3 3 2 4 4 3 2" xfId="32670" xr:uid="{00000000-0005-0000-0000-000042930000}"/>
    <cellStyle name="Percent 3 3 2 4 4 4" xfId="23640" xr:uid="{00000000-0005-0000-0000-000043930000}"/>
    <cellStyle name="Percent 3 3 2 4 5" xfId="5082" xr:uid="{00000000-0005-0000-0000-000044930000}"/>
    <cellStyle name="Percent 3 3 2 4 5 2" xfId="14112" xr:uid="{00000000-0005-0000-0000-000045930000}"/>
    <cellStyle name="Percent 3 3 2 4 5 2 2" xfId="34164" xr:uid="{00000000-0005-0000-0000-000046930000}"/>
    <cellStyle name="Percent 3 3 2 4 5 3" xfId="25134" xr:uid="{00000000-0005-0000-0000-000047930000}"/>
    <cellStyle name="Percent 3 3 2 4 6" xfId="9630" xr:uid="{00000000-0005-0000-0000-000048930000}"/>
    <cellStyle name="Percent 3 3 2 4 6 2" xfId="29682" xr:uid="{00000000-0005-0000-0000-000049930000}"/>
    <cellStyle name="Percent 3 3 2 4 7" xfId="20652" xr:uid="{00000000-0005-0000-0000-00004A930000}"/>
    <cellStyle name="Percent 3 3 2 5" xfId="787" xr:uid="{00000000-0005-0000-0000-00004B930000}"/>
    <cellStyle name="Percent 3 3 2 5 2" xfId="2281" xr:uid="{00000000-0005-0000-0000-00004C930000}"/>
    <cellStyle name="Percent 3 3 2 5 2 2" xfId="6763" xr:uid="{00000000-0005-0000-0000-00004D930000}"/>
    <cellStyle name="Percent 3 3 2 5 2 2 2" xfId="15793" xr:uid="{00000000-0005-0000-0000-00004E930000}"/>
    <cellStyle name="Percent 3 3 2 5 2 2 2 2" xfId="35845" xr:uid="{00000000-0005-0000-0000-00004F930000}"/>
    <cellStyle name="Percent 3 3 2 5 2 2 3" xfId="26815" xr:uid="{00000000-0005-0000-0000-000050930000}"/>
    <cellStyle name="Percent 3 3 2 5 2 3" xfId="11311" xr:uid="{00000000-0005-0000-0000-000051930000}"/>
    <cellStyle name="Percent 3 3 2 5 2 3 2" xfId="31363" xr:uid="{00000000-0005-0000-0000-000052930000}"/>
    <cellStyle name="Percent 3 3 2 5 2 4" xfId="22333" xr:uid="{00000000-0005-0000-0000-000053930000}"/>
    <cellStyle name="Percent 3 3 2 5 3" xfId="3775" xr:uid="{00000000-0005-0000-0000-000054930000}"/>
    <cellStyle name="Percent 3 3 2 5 3 2" xfId="8257" xr:uid="{00000000-0005-0000-0000-000055930000}"/>
    <cellStyle name="Percent 3 3 2 5 3 2 2" xfId="17287" xr:uid="{00000000-0005-0000-0000-000056930000}"/>
    <cellStyle name="Percent 3 3 2 5 3 2 2 2" xfId="37339" xr:uid="{00000000-0005-0000-0000-000057930000}"/>
    <cellStyle name="Percent 3 3 2 5 3 2 3" xfId="28309" xr:uid="{00000000-0005-0000-0000-000058930000}"/>
    <cellStyle name="Percent 3 3 2 5 3 3" xfId="12805" xr:uid="{00000000-0005-0000-0000-000059930000}"/>
    <cellStyle name="Percent 3 3 2 5 3 3 2" xfId="32857" xr:uid="{00000000-0005-0000-0000-00005A930000}"/>
    <cellStyle name="Percent 3 3 2 5 3 4" xfId="23827" xr:uid="{00000000-0005-0000-0000-00005B930000}"/>
    <cellStyle name="Percent 3 3 2 5 4" xfId="5269" xr:uid="{00000000-0005-0000-0000-00005C930000}"/>
    <cellStyle name="Percent 3 3 2 5 4 2" xfId="14299" xr:uid="{00000000-0005-0000-0000-00005D930000}"/>
    <cellStyle name="Percent 3 3 2 5 4 2 2" xfId="34351" xr:uid="{00000000-0005-0000-0000-00005E930000}"/>
    <cellStyle name="Percent 3 3 2 5 4 3" xfId="25321" xr:uid="{00000000-0005-0000-0000-00005F930000}"/>
    <cellStyle name="Percent 3 3 2 5 5" xfId="9817" xr:uid="{00000000-0005-0000-0000-000060930000}"/>
    <cellStyle name="Percent 3 3 2 5 5 2" xfId="29869" xr:uid="{00000000-0005-0000-0000-000061930000}"/>
    <cellStyle name="Percent 3 3 2 5 6" xfId="20839" xr:uid="{00000000-0005-0000-0000-000062930000}"/>
    <cellStyle name="Percent 3 3 2 6" xfId="1536" xr:uid="{00000000-0005-0000-0000-000063930000}"/>
    <cellStyle name="Percent 3 3 2 6 2" xfId="6018" xr:uid="{00000000-0005-0000-0000-000064930000}"/>
    <cellStyle name="Percent 3 3 2 6 2 2" xfId="15048" xr:uid="{00000000-0005-0000-0000-000065930000}"/>
    <cellStyle name="Percent 3 3 2 6 2 2 2" xfId="35100" xr:uid="{00000000-0005-0000-0000-000066930000}"/>
    <cellStyle name="Percent 3 3 2 6 2 3" xfId="26070" xr:uid="{00000000-0005-0000-0000-000067930000}"/>
    <cellStyle name="Percent 3 3 2 6 3" xfId="10566" xr:uid="{00000000-0005-0000-0000-000068930000}"/>
    <cellStyle name="Percent 3 3 2 6 3 2" xfId="30618" xr:uid="{00000000-0005-0000-0000-000069930000}"/>
    <cellStyle name="Percent 3 3 2 6 4" xfId="21588" xr:uid="{00000000-0005-0000-0000-00006A930000}"/>
    <cellStyle name="Percent 3 3 2 7" xfId="3030" xr:uid="{00000000-0005-0000-0000-00006B930000}"/>
    <cellStyle name="Percent 3 3 2 7 2" xfId="7512" xr:uid="{00000000-0005-0000-0000-00006C930000}"/>
    <cellStyle name="Percent 3 3 2 7 2 2" xfId="16542" xr:uid="{00000000-0005-0000-0000-00006D930000}"/>
    <cellStyle name="Percent 3 3 2 7 2 2 2" xfId="36594" xr:uid="{00000000-0005-0000-0000-00006E930000}"/>
    <cellStyle name="Percent 3 3 2 7 2 3" xfId="27564" xr:uid="{00000000-0005-0000-0000-00006F930000}"/>
    <cellStyle name="Percent 3 3 2 7 3" xfId="12060" xr:uid="{00000000-0005-0000-0000-000070930000}"/>
    <cellStyle name="Percent 3 3 2 7 3 2" xfId="32112" xr:uid="{00000000-0005-0000-0000-000071930000}"/>
    <cellStyle name="Percent 3 3 2 7 4" xfId="23082" xr:uid="{00000000-0005-0000-0000-000072930000}"/>
    <cellStyle name="Percent 3 3 2 8" xfId="4524" xr:uid="{00000000-0005-0000-0000-000073930000}"/>
    <cellStyle name="Percent 3 3 2 8 2" xfId="13554" xr:uid="{00000000-0005-0000-0000-000074930000}"/>
    <cellStyle name="Percent 3 3 2 8 2 2" xfId="33606" xr:uid="{00000000-0005-0000-0000-000075930000}"/>
    <cellStyle name="Percent 3 3 2 8 3" xfId="24576" xr:uid="{00000000-0005-0000-0000-000076930000}"/>
    <cellStyle name="Percent 3 3 2 9" xfId="9072" xr:uid="{00000000-0005-0000-0000-000077930000}"/>
    <cellStyle name="Percent 3 3 2 9 2" xfId="29124" xr:uid="{00000000-0005-0000-0000-000078930000}"/>
    <cellStyle name="Percent 3 3 3" xfId="65" xr:uid="{00000000-0005-0000-0000-000079930000}"/>
    <cellStyle name="Percent 3 3 3 10" xfId="20117" xr:uid="{00000000-0005-0000-0000-00007A930000}"/>
    <cellStyle name="Percent 3 3 3 2" xfId="251" xr:uid="{00000000-0005-0000-0000-00007B930000}"/>
    <cellStyle name="Percent 3 3 3 2 2" xfId="996" xr:uid="{00000000-0005-0000-0000-00007C930000}"/>
    <cellStyle name="Percent 3 3 3 2 2 2" xfId="2490" xr:uid="{00000000-0005-0000-0000-00007D930000}"/>
    <cellStyle name="Percent 3 3 3 2 2 2 2" xfId="6972" xr:uid="{00000000-0005-0000-0000-00007E930000}"/>
    <cellStyle name="Percent 3 3 3 2 2 2 2 2" xfId="16002" xr:uid="{00000000-0005-0000-0000-00007F930000}"/>
    <cellStyle name="Percent 3 3 3 2 2 2 2 2 2" xfId="36054" xr:uid="{00000000-0005-0000-0000-000080930000}"/>
    <cellStyle name="Percent 3 3 3 2 2 2 2 3" xfId="27024" xr:uid="{00000000-0005-0000-0000-000081930000}"/>
    <cellStyle name="Percent 3 3 3 2 2 2 3" xfId="11520" xr:uid="{00000000-0005-0000-0000-000082930000}"/>
    <cellStyle name="Percent 3 3 3 2 2 2 3 2" xfId="31572" xr:uid="{00000000-0005-0000-0000-000083930000}"/>
    <cellStyle name="Percent 3 3 3 2 2 2 4" xfId="22542" xr:uid="{00000000-0005-0000-0000-000084930000}"/>
    <cellStyle name="Percent 3 3 3 2 2 3" xfId="3984" xr:uid="{00000000-0005-0000-0000-000085930000}"/>
    <cellStyle name="Percent 3 3 3 2 2 3 2" xfId="8466" xr:uid="{00000000-0005-0000-0000-000086930000}"/>
    <cellStyle name="Percent 3 3 3 2 2 3 2 2" xfId="17496" xr:uid="{00000000-0005-0000-0000-000087930000}"/>
    <cellStyle name="Percent 3 3 3 2 2 3 2 2 2" xfId="37548" xr:uid="{00000000-0005-0000-0000-000088930000}"/>
    <cellStyle name="Percent 3 3 3 2 2 3 2 3" xfId="28518" xr:uid="{00000000-0005-0000-0000-000089930000}"/>
    <cellStyle name="Percent 3 3 3 2 2 3 3" xfId="13014" xr:uid="{00000000-0005-0000-0000-00008A930000}"/>
    <cellStyle name="Percent 3 3 3 2 2 3 3 2" xfId="33066" xr:uid="{00000000-0005-0000-0000-00008B930000}"/>
    <cellStyle name="Percent 3 3 3 2 2 3 4" xfId="24036" xr:uid="{00000000-0005-0000-0000-00008C930000}"/>
    <cellStyle name="Percent 3 3 3 2 2 4" xfId="5478" xr:uid="{00000000-0005-0000-0000-00008D930000}"/>
    <cellStyle name="Percent 3 3 3 2 2 4 2" xfId="14508" xr:uid="{00000000-0005-0000-0000-00008E930000}"/>
    <cellStyle name="Percent 3 3 3 2 2 4 2 2" xfId="34560" xr:uid="{00000000-0005-0000-0000-00008F930000}"/>
    <cellStyle name="Percent 3 3 3 2 2 4 3" xfId="25530" xr:uid="{00000000-0005-0000-0000-000090930000}"/>
    <cellStyle name="Percent 3 3 3 2 2 5" xfId="10026" xr:uid="{00000000-0005-0000-0000-000091930000}"/>
    <cellStyle name="Percent 3 3 3 2 2 5 2" xfId="30078" xr:uid="{00000000-0005-0000-0000-000092930000}"/>
    <cellStyle name="Percent 3 3 3 2 2 6" xfId="21048" xr:uid="{00000000-0005-0000-0000-000093930000}"/>
    <cellStyle name="Percent 3 3 3 2 3" xfId="1745" xr:uid="{00000000-0005-0000-0000-000094930000}"/>
    <cellStyle name="Percent 3 3 3 2 3 2" xfId="6227" xr:uid="{00000000-0005-0000-0000-000095930000}"/>
    <cellStyle name="Percent 3 3 3 2 3 2 2" xfId="15257" xr:uid="{00000000-0005-0000-0000-000096930000}"/>
    <cellStyle name="Percent 3 3 3 2 3 2 2 2" xfId="35309" xr:uid="{00000000-0005-0000-0000-000097930000}"/>
    <cellStyle name="Percent 3 3 3 2 3 2 3" xfId="26279" xr:uid="{00000000-0005-0000-0000-000098930000}"/>
    <cellStyle name="Percent 3 3 3 2 3 3" xfId="10775" xr:uid="{00000000-0005-0000-0000-000099930000}"/>
    <cellStyle name="Percent 3 3 3 2 3 3 2" xfId="30827" xr:uid="{00000000-0005-0000-0000-00009A930000}"/>
    <cellStyle name="Percent 3 3 3 2 3 4" xfId="21797" xr:uid="{00000000-0005-0000-0000-00009B930000}"/>
    <cellStyle name="Percent 3 3 3 2 4" xfId="3239" xr:uid="{00000000-0005-0000-0000-00009C930000}"/>
    <cellStyle name="Percent 3 3 3 2 4 2" xfId="7721" xr:uid="{00000000-0005-0000-0000-00009D930000}"/>
    <cellStyle name="Percent 3 3 3 2 4 2 2" xfId="16751" xr:uid="{00000000-0005-0000-0000-00009E930000}"/>
    <cellStyle name="Percent 3 3 3 2 4 2 2 2" xfId="36803" xr:uid="{00000000-0005-0000-0000-00009F930000}"/>
    <cellStyle name="Percent 3 3 3 2 4 2 3" xfId="27773" xr:uid="{00000000-0005-0000-0000-0000A0930000}"/>
    <cellStyle name="Percent 3 3 3 2 4 3" xfId="12269" xr:uid="{00000000-0005-0000-0000-0000A1930000}"/>
    <cellStyle name="Percent 3 3 3 2 4 3 2" xfId="32321" xr:uid="{00000000-0005-0000-0000-0000A2930000}"/>
    <cellStyle name="Percent 3 3 3 2 4 4" xfId="23291" xr:uid="{00000000-0005-0000-0000-0000A3930000}"/>
    <cellStyle name="Percent 3 3 3 2 5" xfId="4733" xr:uid="{00000000-0005-0000-0000-0000A4930000}"/>
    <cellStyle name="Percent 3 3 3 2 5 2" xfId="13763" xr:uid="{00000000-0005-0000-0000-0000A5930000}"/>
    <cellStyle name="Percent 3 3 3 2 5 2 2" xfId="33815" xr:uid="{00000000-0005-0000-0000-0000A6930000}"/>
    <cellStyle name="Percent 3 3 3 2 5 3" xfId="24785" xr:uid="{00000000-0005-0000-0000-0000A7930000}"/>
    <cellStyle name="Percent 3 3 3 2 6" xfId="9281" xr:uid="{00000000-0005-0000-0000-0000A8930000}"/>
    <cellStyle name="Percent 3 3 3 2 6 2" xfId="29333" xr:uid="{00000000-0005-0000-0000-0000A9930000}"/>
    <cellStyle name="Percent 3 3 3 2 7" xfId="20303" xr:uid="{00000000-0005-0000-0000-0000AA930000}"/>
    <cellStyle name="Percent 3 3 3 3" xfId="437" xr:uid="{00000000-0005-0000-0000-0000AB930000}"/>
    <cellStyle name="Percent 3 3 3 3 2" xfId="1184" xr:uid="{00000000-0005-0000-0000-0000AC930000}"/>
    <cellStyle name="Percent 3 3 3 3 2 2" xfId="2678" xr:uid="{00000000-0005-0000-0000-0000AD930000}"/>
    <cellStyle name="Percent 3 3 3 3 2 2 2" xfId="7160" xr:uid="{00000000-0005-0000-0000-0000AE930000}"/>
    <cellStyle name="Percent 3 3 3 3 2 2 2 2" xfId="16190" xr:uid="{00000000-0005-0000-0000-0000AF930000}"/>
    <cellStyle name="Percent 3 3 3 3 2 2 2 2 2" xfId="36242" xr:uid="{00000000-0005-0000-0000-0000B0930000}"/>
    <cellStyle name="Percent 3 3 3 3 2 2 2 3" xfId="27212" xr:uid="{00000000-0005-0000-0000-0000B1930000}"/>
    <cellStyle name="Percent 3 3 3 3 2 2 3" xfId="11708" xr:uid="{00000000-0005-0000-0000-0000B2930000}"/>
    <cellStyle name="Percent 3 3 3 3 2 2 3 2" xfId="31760" xr:uid="{00000000-0005-0000-0000-0000B3930000}"/>
    <cellStyle name="Percent 3 3 3 3 2 2 4" xfId="22730" xr:uid="{00000000-0005-0000-0000-0000B4930000}"/>
    <cellStyle name="Percent 3 3 3 3 2 3" xfId="4172" xr:uid="{00000000-0005-0000-0000-0000B5930000}"/>
    <cellStyle name="Percent 3 3 3 3 2 3 2" xfId="8654" xr:uid="{00000000-0005-0000-0000-0000B6930000}"/>
    <cellStyle name="Percent 3 3 3 3 2 3 2 2" xfId="17684" xr:uid="{00000000-0005-0000-0000-0000B7930000}"/>
    <cellStyle name="Percent 3 3 3 3 2 3 2 2 2" xfId="37736" xr:uid="{00000000-0005-0000-0000-0000B8930000}"/>
    <cellStyle name="Percent 3 3 3 3 2 3 2 3" xfId="28706" xr:uid="{00000000-0005-0000-0000-0000B9930000}"/>
    <cellStyle name="Percent 3 3 3 3 2 3 3" xfId="13202" xr:uid="{00000000-0005-0000-0000-0000BA930000}"/>
    <cellStyle name="Percent 3 3 3 3 2 3 3 2" xfId="33254" xr:uid="{00000000-0005-0000-0000-0000BB930000}"/>
    <cellStyle name="Percent 3 3 3 3 2 3 4" xfId="24224" xr:uid="{00000000-0005-0000-0000-0000BC930000}"/>
    <cellStyle name="Percent 3 3 3 3 2 4" xfId="5666" xr:uid="{00000000-0005-0000-0000-0000BD930000}"/>
    <cellStyle name="Percent 3 3 3 3 2 4 2" xfId="14696" xr:uid="{00000000-0005-0000-0000-0000BE930000}"/>
    <cellStyle name="Percent 3 3 3 3 2 4 2 2" xfId="34748" xr:uid="{00000000-0005-0000-0000-0000BF930000}"/>
    <cellStyle name="Percent 3 3 3 3 2 4 3" xfId="25718" xr:uid="{00000000-0005-0000-0000-0000C0930000}"/>
    <cellStyle name="Percent 3 3 3 3 2 5" xfId="10214" xr:uid="{00000000-0005-0000-0000-0000C1930000}"/>
    <cellStyle name="Percent 3 3 3 3 2 5 2" xfId="30266" xr:uid="{00000000-0005-0000-0000-0000C2930000}"/>
    <cellStyle name="Percent 3 3 3 3 2 6" xfId="21236" xr:uid="{00000000-0005-0000-0000-0000C3930000}"/>
    <cellStyle name="Percent 3 3 3 3 3" xfId="1931" xr:uid="{00000000-0005-0000-0000-0000C4930000}"/>
    <cellStyle name="Percent 3 3 3 3 3 2" xfId="6413" xr:uid="{00000000-0005-0000-0000-0000C5930000}"/>
    <cellStyle name="Percent 3 3 3 3 3 2 2" xfId="15443" xr:uid="{00000000-0005-0000-0000-0000C6930000}"/>
    <cellStyle name="Percent 3 3 3 3 3 2 2 2" xfId="35495" xr:uid="{00000000-0005-0000-0000-0000C7930000}"/>
    <cellStyle name="Percent 3 3 3 3 3 2 3" xfId="26465" xr:uid="{00000000-0005-0000-0000-0000C8930000}"/>
    <cellStyle name="Percent 3 3 3 3 3 3" xfId="10961" xr:uid="{00000000-0005-0000-0000-0000C9930000}"/>
    <cellStyle name="Percent 3 3 3 3 3 3 2" xfId="31013" xr:uid="{00000000-0005-0000-0000-0000CA930000}"/>
    <cellStyle name="Percent 3 3 3 3 3 4" xfId="21983" xr:uid="{00000000-0005-0000-0000-0000CB930000}"/>
    <cellStyle name="Percent 3 3 3 3 4" xfId="3425" xr:uid="{00000000-0005-0000-0000-0000CC930000}"/>
    <cellStyle name="Percent 3 3 3 3 4 2" xfId="7907" xr:uid="{00000000-0005-0000-0000-0000CD930000}"/>
    <cellStyle name="Percent 3 3 3 3 4 2 2" xfId="16937" xr:uid="{00000000-0005-0000-0000-0000CE930000}"/>
    <cellStyle name="Percent 3 3 3 3 4 2 2 2" xfId="36989" xr:uid="{00000000-0005-0000-0000-0000CF930000}"/>
    <cellStyle name="Percent 3 3 3 3 4 2 3" xfId="27959" xr:uid="{00000000-0005-0000-0000-0000D0930000}"/>
    <cellStyle name="Percent 3 3 3 3 4 3" xfId="12455" xr:uid="{00000000-0005-0000-0000-0000D1930000}"/>
    <cellStyle name="Percent 3 3 3 3 4 3 2" xfId="32507" xr:uid="{00000000-0005-0000-0000-0000D2930000}"/>
    <cellStyle name="Percent 3 3 3 3 4 4" xfId="23477" xr:uid="{00000000-0005-0000-0000-0000D3930000}"/>
    <cellStyle name="Percent 3 3 3 3 5" xfId="4919" xr:uid="{00000000-0005-0000-0000-0000D4930000}"/>
    <cellStyle name="Percent 3 3 3 3 5 2" xfId="13949" xr:uid="{00000000-0005-0000-0000-0000D5930000}"/>
    <cellStyle name="Percent 3 3 3 3 5 2 2" xfId="34001" xr:uid="{00000000-0005-0000-0000-0000D6930000}"/>
    <cellStyle name="Percent 3 3 3 3 5 3" xfId="24971" xr:uid="{00000000-0005-0000-0000-0000D7930000}"/>
    <cellStyle name="Percent 3 3 3 3 6" xfId="9467" xr:uid="{00000000-0005-0000-0000-0000D8930000}"/>
    <cellStyle name="Percent 3 3 3 3 6 2" xfId="29519" xr:uid="{00000000-0005-0000-0000-0000D9930000}"/>
    <cellStyle name="Percent 3 3 3 3 7" xfId="20489" xr:uid="{00000000-0005-0000-0000-0000DA930000}"/>
    <cellStyle name="Percent 3 3 3 4" xfId="623" xr:uid="{00000000-0005-0000-0000-0000DB930000}"/>
    <cellStyle name="Percent 3 3 3 4 2" xfId="1370" xr:uid="{00000000-0005-0000-0000-0000DC930000}"/>
    <cellStyle name="Percent 3 3 3 4 2 2" xfId="2864" xr:uid="{00000000-0005-0000-0000-0000DD930000}"/>
    <cellStyle name="Percent 3 3 3 4 2 2 2" xfId="7346" xr:uid="{00000000-0005-0000-0000-0000DE930000}"/>
    <cellStyle name="Percent 3 3 3 4 2 2 2 2" xfId="16376" xr:uid="{00000000-0005-0000-0000-0000DF930000}"/>
    <cellStyle name="Percent 3 3 3 4 2 2 2 2 2" xfId="36428" xr:uid="{00000000-0005-0000-0000-0000E0930000}"/>
    <cellStyle name="Percent 3 3 3 4 2 2 2 3" xfId="27398" xr:uid="{00000000-0005-0000-0000-0000E1930000}"/>
    <cellStyle name="Percent 3 3 3 4 2 2 3" xfId="11894" xr:uid="{00000000-0005-0000-0000-0000E2930000}"/>
    <cellStyle name="Percent 3 3 3 4 2 2 3 2" xfId="31946" xr:uid="{00000000-0005-0000-0000-0000E3930000}"/>
    <cellStyle name="Percent 3 3 3 4 2 2 4" xfId="22916" xr:uid="{00000000-0005-0000-0000-0000E4930000}"/>
    <cellStyle name="Percent 3 3 3 4 2 3" xfId="4358" xr:uid="{00000000-0005-0000-0000-0000E5930000}"/>
    <cellStyle name="Percent 3 3 3 4 2 3 2" xfId="8840" xr:uid="{00000000-0005-0000-0000-0000E6930000}"/>
    <cellStyle name="Percent 3 3 3 4 2 3 2 2" xfId="17870" xr:uid="{00000000-0005-0000-0000-0000E7930000}"/>
    <cellStyle name="Percent 3 3 3 4 2 3 2 2 2" xfId="37922" xr:uid="{00000000-0005-0000-0000-0000E8930000}"/>
    <cellStyle name="Percent 3 3 3 4 2 3 2 3" xfId="28892" xr:uid="{00000000-0005-0000-0000-0000E9930000}"/>
    <cellStyle name="Percent 3 3 3 4 2 3 3" xfId="13388" xr:uid="{00000000-0005-0000-0000-0000EA930000}"/>
    <cellStyle name="Percent 3 3 3 4 2 3 3 2" xfId="33440" xr:uid="{00000000-0005-0000-0000-0000EB930000}"/>
    <cellStyle name="Percent 3 3 3 4 2 3 4" xfId="24410" xr:uid="{00000000-0005-0000-0000-0000EC930000}"/>
    <cellStyle name="Percent 3 3 3 4 2 4" xfId="5852" xr:uid="{00000000-0005-0000-0000-0000ED930000}"/>
    <cellStyle name="Percent 3 3 3 4 2 4 2" xfId="14882" xr:uid="{00000000-0005-0000-0000-0000EE930000}"/>
    <cellStyle name="Percent 3 3 3 4 2 4 2 2" xfId="34934" xr:uid="{00000000-0005-0000-0000-0000EF930000}"/>
    <cellStyle name="Percent 3 3 3 4 2 4 3" xfId="25904" xr:uid="{00000000-0005-0000-0000-0000F0930000}"/>
    <cellStyle name="Percent 3 3 3 4 2 5" xfId="10400" xr:uid="{00000000-0005-0000-0000-0000F1930000}"/>
    <cellStyle name="Percent 3 3 3 4 2 5 2" xfId="30452" xr:uid="{00000000-0005-0000-0000-0000F2930000}"/>
    <cellStyle name="Percent 3 3 3 4 2 6" xfId="21422" xr:uid="{00000000-0005-0000-0000-0000F3930000}"/>
    <cellStyle name="Percent 3 3 3 4 3" xfId="2117" xr:uid="{00000000-0005-0000-0000-0000F4930000}"/>
    <cellStyle name="Percent 3 3 3 4 3 2" xfId="6599" xr:uid="{00000000-0005-0000-0000-0000F5930000}"/>
    <cellStyle name="Percent 3 3 3 4 3 2 2" xfId="15629" xr:uid="{00000000-0005-0000-0000-0000F6930000}"/>
    <cellStyle name="Percent 3 3 3 4 3 2 2 2" xfId="35681" xr:uid="{00000000-0005-0000-0000-0000F7930000}"/>
    <cellStyle name="Percent 3 3 3 4 3 2 3" xfId="26651" xr:uid="{00000000-0005-0000-0000-0000F8930000}"/>
    <cellStyle name="Percent 3 3 3 4 3 3" xfId="11147" xr:uid="{00000000-0005-0000-0000-0000F9930000}"/>
    <cellStyle name="Percent 3 3 3 4 3 3 2" xfId="31199" xr:uid="{00000000-0005-0000-0000-0000FA930000}"/>
    <cellStyle name="Percent 3 3 3 4 3 4" xfId="22169" xr:uid="{00000000-0005-0000-0000-0000FB930000}"/>
    <cellStyle name="Percent 3 3 3 4 4" xfId="3611" xr:uid="{00000000-0005-0000-0000-0000FC930000}"/>
    <cellStyle name="Percent 3 3 3 4 4 2" xfId="8093" xr:uid="{00000000-0005-0000-0000-0000FD930000}"/>
    <cellStyle name="Percent 3 3 3 4 4 2 2" xfId="17123" xr:uid="{00000000-0005-0000-0000-0000FE930000}"/>
    <cellStyle name="Percent 3 3 3 4 4 2 2 2" xfId="37175" xr:uid="{00000000-0005-0000-0000-0000FF930000}"/>
    <cellStyle name="Percent 3 3 3 4 4 2 3" xfId="28145" xr:uid="{00000000-0005-0000-0000-000000940000}"/>
    <cellStyle name="Percent 3 3 3 4 4 3" xfId="12641" xr:uid="{00000000-0005-0000-0000-000001940000}"/>
    <cellStyle name="Percent 3 3 3 4 4 3 2" xfId="32693" xr:uid="{00000000-0005-0000-0000-000002940000}"/>
    <cellStyle name="Percent 3 3 3 4 4 4" xfId="23663" xr:uid="{00000000-0005-0000-0000-000003940000}"/>
    <cellStyle name="Percent 3 3 3 4 5" xfId="5105" xr:uid="{00000000-0005-0000-0000-000004940000}"/>
    <cellStyle name="Percent 3 3 3 4 5 2" xfId="14135" xr:uid="{00000000-0005-0000-0000-000005940000}"/>
    <cellStyle name="Percent 3 3 3 4 5 2 2" xfId="34187" xr:uid="{00000000-0005-0000-0000-000006940000}"/>
    <cellStyle name="Percent 3 3 3 4 5 3" xfId="25157" xr:uid="{00000000-0005-0000-0000-000007940000}"/>
    <cellStyle name="Percent 3 3 3 4 6" xfId="9653" xr:uid="{00000000-0005-0000-0000-000008940000}"/>
    <cellStyle name="Percent 3 3 3 4 6 2" xfId="29705" xr:uid="{00000000-0005-0000-0000-000009940000}"/>
    <cellStyle name="Percent 3 3 3 4 7" xfId="20675" xr:uid="{00000000-0005-0000-0000-00000A940000}"/>
    <cellStyle name="Percent 3 3 3 5" xfId="810" xr:uid="{00000000-0005-0000-0000-00000B940000}"/>
    <cellStyle name="Percent 3 3 3 5 2" xfId="2304" xr:uid="{00000000-0005-0000-0000-00000C940000}"/>
    <cellStyle name="Percent 3 3 3 5 2 2" xfId="6786" xr:uid="{00000000-0005-0000-0000-00000D940000}"/>
    <cellStyle name="Percent 3 3 3 5 2 2 2" xfId="15816" xr:uid="{00000000-0005-0000-0000-00000E940000}"/>
    <cellStyle name="Percent 3 3 3 5 2 2 2 2" xfId="35868" xr:uid="{00000000-0005-0000-0000-00000F940000}"/>
    <cellStyle name="Percent 3 3 3 5 2 2 3" xfId="26838" xr:uid="{00000000-0005-0000-0000-000010940000}"/>
    <cellStyle name="Percent 3 3 3 5 2 3" xfId="11334" xr:uid="{00000000-0005-0000-0000-000011940000}"/>
    <cellStyle name="Percent 3 3 3 5 2 3 2" xfId="31386" xr:uid="{00000000-0005-0000-0000-000012940000}"/>
    <cellStyle name="Percent 3 3 3 5 2 4" xfId="22356" xr:uid="{00000000-0005-0000-0000-000013940000}"/>
    <cellStyle name="Percent 3 3 3 5 3" xfId="3798" xr:uid="{00000000-0005-0000-0000-000014940000}"/>
    <cellStyle name="Percent 3 3 3 5 3 2" xfId="8280" xr:uid="{00000000-0005-0000-0000-000015940000}"/>
    <cellStyle name="Percent 3 3 3 5 3 2 2" xfId="17310" xr:uid="{00000000-0005-0000-0000-000016940000}"/>
    <cellStyle name="Percent 3 3 3 5 3 2 2 2" xfId="37362" xr:uid="{00000000-0005-0000-0000-000017940000}"/>
    <cellStyle name="Percent 3 3 3 5 3 2 3" xfId="28332" xr:uid="{00000000-0005-0000-0000-000018940000}"/>
    <cellStyle name="Percent 3 3 3 5 3 3" xfId="12828" xr:uid="{00000000-0005-0000-0000-000019940000}"/>
    <cellStyle name="Percent 3 3 3 5 3 3 2" xfId="32880" xr:uid="{00000000-0005-0000-0000-00001A940000}"/>
    <cellStyle name="Percent 3 3 3 5 3 4" xfId="23850" xr:uid="{00000000-0005-0000-0000-00001B940000}"/>
    <cellStyle name="Percent 3 3 3 5 4" xfId="5292" xr:uid="{00000000-0005-0000-0000-00001C940000}"/>
    <cellStyle name="Percent 3 3 3 5 4 2" xfId="14322" xr:uid="{00000000-0005-0000-0000-00001D940000}"/>
    <cellStyle name="Percent 3 3 3 5 4 2 2" xfId="34374" xr:uid="{00000000-0005-0000-0000-00001E940000}"/>
    <cellStyle name="Percent 3 3 3 5 4 3" xfId="25344" xr:uid="{00000000-0005-0000-0000-00001F940000}"/>
    <cellStyle name="Percent 3 3 3 5 5" xfId="9840" xr:uid="{00000000-0005-0000-0000-000020940000}"/>
    <cellStyle name="Percent 3 3 3 5 5 2" xfId="29892" xr:uid="{00000000-0005-0000-0000-000021940000}"/>
    <cellStyle name="Percent 3 3 3 5 6" xfId="20862" xr:uid="{00000000-0005-0000-0000-000022940000}"/>
    <cellStyle name="Percent 3 3 3 6" xfId="1559" xr:uid="{00000000-0005-0000-0000-000023940000}"/>
    <cellStyle name="Percent 3 3 3 6 2" xfId="6041" xr:uid="{00000000-0005-0000-0000-000024940000}"/>
    <cellStyle name="Percent 3 3 3 6 2 2" xfId="15071" xr:uid="{00000000-0005-0000-0000-000025940000}"/>
    <cellStyle name="Percent 3 3 3 6 2 2 2" xfId="35123" xr:uid="{00000000-0005-0000-0000-000026940000}"/>
    <cellStyle name="Percent 3 3 3 6 2 3" xfId="26093" xr:uid="{00000000-0005-0000-0000-000027940000}"/>
    <cellStyle name="Percent 3 3 3 6 3" xfId="10589" xr:uid="{00000000-0005-0000-0000-000028940000}"/>
    <cellStyle name="Percent 3 3 3 6 3 2" xfId="30641" xr:uid="{00000000-0005-0000-0000-000029940000}"/>
    <cellStyle name="Percent 3 3 3 6 4" xfId="21611" xr:uid="{00000000-0005-0000-0000-00002A940000}"/>
    <cellStyle name="Percent 3 3 3 7" xfId="3053" xr:uid="{00000000-0005-0000-0000-00002B940000}"/>
    <cellStyle name="Percent 3 3 3 7 2" xfId="7535" xr:uid="{00000000-0005-0000-0000-00002C940000}"/>
    <cellStyle name="Percent 3 3 3 7 2 2" xfId="16565" xr:uid="{00000000-0005-0000-0000-00002D940000}"/>
    <cellStyle name="Percent 3 3 3 7 2 2 2" xfId="36617" xr:uid="{00000000-0005-0000-0000-00002E940000}"/>
    <cellStyle name="Percent 3 3 3 7 2 3" xfId="27587" xr:uid="{00000000-0005-0000-0000-00002F940000}"/>
    <cellStyle name="Percent 3 3 3 7 3" xfId="12083" xr:uid="{00000000-0005-0000-0000-000030940000}"/>
    <cellStyle name="Percent 3 3 3 7 3 2" xfId="32135" xr:uid="{00000000-0005-0000-0000-000031940000}"/>
    <cellStyle name="Percent 3 3 3 7 4" xfId="23105" xr:uid="{00000000-0005-0000-0000-000032940000}"/>
    <cellStyle name="Percent 3 3 3 8" xfId="4547" xr:uid="{00000000-0005-0000-0000-000033940000}"/>
    <cellStyle name="Percent 3 3 3 8 2" xfId="13577" xr:uid="{00000000-0005-0000-0000-000034940000}"/>
    <cellStyle name="Percent 3 3 3 8 2 2" xfId="33629" xr:uid="{00000000-0005-0000-0000-000035940000}"/>
    <cellStyle name="Percent 3 3 3 8 3" xfId="24599" xr:uid="{00000000-0005-0000-0000-000036940000}"/>
    <cellStyle name="Percent 3 3 3 9" xfId="9095" xr:uid="{00000000-0005-0000-0000-000037940000}"/>
    <cellStyle name="Percent 3 3 3 9 2" xfId="29147" xr:uid="{00000000-0005-0000-0000-000038940000}"/>
    <cellStyle name="Percent 3 3 4" xfId="89" xr:uid="{00000000-0005-0000-0000-000039940000}"/>
    <cellStyle name="Percent 3 3 4 10" xfId="20141" xr:uid="{00000000-0005-0000-0000-00003A940000}"/>
    <cellStyle name="Percent 3 3 4 2" xfId="275" xr:uid="{00000000-0005-0000-0000-00003B940000}"/>
    <cellStyle name="Percent 3 3 4 2 2" xfId="1019" xr:uid="{00000000-0005-0000-0000-00003C940000}"/>
    <cellStyle name="Percent 3 3 4 2 2 2" xfId="2513" xr:uid="{00000000-0005-0000-0000-00003D940000}"/>
    <cellStyle name="Percent 3 3 4 2 2 2 2" xfId="6995" xr:uid="{00000000-0005-0000-0000-00003E940000}"/>
    <cellStyle name="Percent 3 3 4 2 2 2 2 2" xfId="16025" xr:uid="{00000000-0005-0000-0000-00003F940000}"/>
    <cellStyle name="Percent 3 3 4 2 2 2 2 2 2" xfId="36077" xr:uid="{00000000-0005-0000-0000-000040940000}"/>
    <cellStyle name="Percent 3 3 4 2 2 2 2 3" xfId="27047" xr:uid="{00000000-0005-0000-0000-000041940000}"/>
    <cellStyle name="Percent 3 3 4 2 2 2 3" xfId="11543" xr:uid="{00000000-0005-0000-0000-000042940000}"/>
    <cellStyle name="Percent 3 3 4 2 2 2 3 2" xfId="31595" xr:uid="{00000000-0005-0000-0000-000043940000}"/>
    <cellStyle name="Percent 3 3 4 2 2 2 4" xfId="22565" xr:uid="{00000000-0005-0000-0000-000044940000}"/>
    <cellStyle name="Percent 3 3 4 2 2 3" xfId="4007" xr:uid="{00000000-0005-0000-0000-000045940000}"/>
    <cellStyle name="Percent 3 3 4 2 2 3 2" xfId="8489" xr:uid="{00000000-0005-0000-0000-000046940000}"/>
    <cellStyle name="Percent 3 3 4 2 2 3 2 2" xfId="17519" xr:uid="{00000000-0005-0000-0000-000047940000}"/>
    <cellStyle name="Percent 3 3 4 2 2 3 2 2 2" xfId="37571" xr:uid="{00000000-0005-0000-0000-000048940000}"/>
    <cellStyle name="Percent 3 3 4 2 2 3 2 3" xfId="28541" xr:uid="{00000000-0005-0000-0000-000049940000}"/>
    <cellStyle name="Percent 3 3 4 2 2 3 3" xfId="13037" xr:uid="{00000000-0005-0000-0000-00004A940000}"/>
    <cellStyle name="Percent 3 3 4 2 2 3 3 2" xfId="33089" xr:uid="{00000000-0005-0000-0000-00004B940000}"/>
    <cellStyle name="Percent 3 3 4 2 2 3 4" xfId="24059" xr:uid="{00000000-0005-0000-0000-00004C940000}"/>
    <cellStyle name="Percent 3 3 4 2 2 4" xfId="5501" xr:uid="{00000000-0005-0000-0000-00004D940000}"/>
    <cellStyle name="Percent 3 3 4 2 2 4 2" xfId="14531" xr:uid="{00000000-0005-0000-0000-00004E940000}"/>
    <cellStyle name="Percent 3 3 4 2 2 4 2 2" xfId="34583" xr:uid="{00000000-0005-0000-0000-00004F940000}"/>
    <cellStyle name="Percent 3 3 4 2 2 4 3" xfId="25553" xr:uid="{00000000-0005-0000-0000-000050940000}"/>
    <cellStyle name="Percent 3 3 4 2 2 5" xfId="10049" xr:uid="{00000000-0005-0000-0000-000051940000}"/>
    <cellStyle name="Percent 3 3 4 2 2 5 2" xfId="30101" xr:uid="{00000000-0005-0000-0000-000052940000}"/>
    <cellStyle name="Percent 3 3 4 2 2 6" xfId="21071" xr:uid="{00000000-0005-0000-0000-000053940000}"/>
    <cellStyle name="Percent 3 3 4 2 3" xfId="1769" xr:uid="{00000000-0005-0000-0000-000054940000}"/>
    <cellStyle name="Percent 3 3 4 2 3 2" xfId="6251" xr:uid="{00000000-0005-0000-0000-000055940000}"/>
    <cellStyle name="Percent 3 3 4 2 3 2 2" xfId="15281" xr:uid="{00000000-0005-0000-0000-000056940000}"/>
    <cellStyle name="Percent 3 3 4 2 3 2 2 2" xfId="35333" xr:uid="{00000000-0005-0000-0000-000057940000}"/>
    <cellStyle name="Percent 3 3 4 2 3 2 3" xfId="26303" xr:uid="{00000000-0005-0000-0000-000058940000}"/>
    <cellStyle name="Percent 3 3 4 2 3 3" xfId="10799" xr:uid="{00000000-0005-0000-0000-000059940000}"/>
    <cellStyle name="Percent 3 3 4 2 3 3 2" xfId="30851" xr:uid="{00000000-0005-0000-0000-00005A940000}"/>
    <cellStyle name="Percent 3 3 4 2 3 4" xfId="21821" xr:uid="{00000000-0005-0000-0000-00005B940000}"/>
    <cellStyle name="Percent 3 3 4 2 4" xfId="3263" xr:uid="{00000000-0005-0000-0000-00005C940000}"/>
    <cellStyle name="Percent 3 3 4 2 4 2" xfId="7745" xr:uid="{00000000-0005-0000-0000-00005D940000}"/>
    <cellStyle name="Percent 3 3 4 2 4 2 2" xfId="16775" xr:uid="{00000000-0005-0000-0000-00005E940000}"/>
    <cellStyle name="Percent 3 3 4 2 4 2 2 2" xfId="36827" xr:uid="{00000000-0005-0000-0000-00005F940000}"/>
    <cellStyle name="Percent 3 3 4 2 4 2 3" xfId="27797" xr:uid="{00000000-0005-0000-0000-000060940000}"/>
    <cellStyle name="Percent 3 3 4 2 4 3" xfId="12293" xr:uid="{00000000-0005-0000-0000-000061940000}"/>
    <cellStyle name="Percent 3 3 4 2 4 3 2" xfId="32345" xr:uid="{00000000-0005-0000-0000-000062940000}"/>
    <cellStyle name="Percent 3 3 4 2 4 4" xfId="23315" xr:uid="{00000000-0005-0000-0000-000063940000}"/>
    <cellStyle name="Percent 3 3 4 2 5" xfId="4757" xr:uid="{00000000-0005-0000-0000-000064940000}"/>
    <cellStyle name="Percent 3 3 4 2 5 2" xfId="13787" xr:uid="{00000000-0005-0000-0000-000065940000}"/>
    <cellStyle name="Percent 3 3 4 2 5 2 2" xfId="33839" xr:uid="{00000000-0005-0000-0000-000066940000}"/>
    <cellStyle name="Percent 3 3 4 2 5 3" xfId="24809" xr:uid="{00000000-0005-0000-0000-000067940000}"/>
    <cellStyle name="Percent 3 3 4 2 6" xfId="9305" xr:uid="{00000000-0005-0000-0000-000068940000}"/>
    <cellStyle name="Percent 3 3 4 2 6 2" xfId="29357" xr:uid="{00000000-0005-0000-0000-000069940000}"/>
    <cellStyle name="Percent 3 3 4 2 7" xfId="20327" xr:uid="{00000000-0005-0000-0000-00006A940000}"/>
    <cellStyle name="Percent 3 3 4 3" xfId="461" xr:uid="{00000000-0005-0000-0000-00006B940000}"/>
    <cellStyle name="Percent 3 3 4 3 2" xfId="1208" xr:uid="{00000000-0005-0000-0000-00006C940000}"/>
    <cellStyle name="Percent 3 3 4 3 2 2" xfId="2702" xr:uid="{00000000-0005-0000-0000-00006D940000}"/>
    <cellStyle name="Percent 3 3 4 3 2 2 2" xfId="7184" xr:uid="{00000000-0005-0000-0000-00006E940000}"/>
    <cellStyle name="Percent 3 3 4 3 2 2 2 2" xfId="16214" xr:uid="{00000000-0005-0000-0000-00006F940000}"/>
    <cellStyle name="Percent 3 3 4 3 2 2 2 2 2" xfId="36266" xr:uid="{00000000-0005-0000-0000-000070940000}"/>
    <cellStyle name="Percent 3 3 4 3 2 2 2 3" xfId="27236" xr:uid="{00000000-0005-0000-0000-000071940000}"/>
    <cellStyle name="Percent 3 3 4 3 2 2 3" xfId="11732" xr:uid="{00000000-0005-0000-0000-000072940000}"/>
    <cellStyle name="Percent 3 3 4 3 2 2 3 2" xfId="31784" xr:uid="{00000000-0005-0000-0000-000073940000}"/>
    <cellStyle name="Percent 3 3 4 3 2 2 4" xfId="22754" xr:uid="{00000000-0005-0000-0000-000074940000}"/>
    <cellStyle name="Percent 3 3 4 3 2 3" xfId="4196" xr:uid="{00000000-0005-0000-0000-000075940000}"/>
    <cellStyle name="Percent 3 3 4 3 2 3 2" xfId="8678" xr:uid="{00000000-0005-0000-0000-000076940000}"/>
    <cellStyle name="Percent 3 3 4 3 2 3 2 2" xfId="17708" xr:uid="{00000000-0005-0000-0000-000077940000}"/>
    <cellStyle name="Percent 3 3 4 3 2 3 2 2 2" xfId="37760" xr:uid="{00000000-0005-0000-0000-000078940000}"/>
    <cellStyle name="Percent 3 3 4 3 2 3 2 3" xfId="28730" xr:uid="{00000000-0005-0000-0000-000079940000}"/>
    <cellStyle name="Percent 3 3 4 3 2 3 3" xfId="13226" xr:uid="{00000000-0005-0000-0000-00007A940000}"/>
    <cellStyle name="Percent 3 3 4 3 2 3 3 2" xfId="33278" xr:uid="{00000000-0005-0000-0000-00007B940000}"/>
    <cellStyle name="Percent 3 3 4 3 2 3 4" xfId="24248" xr:uid="{00000000-0005-0000-0000-00007C940000}"/>
    <cellStyle name="Percent 3 3 4 3 2 4" xfId="5690" xr:uid="{00000000-0005-0000-0000-00007D940000}"/>
    <cellStyle name="Percent 3 3 4 3 2 4 2" xfId="14720" xr:uid="{00000000-0005-0000-0000-00007E940000}"/>
    <cellStyle name="Percent 3 3 4 3 2 4 2 2" xfId="34772" xr:uid="{00000000-0005-0000-0000-00007F940000}"/>
    <cellStyle name="Percent 3 3 4 3 2 4 3" xfId="25742" xr:uid="{00000000-0005-0000-0000-000080940000}"/>
    <cellStyle name="Percent 3 3 4 3 2 5" xfId="10238" xr:uid="{00000000-0005-0000-0000-000081940000}"/>
    <cellStyle name="Percent 3 3 4 3 2 5 2" xfId="30290" xr:uid="{00000000-0005-0000-0000-000082940000}"/>
    <cellStyle name="Percent 3 3 4 3 2 6" xfId="21260" xr:uid="{00000000-0005-0000-0000-000083940000}"/>
    <cellStyle name="Percent 3 3 4 3 3" xfId="1955" xr:uid="{00000000-0005-0000-0000-000084940000}"/>
    <cellStyle name="Percent 3 3 4 3 3 2" xfId="6437" xr:uid="{00000000-0005-0000-0000-000085940000}"/>
    <cellStyle name="Percent 3 3 4 3 3 2 2" xfId="15467" xr:uid="{00000000-0005-0000-0000-000086940000}"/>
    <cellStyle name="Percent 3 3 4 3 3 2 2 2" xfId="35519" xr:uid="{00000000-0005-0000-0000-000087940000}"/>
    <cellStyle name="Percent 3 3 4 3 3 2 3" xfId="26489" xr:uid="{00000000-0005-0000-0000-000088940000}"/>
    <cellStyle name="Percent 3 3 4 3 3 3" xfId="10985" xr:uid="{00000000-0005-0000-0000-000089940000}"/>
    <cellStyle name="Percent 3 3 4 3 3 3 2" xfId="31037" xr:uid="{00000000-0005-0000-0000-00008A940000}"/>
    <cellStyle name="Percent 3 3 4 3 3 4" xfId="22007" xr:uid="{00000000-0005-0000-0000-00008B940000}"/>
    <cellStyle name="Percent 3 3 4 3 4" xfId="3449" xr:uid="{00000000-0005-0000-0000-00008C940000}"/>
    <cellStyle name="Percent 3 3 4 3 4 2" xfId="7931" xr:uid="{00000000-0005-0000-0000-00008D940000}"/>
    <cellStyle name="Percent 3 3 4 3 4 2 2" xfId="16961" xr:uid="{00000000-0005-0000-0000-00008E940000}"/>
    <cellStyle name="Percent 3 3 4 3 4 2 2 2" xfId="37013" xr:uid="{00000000-0005-0000-0000-00008F940000}"/>
    <cellStyle name="Percent 3 3 4 3 4 2 3" xfId="27983" xr:uid="{00000000-0005-0000-0000-000090940000}"/>
    <cellStyle name="Percent 3 3 4 3 4 3" xfId="12479" xr:uid="{00000000-0005-0000-0000-000091940000}"/>
    <cellStyle name="Percent 3 3 4 3 4 3 2" xfId="32531" xr:uid="{00000000-0005-0000-0000-000092940000}"/>
    <cellStyle name="Percent 3 3 4 3 4 4" xfId="23501" xr:uid="{00000000-0005-0000-0000-000093940000}"/>
    <cellStyle name="Percent 3 3 4 3 5" xfId="4943" xr:uid="{00000000-0005-0000-0000-000094940000}"/>
    <cellStyle name="Percent 3 3 4 3 5 2" xfId="13973" xr:uid="{00000000-0005-0000-0000-000095940000}"/>
    <cellStyle name="Percent 3 3 4 3 5 2 2" xfId="34025" xr:uid="{00000000-0005-0000-0000-000096940000}"/>
    <cellStyle name="Percent 3 3 4 3 5 3" xfId="24995" xr:uid="{00000000-0005-0000-0000-000097940000}"/>
    <cellStyle name="Percent 3 3 4 3 6" xfId="9491" xr:uid="{00000000-0005-0000-0000-000098940000}"/>
    <cellStyle name="Percent 3 3 4 3 6 2" xfId="29543" xr:uid="{00000000-0005-0000-0000-000099940000}"/>
    <cellStyle name="Percent 3 3 4 3 7" xfId="20513" xr:uid="{00000000-0005-0000-0000-00009A940000}"/>
    <cellStyle name="Percent 3 3 4 4" xfId="647" xr:uid="{00000000-0005-0000-0000-00009B940000}"/>
    <cellStyle name="Percent 3 3 4 4 2" xfId="1394" xr:uid="{00000000-0005-0000-0000-00009C940000}"/>
    <cellStyle name="Percent 3 3 4 4 2 2" xfId="2888" xr:uid="{00000000-0005-0000-0000-00009D940000}"/>
    <cellStyle name="Percent 3 3 4 4 2 2 2" xfId="7370" xr:uid="{00000000-0005-0000-0000-00009E940000}"/>
    <cellStyle name="Percent 3 3 4 4 2 2 2 2" xfId="16400" xr:uid="{00000000-0005-0000-0000-00009F940000}"/>
    <cellStyle name="Percent 3 3 4 4 2 2 2 2 2" xfId="36452" xr:uid="{00000000-0005-0000-0000-0000A0940000}"/>
    <cellStyle name="Percent 3 3 4 4 2 2 2 3" xfId="27422" xr:uid="{00000000-0005-0000-0000-0000A1940000}"/>
    <cellStyle name="Percent 3 3 4 4 2 2 3" xfId="11918" xr:uid="{00000000-0005-0000-0000-0000A2940000}"/>
    <cellStyle name="Percent 3 3 4 4 2 2 3 2" xfId="31970" xr:uid="{00000000-0005-0000-0000-0000A3940000}"/>
    <cellStyle name="Percent 3 3 4 4 2 2 4" xfId="22940" xr:uid="{00000000-0005-0000-0000-0000A4940000}"/>
    <cellStyle name="Percent 3 3 4 4 2 3" xfId="4382" xr:uid="{00000000-0005-0000-0000-0000A5940000}"/>
    <cellStyle name="Percent 3 3 4 4 2 3 2" xfId="8864" xr:uid="{00000000-0005-0000-0000-0000A6940000}"/>
    <cellStyle name="Percent 3 3 4 4 2 3 2 2" xfId="17894" xr:uid="{00000000-0005-0000-0000-0000A7940000}"/>
    <cellStyle name="Percent 3 3 4 4 2 3 2 2 2" xfId="37946" xr:uid="{00000000-0005-0000-0000-0000A8940000}"/>
    <cellStyle name="Percent 3 3 4 4 2 3 2 3" xfId="28916" xr:uid="{00000000-0005-0000-0000-0000A9940000}"/>
    <cellStyle name="Percent 3 3 4 4 2 3 3" xfId="13412" xr:uid="{00000000-0005-0000-0000-0000AA940000}"/>
    <cellStyle name="Percent 3 3 4 4 2 3 3 2" xfId="33464" xr:uid="{00000000-0005-0000-0000-0000AB940000}"/>
    <cellStyle name="Percent 3 3 4 4 2 3 4" xfId="24434" xr:uid="{00000000-0005-0000-0000-0000AC940000}"/>
    <cellStyle name="Percent 3 3 4 4 2 4" xfId="5876" xr:uid="{00000000-0005-0000-0000-0000AD940000}"/>
    <cellStyle name="Percent 3 3 4 4 2 4 2" xfId="14906" xr:uid="{00000000-0005-0000-0000-0000AE940000}"/>
    <cellStyle name="Percent 3 3 4 4 2 4 2 2" xfId="34958" xr:uid="{00000000-0005-0000-0000-0000AF940000}"/>
    <cellStyle name="Percent 3 3 4 4 2 4 3" xfId="25928" xr:uid="{00000000-0005-0000-0000-0000B0940000}"/>
    <cellStyle name="Percent 3 3 4 4 2 5" xfId="10424" xr:uid="{00000000-0005-0000-0000-0000B1940000}"/>
    <cellStyle name="Percent 3 3 4 4 2 5 2" xfId="30476" xr:uid="{00000000-0005-0000-0000-0000B2940000}"/>
    <cellStyle name="Percent 3 3 4 4 2 6" xfId="21446" xr:uid="{00000000-0005-0000-0000-0000B3940000}"/>
    <cellStyle name="Percent 3 3 4 4 3" xfId="2141" xr:uid="{00000000-0005-0000-0000-0000B4940000}"/>
    <cellStyle name="Percent 3 3 4 4 3 2" xfId="6623" xr:uid="{00000000-0005-0000-0000-0000B5940000}"/>
    <cellStyle name="Percent 3 3 4 4 3 2 2" xfId="15653" xr:uid="{00000000-0005-0000-0000-0000B6940000}"/>
    <cellStyle name="Percent 3 3 4 4 3 2 2 2" xfId="35705" xr:uid="{00000000-0005-0000-0000-0000B7940000}"/>
    <cellStyle name="Percent 3 3 4 4 3 2 3" xfId="26675" xr:uid="{00000000-0005-0000-0000-0000B8940000}"/>
    <cellStyle name="Percent 3 3 4 4 3 3" xfId="11171" xr:uid="{00000000-0005-0000-0000-0000B9940000}"/>
    <cellStyle name="Percent 3 3 4 4 3 3 2" xfId="31223" xr:uid="{00000000-0005-0000-0000-0000BA940000}"/>
    <cellStyle name="Percent 3 3 4 4 3 4" xfId="22193" xr:uid="{00000000-0005-0000-0000-0000BB940000}"/>
    <cellStyle name="Percent 3 3 4 4 4" xfId="3635" xr:uid="{00000000-0005-0000-0000-0000BC940000}"/>
    <cellStyle name="Percent 3 3 4 4 4 2" xfId="8117" xr:uid="{00000000-0005-0000-0000-0000BD940000}"/>
    <cellStyle name="Percent 3 3 4 4 4 2 2" xfId="17147" xr:uid="{00000000-0005-0000-0000-0000BE940000}"/>
    <cellStyle name="Percent 3 3 4 4 4 2 2 2" xfId="37199" xr:uid="{00000000-0005-0000-0000-0000BF940000}"/>
    <cellStyle name="Percent 3 3 4 4 4 2 3" xfId="28169" xr:uid="{00000000-0005-0000-0000-0000C0940000}"/>
    <cellStyle name="Percent 3 3 4 4 4 3" xfId="12665" xr:uid="{00000000-0005-0000-0000-0000C1940000}"/>
    <cellStyle name="Percent 3 3 4 4 4 3 2" xfId="32717" xr:uid="{00000000-0005-0000-0000-0000C2940000}"/>
    <cellStyle name="Percent 3 3 4 4 4 4" xfId="23687" xr:uid="{00000000-0005-0000-0000-0000C3940000}"/>
    <cellStyle name="Percent 3 3 4 4 5" xfId="5129" xr:uid="{00000000-0005-0000-0000-0000C4940000}"/>
    <cellStyle name="Percent 3 3 4 4 5 2" xfId="14159" xr:uid="{00000000-0005-0000-0000-0000C5940000}"/>
    <cellStyle name="Percent 3 3 4 4 5 2 2" xfId="34211" xr:uid="{00000000-0005-0000-0000-0000C6940000}"/>
    <cellStyle name="Percent 3 3 4 4 5 3" xfId="25181" xr:uid="{00000000-0005-0000-0000-0000C7940000}"/>
    <cellStyle name="Percent 3 3 4 4 6" xfId="9677" xr:uid="{00000000-0005-0000-0000-0000C8940000}"/>
    <cellStyle name="Percent 3 3 4 4 6 2" xfId="29729" xr:uid="{00000000-0005-0000-0000-0000C9940000}"/>
    <cellStyle name="Percent 3 3 4 4 7" xfId="20699" xr:uid="{00000000-0005-0000-0000-0000CA940000}"/>
    <cellStyle name="Percent 3 3 4 5" xfId="834" xr:uid="{00000000-0005-0000-0000-0000CB940000}"/>
    <cellStyle name="Percent 3 3 4 5 2" xfId="2328" xr:uid="{00000000-0005-0000-0000-0000CC940000}"/>
    <cellStyle name="Percent 3 3 4 5 2 2" xfId="6810" xr:uid="{00000000-0005-0000-0000-0000CD940000}"/>
    <cellStyle name="Percent 3 3 4 5 2 2 2" xfId="15840" xr:uid="{00000000-0005-0000-0000-0000CE940000}"/>
    <cellStyle name="Percent 3 3 4 5 2 2 2 2" xfId="35892" xr:uid="{00000000-0005-0000-0000-0000CF940000}"/>
    <cellStyle name="Percent 3 3 4 5 2 2 3" xfId="26862" xr:uid="{00000000-0005-0000-0000-0000D0940000}"/>
    <cellStyle name="Percent 3 3 4 5 2 3" xfId="11358" xr:uid="{00000000-0005-0000-0000-0000D1940000}"/>
    <cellStyle name="Percent 3 3 4 5 2 3 2" xfId="31410" xr:uid="{00000000-0005-0000-0000-0000D2940000}"/>
    <cellStyle name="Percent 3 3 4 5 2 4" xfId="22380" xr:uid="{00000000-0005-0000-0000-0000D3940000}"/>
    <cellStyle name="Percent 3 3 4 5 3" xfId="3822" xr:uid="{00000000-0005-0000-0000-0000D4940000}"/>
    <cellStyle name="Percent 3 3 4 5 3 2" xfId="8304" xr:uid="{00000000-0005-0000-0000-0000D5940000}"/>
    <cellStyle name="Percent 3 3 4 5 3 2 2" xfId="17334" xr:uid="{00000000-0005-0000-0000-0000D6940000}"/>
    <cellStyle name="Percent 3 3 4 5 3 2 2 2" xfId="37386" xr:uid="{00000000-0005-0000-0000-0000D7940000}"/>
    <cellStyle name="Percent 3 3 4 5 3 2 3" xfId="28356" xr:uid="{00000000-0005-0000-0000-0000D8940000}"/>
    <cellStyle name="Percent 3 3 4 5 3 3" xfId="12852" xr:uid="{00000000-0005-0000-0000-0000D9940000}"/>
    <cellStyle name="Percent 3 3 4 5 3 3 2" xfId="32904" xr:uid="{00000000-0005-0000-0000-0000DA940000}"/>
    <cellStyle name="Percent 3 3 4 5 3 4" xfId="23874" xr:uid="{00000000-0005-0000-0000-0000DB940000}"/>
    <cellStyle name="Percent 3 3 4 5 4" xfId="5316" xr:uid="{00000000-0005-0000-0000-0000DC940000}"/>
    <cellStyle name="Percent 3 3 4 5 4 2" xfId="14346" xr:uid="{00000000-0005-0000-0000-0000DD940000}"/>
    <cellStyle name="Percent 3 3 4 5 4 2 2" xfId="34398" xr:uid="{00000000-0005-0000-0000-0000DE940000}"/>
    <cellStyle name="Percent 3 3 4 5 4 3" xfId="25368" xr:uid="{00000000-0005-0000-0000-0000DF940000}"/>
    <cellStyle name="Percent 3 3 4 5 5" xfId="9864" xr:uid="{00000000-0005-0000-0000-0000E0940000}"/>
    <cellStyle name="Percent 3 3 4 5 5 2" xfId="29916" xr:uid="{00000000-0005-0000-0000-0000E1940000}"/>
    <cellStyle name="Percent 3 3 4 5 6" xfId="20886" xr:uid="{00000000-0005-0000-0000-0000E2940000}"/>
    <cellStyle name="Percent 3 3 4 6" xfId="1583" xr:uid="{00000000-0005-0000-0000-0000E3940000}"/>
    <cellStyle name="Percent 3 3 4 6 2" xfId="6065" xr:uid="{00000000-0005-0000-0000-0000E4940000}"/>
    <cellStyle name="Percent 3 3 4 6 2 2" xfId="15095" xr:uid="{00000000-0005-0000-0000-0000E5940000}"/>
    <cellStyle name="Percent 3 3 4 6 2 2 2" xfId="35147" xr:uid="{00000000-0005-0000-0000-0000E6940000}"/>
    <cellStyle name="Percent 3 3 4 6 2 3" xfId="26117" xr:uid="{00000000-0005-0000-0000-0000E7940000}"/>
    <cellStyle name="Percent 3 3 4 6 3" xfId="10613" xr:uid="{00000000-0005-0000-0000-0000E8940000}"/>
    <cellStyle name="Percent 3 3 4 6 3 2" xfId="30665" xr:uid="{00000000-0005-0000-0000-0000E9940000}"/>
    <cellStyle name="Percent 3 3 4 6 4" xfId="21635" xr:uid="{00000000-0005-0000-0000-0000EA940000}"/>
    <cellStyle name="Percent 3 3 4 7" xfId="3077" xr:uid="{00000000-0005-0000-0000-0000EB940000}"/>
    <cellStyle name="Percent 3 3 4 7 2" xfId="7559" xr:uid="{00000000-0005-0000-0000-0000EC940000}"/>
    <cellStyle name="Percent 3 3 4 7 2 2" xfId="16589" xr:uid="{00000000-0005-0000-0000-0000ED940000}"/>
    <cellStyle name="Percent 3 3 4 7 2 2 2" xfId="36641" xr:uid="{00000000-0005-0000-0000-0000EE940000}"/>
    <cellStyle name="Percent 3 3 4 7 2 3" xfId="27611" xr:uid="{00000000-0005-0000-0000-0000EF940000}"/>
    <cellStyle name="Percent 3 3 4 7 3" xfId="12107" xr:uid="{00000000-0005-0000-0000-0000F0940000}"/>
    <cellStyle name="Percent 3 3 4 7 3 2" xfId="32159" xr:uid="{00000000-0005-0000-0000-0000F1940000}"/>
    <cellStyle name="Percent 3 3 4 7 4" xfId="23129" xr:uid="{00000000-0005-0000-0000-0000F2940000}"/>
    <cellStyle name="Percent 3 3 4 8" xfId="4571" xr:uid="{00000000-0005-0000-0000-0000F3940000}"/>
    <cellStyle name="Percent 3 3 4 8 2" xfId="13601" xr:uid="{00000000-0005-0000-0000-0000F4940000}"/>
    <cellStyle name="Percent 3 3 4 8 2 2" xfId="33653" xr:uid="{00000000-0005-0000-0000-0000F5940000}"/>
    <cellStyle name="Percent 3 3 4 8 3" xfId="24623" xr:uid="{00000000-0005-0000-0000-0000F6940000}"/>
    <cellStyle name="Percent 3 3 4 9" xfId="9119" xr:uid="{00000000-0005-0000-0000-0000F7940000}"/>
    <cellStyle name="Percent 3 3 4 9 2" xfId="29171" xr:uid="{00000000-0005-0000-0000-0000F8940000}"/>
    <cellStyle name="Percent 3 3 5" xfId="124" xr:uid="{00000000-0005-0000-0000-0000F9940000}"/>
    <cellStyle name="Percent 3 3 5 10" xfId="20176" xr:uid="{00000000-0005-0000-0000-0000FA940000}"/>
    <cellStyle name="Percent 3 3 5 2" xfId="310" xr:uid="{00000000-0005-0000-0000-0000FB940000}"/>
    <cellStyle name="Percent 3 3 5 2 2" xfId="1053" xr:uid="{00000000-0005-0000-0000-0000FC940000}"/>
    <cellStyle name="Percent 3 3 5 2 2 2" xfId="2547" xr:uid="{00000000-0005-0000-0000-0000FD940000}"/>
    <cellStyle name="Percent 3 3 5 2 2 2 2" xfId="7029" xr:uid="{00000000-0005-0000-0000-0000FE940000}"/>
    <cellStyle name="Percent 3 3 5 2 2 2 2 2" xfId="16059" xr:uid="{00000000-0005-0000-0000-0000FF940000}"/>
    <cellStyle name="Percent 3 3 5 2 2 2 2 2 2" xfId="36111" xr:uid="{00000000-0005-0000-0000-000000950000}"/>
    <cellStyle name="Percent 3 3 5 2 2 2 2 3" xfId="27081" xr:uid="{00000000-0005-0000-0000-000001950000}"/>
    <cellStyle name="Percent 3 3 5 2 2 2 3" xfId="11577" xr:uid="{00000000-0005-0000-0000-000002950000}"/>
    <cellStyle name="Percent 3 3 5 2 2 2 3 2" xfId="31629" xr:uid="{00000000-0005-0000-0000-000003950000}"/>
    <cellStyle name="Percent 3 3 5 2 2 2 4" xfId="22599" xr:uid="{00000000-0005-0000-0000-000004950000}"/>
    <cellStyle name="Percent 3 3 5 2 2 3" xfId="4041" xr:uid="{00000000-0005-0000-0000-000005950000}"/>
    <cellStyle name="Percent 3 3 5 2 2 3 2" xfId="8523" xr:uid="{00000000-0005-0000-0000-000006950000}"/>
    <cellStyle name="Percent 3 3 5 2 2 3 2 2" xfId="17553" xr:uid="{00000000-0005-0000-0000-000007950000}"/>
    <cellStyle name="Percent 3 3 5 2 2 3 2 2 2" xfId="37605" xr:uid="{00000000-0005-0000-0000-000008950000}"/>
    <cellStyle name="Percent 3 3 5 2 2 3 2 3" xfId="28575" xr:uid="{00000000-0005-0000-0000-000009950000}"/>
    <cellStyle name="Percent 3 3 5 2 2 3 3" xfId="13071" xr:uid="{00000000-0005-0000-0000-00000A950000}"/>
    <cellStyle name="Percent 3 3 5 2 2 3 3 2" xfId="33123" xr:uid="{00000000-0005-0000-0000-00000B950000}"/>
    <cellStyle name="Percent 3 3 5 2 2 3 4" xfId="24093" xr:uid="{00000000-0005-0000-0000-00000C950000}"/>
    <cellStyle name="Percent 3 3 5 2 2 4" xfId="5535" xr:uid="{00000000-0005-0000-0000-00000D950000}"/>
    <cellStyle name="Percent 3 3 5 2 2 4 2" xfId="14565" xr:uid="{00000000-0005-0000-0000-00000E950000}"/>
    <cellStyle name="Percent 3 3 5 2 2 4 2 2" xfId="34617" xr:uid="{00000000-0005-0000-0000-00000F950000}"/>
    <cellStyle name="Percent 3 3 5 2 2 4 3" xfId="25587" xr:uid="{00000000-0005-0000-0000-000010950000}"/>
    <cellStyle name="Percent 3 3 5 2 2 5" xfId="10083" xr:uid="{00000000-0005-0000-0000-000011950000}"/>
    <cellStyle name="Percent 3 3 5 2 2 5 2" xfId="30135" xr:uid="{00000000-0005-0000-0000-000012950000}"/>
    <cellStyle name="Percent 3 3 5 2 2 6" xfId="21105" xr:uid="{00000000-0005-0000-0000-000013950000}"/>
    <cellStyle name="Percent 3 3 5 2 3" xfId="1804" xr:uid="{00000000-0005-0000-0000-000014950000}"/>
    <cellStyle name="Percent 3 3 5 2 3 2" xfId="6286" xr:uid="{00000000-0005-0000-0000-000015950000}"/>
    <cellStyle name="Percent 3 3 5 2 3 2 2" xfId="15316" xr:uid="{00000000-0005-0000-0000-000016950000}"/>
    <cellStyle name="Percent 3 3 5 2 3 2 2 2" xfId="35368" xr:uid="{00000000-0005-0000-0000-000017950000}"/>
    <cellStyle name="Percent 3 3 5 2 3 2 3" xfId="26338" xr:uid="{00000000-0005-0000-0000-000018950000}"/>
    <cellStyle name="Percent 3 3 5 2 3 3" xfId="10834" xr:uid="{00000000-0005-0000-0000-000019950000}"/>
    <cellStyle name="Percent 3 3 5 2 3 3 2" xfId="30886" xr:uid="{00000000-0005-0000-0000-00001A950000}"/>
    <cellStyle name="Percent 3 3 5 2 3 4" xfId="21856" xr:uid="{00000000-0005-0000-0000-00001B950000}"/>
    <cellStyle name="Percent 3 3 5 2 4" xfId="3298" xr:uid="{00000000-0005-0000-0000-00001C950000}"/>
    <cellStyle name="Percent 3 3 5 2 4 2" xfId="7780" xr:uid="{00000000-0005-0000-0000-00001D950000}"/>
    <cellStyle name="Percent 3 3 5 2 4 2 2" xfId="16810" xr:uid="{00000000-0005-0000-0000-00001E950000}"/>
    <cellStyle name="Percent 3 3 5 2 4 2 2 2" xfId="36862" xr:uid="{00000000-0005-0000-0000-00001F950000}"/>
    <cellStyle name="Percent 3 3 5 2 4 2 3" xfId="27832" xr:uid="{00000000-0005-0000-0000-000020950000}"/>
    <cellStyle name="Percent 3 3 5 2 4 3" xfId="12328" xr:uid="{00000000-0005-0000-0000-000021950000}"/>
    <cellStyle name="Percent 3 3 5 2 4 3 2" xfId="32380" xr:uid="{00000000-0005-0000-0000-000022950000}"/>
    <cellStyle name="Percent 3 3 5 2 4 4" xfId="23350" xr:uid="{00000000-0005-0000-0000-000023950000}"/>
    <cellStyle name="Percent 3 3 5 2 5" xfId="4792" xr:uid="{00000000-0005-0000-0000-000024950000}"/>
    <cellStyle name="Percent 3 3 5 2 5 2" xfId="13822" xr:uid="{00000000-0005-0000-0000-000025950000}"/>
    <cellStyle name="Percent 3 3 5 2 5 2 2" xfId="33874" xr:uid="{00000000-0005-0000-0000-000026950000}"/>
    <cellStyle name="Percent 3 3 5 2 5 3" xfId="24844" xr:uid="{00000000-0005-0000-0000-000027950000}"/>
    <cellStyle name="Percent 3 3 5 2 6" xfId="9340" xr:uid="{00000000-0005-0000-0000-000028950000}"/>
    <cellStyle name="Percent 3 3 5 2 6 2" xfId="29392" xr:uid="{00000000-0005-0000-0000-000029950000}"/>
    <cellStyle name="Percent 3 3 5 2 7" xfId="20362" xr:uid="{00000000-0005-0000-0000-00002A950000}"/>
    <cellStyle name="Percent 3 3 5 3" xfId="496" xr:uid="{00000000-0005-0000-0000-00002B950000}"/>
    <cellStyle name="Percent 3 3 5 3 2" xfId="1243" xr:uid="{00000000-0005-0000-0000-00002C950000}"/>
    <cellStyle name="Percent 3 3 5 3 2 2" xfId="2737" xr:uid="{00000000-0005-0000-0000-00002D950000}"/>
    <cellStyle name="Percent 3 3 5 3 2 2 2" xfId="7219" xr:uid="{00000000-0005-0000-0000-00002E950000}"/>
    <cellStyle name="Percent 3 3 5 3 2 2 2 2" xfId="16249" xr:uid="{00000000-0005-0000-0000-00002F950000}"/>
    <cellStyle name="Percent 3 3 5 3 2 2 2 2 2" xfId="36301" xr:uid="{00000000-0005-0000-0000-000030950000}"/>
    <cellStyle name="Percent 3 3 5 3 2 2 2 3" xfId="27271" xr:uid="{00000000-0005-0000-0000-000031950000}"/>
    <cellStyle name="Percent 3 3 5 3 2 2 3" xfId="11767" xr:uid="{00000000-0005-0000-0000-000032950000}"/>
    <cellStyle name="Percent 3 3 5 3 2 2 3 2" xfId="31819" xr:uid="{00000000-0005-0000-0000-000033950000}"/>
    <cellStyle name="Percent 3 3 5 3 2 2 4" xfId="22789" xr:uid="{00000000-0005-0000-0000-000034950000}"/>
    <cellStyle name="Percent 3 3 5 3 2 3" xfId="4231" xr:uid="{00000000-0005-0000-0000-000035950000}"/>
    <cellStyle name="Percent 3 3 5 3 2 3 2" xfId="8713" xr:uid="{00000000-0005-0000-0000-000036950000}"/>
    <cellStyle name="Percent 3 3 5 3 2 3 2 2" xfId="17743" xr:uid="{00000000-0005-0000-0000-000037950000}"/>
    <cellStyle name="Percent 3 3 5 3 2 3 2 2 2" xfId="37795" xr:uid="{00000000-0005-0000-0000-000038950000}"/>
    <cellStyle name="Percent 3 3 5 3 2 3 2 3" xfId="28765" xr:uid="{00000000-0005-0000-0000-000039950000}"/>
    <cellStyle name="Percent 3 3 5 3 2 3 3" xfId="13261" xr:uid="{00000000-0005-0000-0000-00003A950000}"/>
    <cellStyle name="Percent 3 3 5 3 2 3 3 2" xfId="33313" xr:uid="{00000000-0005-0000-0000-00003B950000}"/>
    <cellStyle name="Percent 3 3 5 3 2 3 4" xfId="24283" xr:uid="{00000000-0005-0000-0000-00003C950000}"/>
    <cellStyle name="Percent 3 3 5 3 2 4" xfId="5725" xr:uid="{00000000-0005-0000-0000-00003D950000}"/>
    <cellStyle name="Percent 3 3 5 3 2 4 2" xfId="14755" xr:uid="{00000000-0005-0000-0000-00003E950000}"/>
    <cellStyle name="Percent 3 3 5 3 2 4 2 2" xfId="34807" xr:uid="{00000000-0005-0000-0000-00003F950000}"/>
    <cellStyle name="Percent 3 3 5 3 2 4 3" xfId="25777" xr:uid="{00000000-0005-0000-0000-000040950000}"/>
    <cellStyle name="Percent 3 3 5 3 2 5" xfId="10273" xr:uid="{00000000-0005-0000-0000-000041950000}"/>
    <cellStyle name="Percent 3 3 5 3 2 5 2" xfId="30325" xr:uid="{00000000-0005-0000-0000-000042950000}"/>
    <cellStyle name="Percent 3 3 5 3 2 6" xfId="21295" xr:uid="{00000000-0005-0000-0000-000043950000}"/>
    <cellStyle name="Percent 3 3 5 3 3" xfId="1990" xr:uid="{00000000-0005-0000-0000-000044950000}"/>
    <cellStyle name="Percent 3 3 5 3 3 2" xfId="6472" xr:uid="{00000000-0005-0000-0000-000045950000}"/>
    <cellStyle name="Percent 3 3 5 3 3 2 2" xfId="15502" xr:uid="{00000000-0005-0000-0000-000046950000}"/>
    <cellStyle name="Percent 3 3 5 3 3 2 2 2" xfId="35554" xr:uid="{00000000-0005-0000-0000-000047950000}"/>
    <cellStyle name="Percent 3 3 5 3 3 2 3" xfId="26524" xr:uid="{00000000-0005-0000-0000-000048950000}"/>
    <cellStyle name="Percent 3 3 5 3 3 3" xfId="11020" xr:uid="{00000000-0005-0000-0000-000049950000}"/>
    <cellStyle name="Percent 3 3 5 3 3 3 2" xfId="31072" xr:uid="{00000000-0005-0000-0000-00004A950000}"/>
    <cellStyle name="Percent 3 3 5 3 3 4" xfId="22042" xr:uid="{00000000-0005-0000-0000-00004B950000}"/>
    <cellStyle name="Percent 3 3 5 3 4" xfId="3484" xr:uid="{00000000-0005-0000-0000-00004C950000}"/>
    <cellStyle name="Percent 3 3 5 3 4 2" xfId="7966" xr:uid="{00000000-0005-0000-0000-00004D950000}"/>
    <cellStyle name="Percent 3 3 5 3 4 2 2" xfId="16996" xr:uid="{00000000-0005-0000-0000-00004E950000}"/>
    <cellStyle name="Percent 3 3 5 3 4 2 2 2" xfId="37048" xr:uid="{00000000-0005-0000-0000-00004F950000}"/>
    <cellStyle name="Percent 3 3 5 3 4 2 3" xfId="28018" xr:uid="{00000000-0005-0000-0000-000050950000}"/>
    <cellStyle name="Percent 3 3 5 3 4 3" xfId="12514" xr:uid="{00000000-0005-0000-0000-000051950000}"/>
    <cellStyle name="Percent 3 3 5 3 4 3 2" xfId="32566" xr:uid="{00000000-0005-0000-0000-000052950000}"/>
    <cellStyle name="Percent 3 3 5 3 4 4" xfId="23536" xr:uid="{00000000-0005-0000-0000-000053950000}"/>
    <cellStyle name="Percent 3 3 5 3 5" xfId="4978" xr:uid="{00000000-0005-0000-0000-000054950000}"/>
    <cellStyle name="Percent 3 3 5 3 5 2" xfId="14008" xr:uid="{00000000-0005-0000-0000-000055950000}"/>
    <cellStyle name="Percent 3 3 5 3 5 2 2" xfId="34060" xr:uid="{00000000-0005-0000-0000-000056950000}"/>
    <cellStyle name="Percent 3 3 5 3 5 3" xfId="25030" xr:uid="{00000000-0005-0000-0000-000057950000}"/>
    <cellStyle name="Percent 3 3 5 3 6" xfId="9526" xr:uid="{00000000-0005-0000-0000-000058950000}"/>
    <cellStyle name="Percent 3 3 5 3 6 2" xfId="29578" xr:uid="{00000000-0005-0000-0000-000059950000}"/>
    <cellStyle name="Percent 3 3 5 3 7" xfId="20548" xr:uid="{00000000-0005-0000-0000-00005A950000}"/>
    <cellStyle name="Percent 3 3 5 4" xfId="682" xr:uid="{00000000-0005-0000-0000-00005B950000}"/>
    <cellStyle name="Percent 3 3 5 4 2" xfId="1429" xr:uid="{00000000-0005-0000-0000-00005C950000}"/>
    <cellStyle name="Percent 3 3 5 4 2 2" xfId="2923" xr:uid="{00000000-0005-0000-0000-00005D950000}"/>
    <cellStyle name="Percent 3 3 5 4 2 2 2" xfId="7405" xr:uid="{00000000-0005-0000-0000-00005E950000}"/>
    <cellStyle name="Percent 3 3 5 4 2 2 2 2" xfId="16435" xr:uid="{00000000-0005-0000-0000-00005F950000}"/>
    <cellStyle name="Percent 3 3 5 4 2 2 2 2 2" xfId="36487" xr:uid="{00000000-0005-0000-0000-000060950000}"/>
    <cellStyle name="Percent 3 3 5 4 2 2 2 3" xfId="27457" xr:uid="{00000000-0005-0000-0000-000061950000}"/>
    <cellStyle name="Percent 3 3 5 4 2 2 3" xfId="11953" xr:uid="{00000000-0005-0000-0000-000062950000}"/>
    <cellStyle name="Percent 3 3 5 4 2 2 3 2" xfId="32005" xr:uid="{00000000-0005-0000-0000-000063950000}"/>
    <cellStyle name="Percent 3 3 5 4 2 2 4" xfId="22975" xr:uid="{00000000-0005-0000-0000-000064950000}"/>
    <cellStyle name="Percent 3 3 5 4 2 3" xfId="4417" xr:uid="{00000000-0005-0000-0000-000065950000}"/>
    <cellStyle name="Percent 3 3 5 4 2 3 2" xfId="8899" xr:uid="{00000000-0005-0000-0000-000066950000}"/>
    <cellStyle name="Percent 3 3 5 4 2 3 2 2" xfId="17929" xr:uid="{00000000-0005-0000-0000-000067950000}"/>
    <cellStyle name="Percent 3 3 5 4 2 3 2 2 2" xfId="37981" xr:uid="{00000000-0005-0000-0000-000068950000}"/>
    <cellStyle name="Percent 3 3 5 4 2 3 2 3" xfId="28951" xr:uid="{00000000-0005-0000-0000-000069950000}"/>
    <cellStyle name="Percent 3 3 5 4 2 3 3" xfId="13447" xr:uid="{00000000-0005-0000-0000-00006A950000}"/>
    <cellStyle name="Percent 3 3 5 4 2 3 3 2" xfId="33499" xr:uid="{00000000-0005-0000-0000-00006B950000}"/>
    <cellStyle name="Percent 3 3 5 4 2 3 4" xfId="24469" xr:uid="{00000000-0005-0000-0000-00006C950000}"/>
    <cellStyle name="Percent 3 3 5 4 2 4" xfId="5911" xr:uid="{00000000-0005-0000-0000-00006D950000}"/>
    <cellStyle name="Percent 3 3 5 4 2 4 2" xfId="14941" xr:uid="{00000000-0005-0000-0000-00006E950000}"/>
    <cellStyle name="Percent 3 3 5 4 2 4 2 2" xfId="34993" xr:uid="{00000000-0005-0000-0000-00006F950000}"/>
    <cellStyle name="Percent 3 3 5 4 2 4 3" xfId="25963" xr:uid="{00000000-0005-0000-0000-000070950000}"/>
    <cellStyle name="Percent 3 3 5 4 2 5" xfId="10459" xr:uid="{00000000-0005-0000-0000-000071950000}"/>
    <cellStyle name="Percent 3 3 5 4 2 5 2" xfId="30511" xr:uid="{00000000-0005-0000-0000-000072950000}"/>
    <cellStyle name="Percent 3 3 5 4 2 6" xfId="21481" xr:uid="{00000000-0005-0000-0000-000073950000}"/>
    <cellStyle name="Percent 3 3 5 4 3" xfId="2176" xr:uid="{00000000-0005-0000-0000-000074950000}"/>
    <cellStyle name="Percent 3 3 5 4 3 2" xfId="6658" xr:uid="{00000000-0005-0000-0000-000075950000}"/>
    <cellStyle name="Percent 3 3 5 4 3 2 2" xfId="15688" xr:uid="{00000000-0005-0000-0000-000076950000}"/>
    <cellStyle name="Percent 3 3 5 4 3 2 2 2" xfId="35740" xr:uid="{00000000-0005-0000-0000-000077950000}"/>
    <cellStyle name="Percent 3 3 5 4 3 2 3" xfId="26710" xr:uid="{00000000-0005-0000-0000-000078950000}"/>
    <cellStyle name="Percent 3 3 5 4 3 3" xfId="11206" xr:uid="{00000000-0005-0000-0000-000079950000}"/>
    <cellStyle name="Percent 3 3 5 4 3 3 2" xfId="31258" xr:uid="{00000000-0005-0000-0000-00007A950000}"/>
    <cellStyle name="Percent 3 3 5 4 3 4" xfId="22228" xr:uid="{00000000-0005-0000-0000-00007B950000}"/>
    <cellStyle name="Percent 3 3 5 4 4" xfId="3670" xr:uid="{00000000-0005-0000-0000-00007C950000}"/>
    <cellStyle name="Percent 3 3 5 4 4 2" xfId="8152" xr:uid="{00000000-0005-0000-0000-00007D950000}"/>
    <cellStyle name="Percent 3 3 5 4 4 2 2" xfId="17182" xr:uid="{00000000-0005-0000-0000-00007E950000}"/>
    <cellStyle name="Percent 3 3 5 4 4 2 2 2" xfId="37234" xr:uid="{00000000-0005-0000-0000-00007F950000}"/>
    <cellStyle name="Percent 3 3 5 4 4 2 3" xfId="28204" xr:uid="{00000000-0005-0000-0000-000080950000}"/>
    <cellStyle name="Percent 3 3 5 4 4 3" xfId="12700" xr:uid="{00000000-0005-0000-0000-000081950000}"/>
    <cellStyle name="Percent 3 3 5 4 4 3 2" xfId="32752" xr:uid="{00000000-0005-0000-0000-000082950000}"/>
    <cellStyle name="Percent 3 3 5 4 4 4" xfId="23722" xr:uid="{00000000-0005-0000-0000-000083950000}"/>
    <cellStyle name="Percent 3 3 5 4 5" xfId="5164" xr:uid="{00000000-0005-0000-0000-000084950000}"/>
    <cellStyle name="Percent 3 3 5 4 5 2" xfId="14194" xr:uid="{00000000-0005-0000-0000-000085950000}"/>
    <cellStyle name="Percent 3 3 5 4 5 2 2" xfId="34246" xr:uid="{00000000-0005-0000-0000-000086950000}"/>
    <cellStyle name="Percent 3 3 5 4 5 3" xfId="25216" xr:uid="{00000000-0005-0000-0000-000087950000}"/>
    <cellStyle name="Percent 3 3 5 4 6" xfId="9712" xr:uid="{00000000-0005-0000-0000-000088950000}"/>
    <cellStyle name="Percent 3 3 5 4 6 2" xfId="29764" xr:uid="{00000000-0005-0000-0000-000089950000}"/>
    <cellStyle name="Percent 3 3 5 4 7" xfId="20734" xr:uid="{00000000-0005-0000-0000-00008A950000}"/>
    <cellStyle name="Percent 3 3 5 5" xfId="869" xr:uid="{00000000-0005-0000-0000-00008B950000}"/>
    <cellStyle name="Percent 3 3 5 5 2" xfId="2363" xr:uid="{00000000-0005-0000-0000-00008C950000}"/>
    <cellStyle name="Percent 3 3 5 5 2 2" xfId="6845" xr:uid="{00000000-0005-0000-0000-00008D950000}"/>
    <cellStyle name="Percent 3 3 5 5 2 2 2" xfId="15875" xr:uid="{00000000-0005-0000-0000-00008E950000}"/>
    <cellStyle name="Percent 3 3 5 5 2 2 2 2" xfId="35927" xr:uid="{00000000-0005-0000-0000-00008F950000}"/>
    <cellStyle name="Percent 3 3 5 5 2 2 3" xfId="26897" xr:uid="{00000000-0005-0000-0000-000090950000}"/>
    <cellStyle name="Percent 3 3 5 5 2 3" xfId="11393" xr:uid="{00000000-0005-0000-0000-000091950000}"/>
    <cellStyle name="Percent 3 3 5 5 2 3 2" xfId="31445" xr:uid="{00000000-0005-0000-0000-000092950000}"/>
    <cellStyle name="Percent 3 3 5 5 2 4" xfId="22415" xr:uid="{00000000-0005-0000-0000-000093950000}"/>
    <cellStyle name="Percent 3 3 5 5 3" xfId="3857" xr:uid="{00000000-0005-0000-0000-000094950000}"/>
    <cellStyle name="Percent 3 3 5 5 3 2" xfId="8339" xr:uid="{00000000-0005-0000-0000-000095950000}"/>
    <cellStyle name="Percent 3 3 5 5 3 2 2" xfId="17369" xr:uid="{00000000-0005-0000-0000-000096950000}"/>
    <cellStyle name="Percent 3 3 5 5 3 2 2 2" xfId="37421" xr:uid="{00000000-0005-0000-0000-000097950000}"/>
    <cellStyle name="Percent 3 3 5 5 3 2 3" xfId="28391" xr:uid="{00000000-0005-0000-0000-000098950000}"/>
    <cellStyle name="Percent 3 3 5 5 3 3" xfId="12887" xr:uid="{00000000-0005-0000-0000-000099950000}"/>
    <cellStyle name="Percent 3 3 5 5 3 3 2" xfId="32939" xr:uid="{00000000-0005-0000-0000-00009A950000}"/>
    <cellStyle name="Percent 3 3 5 5 3 4" xfId="23909" xr:uid="{00000000-0005-0000-0000-00009B950000}"/>
    <cellStyle name="Percent 3 3 5 5 4" xfId="5351" xr:uid="{00000000-0005-0000-0000-00009C950000}"/>
    <cellStyle name="Percent 3 3 5 5 4 2" xfId="14381" xr:uid="{00000000-0005-0000-0000-00009D950000}"/>
    <cellStyle name="Percent 3 3 5 5 4 2 2" xfId="34433" xr:uid="{00000000-0005-0000-0000-00009E950000}"/>
    <cellStyle name="Percent 3 3 5 5 4 3" xfId="25403" xr:uid="{00000000-0005-0000-0000-00009F950000}"/>
    <cellStyle name="Percent 3 3 5 5 5" xfId="9899" xr:uid="{00000000-0005-0000-0000-0000A0950000}"/>
    <cellStyle name="Percent 3 3 5 5 5 2" xfId="29951" xr:uid="{00000000-0005-0000-0000-0000A1950000}"/>
    <cellStyle name="Percent 3 3 5 5 6" xfId="20921" xr:uid="{00000000-0005-0000-0000-0000A2950000}"/>
    <cellStyle name="Percent 3 3 5 6" xfId="1618" xr:uid="{00000000-0005-0000-0000-0000A3950000}"/>
    <cellStyle name="Percent 3 3 5 6 2" xfId="6100" xr:uid="{00000000-0005-0000-0000-0000A4950000}"/>
    <cellStyle name="Percent 3 3 5 6 2 2" xfId="15130" xr:uid="{00000000-0005-0000-0000-0000A5950000}"/>
    <cellStyle name="Percent 3 3 5 6 2 2 2" xfId="35182" xr:uid="{00000000-0005-0000-0000-0000A6950000}"/>
    <cellStyle name="Percent 3 3 5 6 2 3" xfId="26152" xr:uid="{00000000-0005-0000-0000-0000A7950000}"/>
    <cellStyle name="Percent 3 3 5 6 3" xfId="10648" xr:uid="{00000000-0005-0000-0000-0000A8950000}"/>
    <cellStyle name="Percent 3 3 5 6 3 2" xfId="30700" xr:uid="{00000000-0005-0000-0000-0000A9950000}"/>
    <cellStyle name="Percent 3 3 5 6 4" xfId="21670" xr:uid="{00000000-0005-0000-0000-0000AA950000}"/>
    <cellStyle name="Percent 3 3 5 7" xfId="3112" xr:uid="{00000000-0005-0000-0000-0000AB950000}"/>
    <cellStyle name="Percent 3 3 5 7 2" xfId="7594" xr:uid="{00000000-0005-0000-0000-0000AC950000}"/>
    <cellStyle name="Percent 3 3 5 7 2 2" xfId="16624" xr:uid="{00000000-0005-0000-0000-0000AD950000}"/>
    <cellStyle name="Percent 3 3 5 7 2 2 2" xfId="36676" xr:uid="{00000000-0005-0000-0000-0000AE950000}"/>
    <cellStyle name="Percent 3 3 5 7 2 3" xfId="27646" xr:uid="{00000000-0005-0000-0000-0000AF950000}"/>
    <cellStyle name="Percent 3 3 5 7 3" xfId="12142" xr:uid="{00000000-0005-0000-0000-0000B0950000}"/>
    <cellStyle name="Percent 3 3 5 7 3 2" xfId="32194" xr:uid="{00000000-0005-0000-0000-0000B1950000}"/>
    <cellStyle name="Percent 3 3 5 7 4" xfId="23164" xr:uid="{00000000-0005-0000-0000-0000B2950000}"/>
    <cellStyle name="Percent 3 3 5 8" xfId="4606" xr:uid="{00000000-0005-0000-0000-0000B3950000}"/>
    <cellStyle name="Percent 3 3 5 8 2" xfId="13636" xr:uid="{00000000-0005-0000-0000-0000B4950000}"/>
    <cellStyle name="Percent 3 3 5 8 2 2" xfId="33688" xr:uid="{00000000-0005-0000-0000-0000B5950000}"/>
    <cellStyle name="Percent 3 3 5 8 3" xfId="24658" xr:uid="{00000000-0005-0000-0000-0000B6950000}"/>
    <cellStyle name="Percent 3 3 5 9" xfId="9154" xr:uid="{00000000-0005-0000-0000-0000B7950000}"/>
    <cellStyle name="Percent 3 3 5 9 2" xfId="29206" xr:uid="{00000000-0005-0000-0000-0000B8950000}"/>
    <cellStyle name="Percent 3 3 6" xfId="136" xr:uid="{00000000-0005-0000-0000-0000B9950000}"/>
    <cellStyle name="Percent 3 3 6 10" xfId="20188" xr:uid="{00000000-0005-0000-0000-0000BA950000}"/>
    <cellStyle name="Percent 3 3 6 2" xfId="322" xr:uid="{00000000-0005-0000-0000-0000BB950000}"/>
    <cellStyle name="Percent 3 3 6 2 2" xfId="1065" xr:uid="{00000000-0005-0000-0000-0000BC950000}"/>
    <cellStyle name="Percent 3 3 6 2 2 2" xfId="2559" xr:uid="{00000000-0005-0000-0000-0000BD950000}"/>
    <cellStyle name="Percent 3 3 6 2 2 2 2" xfId="7041" xr:uid="{00000000-0005-0000-0000-0000BE950000}"/>
    <cellStyle name="Percent 3 3 6 2 2 2 2 2" xfId="16071" xr:uid="{00000000-0005-0000-0000-0000BF950000}"/>
    <cellStyle name="Percent 3 3 6 2 2 2 2 2 2" xfId="36123" xr:uid="{00000000-0005-0000-0000-0000C0950000}"/>
    <cellStyle name="Percent 3 3 6 2 2 2 2 3" xfId="27093" xr:uid="{00000000-0005-0000-0000-0000C1950000}"/>
    <cellStyle name="Percent 3 3 6 2 2 2 3" xfId="11589" xr:uid="{00000000-0005-0000-0000-0000C2950000}"/>
    <cellStyle name="Percent 3 3 6 2 2 2 3 2" xfId="31641" xr:uid="{00000000-0005-0000-0000-0000C3950000}"/>
    <cellStyle name="Percent 3 3 6 2 2 2 4" xfId="22611" xr:uid="{00000000-0005-0000-0000-0000C4950000}"/>
    <cellStyle name="Percent 3 3 6 2 2 3" xfId="4053" xr:uid="{00000000-0005-0000-0000-0000C5950000}"/>
    <cellStyle name="Percent 3 3 6 2 2 3 2" xfId="8535" xr:uid="{00000000-0005-0000-0000-0000C6950000}"/>
    <cellStyle name="Percent 3 3 6 2 2 3 2 2" xfId="17565" xr:uid="{00000000-0005-0000-0000-0000C7950000}"/>
    <cellStyle name="Percent 3 3 6 2 2 3 2 2 2" xfId="37617" xr:uid="{00000000-0005-0000-0000-0000C8950000}"/>
    <cellStyle name="Percent 3 3 6 2 2 3 2 3" xfId="28587" xr:uid="{00000000-0005-0000-0000-0000C9950000}"/>
    <cellStyle name="Percent 3 3 6 2 2 3 3" xfId="13083" xr:uid="{00000000-0005-0000-0000-0000CA950000}"/>
    <cellStyle name="Percent 3 3 6 2 2 3 3 2" xfId="33135" xr:uid="{00000000-0005-0000-0000-0000CB950000}"/>
    <cellStyle name="Percent 3 3 6 2 2 3 4" xfId="24105" xr:uid="{00000000-0005-0000-0000-0000CC950000}"/>
    <cellStyle name="Percent 3 3 6 2 2 4" xfId="5547" xr:uid="{00000000-0005-0000-0000-0000CD950000}"/>
    <cellStyle name="Percent 3 3 6 2 2 4 2" xfId="14577" xr:uid="{00000000-0005-0000-0000-0000CE950000}"/>
    <cellStyle name="Percent 3 3 6 2 2 4 2 2" xfId="34629" xr:uid="{00000000-0005-0000-0000-0000CF950000}"/>
    <cellStyle name="Percent 3 3 6 2 2 4 3" xfId="25599" xr:uid="{00000000-0005-0000-0000-0000D0950000}"/>
    <cellStyle name="Percent 3 3 6 2 2 5" xfId="10095" xr:uid="{00000000-0005-0000-0000-0000D1950000}"/>
    <cellStyle name="Percent 3 3 6 2 2 5 2" xfId="30147" xr:uid="{00000000-0005-0000-0000-0000D2950000}"/>
    <cellStyle name="Percent 3 3 6 2 2 6" xfId="21117" xr:uid="{00000000-0005-0000-0000-0000D3950000}"/>
    <cellStyle name="Percent 3 3 6 2 3" xfId="1816" xr:uid="{00000000-0005-0000-0000-0000D4950000}"/>
    <cellStyle name="Percent 3 3 6 2 3 2" xfId="6298" xr:uid="{00000000-0005-0000-0000-0000D5950000}"/>
    <cellStyle name="Percent 3 3 6 2 3 2 2" xfId="15328" xr:uid="{00000000-0005-0000-0000-0000D6950000}"/>
    <cellStyle name="Percent 3 3 6 2 3 2 2 2" xfId="35380" xr:uid="{00000000-0005-0000-0000-0000D7950000}"/>
    <cellStyle name="Percent 3 3 6 2 3 2 3" xfId="26350" xr:uid="{00000000-0005-0000-0000-0000D8950000}"/>
    <cellStyle name="Percent 3 3 6 2 3 3" xfId="10846" xr:uid="{00000000-0005-0000-0000-0000D9950000}"/>
    <cellStyle name="Percent 3 3 6 2 3 3 2" xfId="30898" xr:uid="{00000000-0005-0000-0000-0000DA950000}"/>
    <cellStyle name="Percent 3 3 6 2 3 4" xfId="21868" xr:uid="{00000000-0005-0000-0000-0000DB950000}"/>
    <cellStyle name="Percent 3 3 6 2 4" xfId="3310" xr:uid="{00000000-0005-0000-0000-0000DC950000}"/>
    <cellStyle name="Percent 3 3 6 2 4 2" xfId="7792" xr:uid="{00000000-0005-0000-0000-0000DD950000}"/>
    <cellStyle name="Percent 3 3 6 2 4 2 2" xfId="16822" xr:uid="{00000000-0005-0000-0000-0000DE950000}"/>
    <cellStyle name="Percent 3 3 6 2 4 2 2 2" xfId="36874" xr:uid="{00000000-0005-0000-0000-0000DF950000}"/>
    <cellStyle name="Percent 3 3 6 2 4 2 3" xfId="27844" xr:uid="{00000000-0005-0000-0000-0000E0950000}"/>
    <cellStyle name="Percent 3 3 6 2 4 3" xfId="12340" xr:uid="{00000000-0005-0000-0000-0000E1950000}"/>
    <cellStyle name="Percent 3 3 6 2 4 3 2" xfId="32392" xr:uid="{00000000-0005-0000-0000-0000E2950000}"/>
    <cellStyle name="Percent 3 3 6 2 4 4" xfId="23362" xr:uid="{00000000-0005-0000-0000-0000E3950000}"/>
    <cellStyle name="Percent 3 3 6 2 5" xfId="4804" xr:uid="{00000000-0005-0000-0000-0000E4950000}"/>
    <cellStyle name="Percent 3 3 6 2 5 2" xfId="13834" xr:uid="{00000000-0005-0000-0000-0000E5950000}"/>
    <cellStyle name="Percent 3 3 6 2 5 2 2" xfId="33886" xr:uid="{00000000-0005-0000-0000-0000E6950000}"/>
    <cellStyle name="Percent 3 3 6 2 5 3" xfId="24856" xr:uid="{00000000-0005-0000-0000-0000E7950000}"/>
    <cellStyle name="Percent 3 3 6 2 6" xfId="9352" xr:uid="{00000000-0005-0000-0000-0000E8950000}"/>
    <cellStyle name="Percent 3 3 6 2 6 2" xfId="29404" xr:uid="{00000000-0005-0000-0000-0000E9950000}"/>
    <cellStyle name="Percent 3 3 6 2 7" xfId="20374" xr:uid="{00000000-0005-0000-0000-0000EA950000}"/>
    <cellStyle name="Percent 3 3 6 3" xfId="508" xr:uid="{00000000-0005-0000-0000-0000EB950000}"/>
    <cellStyle name="Percent 3 3 6 3 2" xfId="1255" xr:uid="{00000000-0005-0000-0000-0000EC950000}"/>
    <cellStyle name="Percent 3 3 6 3 2 2" xfId="2749" xr:uid="{00000000-0005-0000-0000-0000ED950000}"/>
    <cellStyle name="Percent 3 3 6 3 2 2 2" xfId="7231" xr:uid="{00000000-0005-0000-0000-0000EE950000}"/>
    <cellStyle name="Percent 3 3 6 3 2 2 2 2" xfId="16261" xr:uid="{00000000-0005-0000-0000-0000EF950000}"/>
    <cellStyle name="Percent 3 3 6 3 2 2 2 2 2" xfId="36313" xr:uid="{00000000-0005-0000-0000-0000F0950000}"/>
    <cellStyle name="Percent 3 3 6 3 2 2 2 3" xfId="27283" xr:uid="{00000000-0005-0000-0000-0000F1950000}"/>
    <cellStyle name="Percent 3 3 6 3 2 2 3" xfId="11779" xr:uid="{00000000-0005-0000-0000-0000F2950000}"/>
    <cellStyle name="Percent 3 3 6 3 2 2 3 2" xfId="31831" xr:uid="{00000000-0005-0000-0000-0000F3950000}"/>
    <cellStyle name="Percent 3 3 6 3 2 2 4" xfId="22801" xr:uid="{00000000-0005-0000-0000-0000F4950000}"/>
    <cellStyle name="Percent 3 3 6 3 2 3" xfId="4243" xr:uid="{00000000-0005-0000-0000-0000F5950000}"/>
    <cellStyle name="Percent 3 3 6 3 2 3 2" xfId="8725" xr:uid="{00000000-0005-0000-0000-0000F6950000}"/>
    <cellStyle name="Percent 3 3 6 3 2 3 2 2" xfId="17755" xr:uid="{00000000-0005-0000-0000-0000F7950000}"/>
    <cellStyle name="Percent 3 3 6 3 2 3 2 2 2" xfId="37807" xr:uid="{00000000-0005-0000-0000-0000F8950000}"/>
    <cellStyle name="Percent 3 3 6 3 2 3 2 3" xfId="28777" xr:uid="{00000000-0005-0000-0000-0000F9950000}"/>
    <cellStyle name="Percent 3 3 6 3 2 3 3" xfId="13273" xr:uid="{00000000-0005-0000-0000-0000FA950000}"/>
    <cellStyle name="Percent 3 3 6 3 2 3 3 2" xfId="33325" xr:uid="{00000000-0005-0000-0000-0000FB950000}"/>
    <cellStyle name="Percent 3 3 6 3 2 3 4" xfId="24295" xr:uid="{00000000-0005-0000-0000-0000FC950000}"/>
    <cellStyle name="Percent 3 3 6 3 2 4" xfId="5737" xr:uid="{00000000-0005-0000-0000-0000FD950000}"/>
    <cellStyle name="Percent 3 3 6 3 2 4 2" xfId="14767" xr:uid="{00000000-0005-0000-0000-0000FE950000}"/>
    <cellStyle name="Percent 3 3 6 3 2 4 2 2" xfId="34819" xr:uid="{00000000-0005-0000-0000-0000FF950000}"/>
    <cellStyle name="Percent 3 3 6 3 2 4 3" xfId="25789" xr:uid="{00000000-0005-0000-0000-000000960000}"/>
    <cellStyle name="Percent 3 3 6 3 2 5" xfId="10285" xr:uid="{00000000-0005-0000-0000-000001960000}"/>
    <cellStyle name="Percent 3 3 6 3 2 5 2" xfId="30337" xr:uid="{00000000-0005-0000-0000-000002960000}"/>
    <cellStyle name="Percent 3 3 6 3 2 6" xfId="21307" xr:uid="{00000000-0005-0000-0000-000003960000}"/>
    <cellStyle name="Percent 3 3 6 3 3" xfId="2002" xr:uid="{00000000-0005-0000-0000-000004960000}"/>
    <cellStyle name="Percent 3 3 6 3 3 2" xfId="6484" xr:uid="{00000000-0005-0000-0000-000005960000}"/>
    <cellStyle name="Percent 3 3 6 3 3 2 2" xfId="15514" xr:uid="{00000000-0005-0000-0000-000006960000}"/>
    <cellStyle name="Percent 3 3 6 3 3 2 2 2" xfId="35566" xr:uid="{00000000-0005-0000-0000-000007960000}"/>
    <cellStyle name="Percent 3 3 6 3 3 2 3" xfId="26536" xr:uid="{00000000-0005-0000-0000-000008960000}"/>
    <cellStyle name="Percent 3 3 6 3 3 3" xfId="11032" xr:uid="{00000000-0005-0000-0000-000009960000}"/>
    <cellStyle name="Percent 3 3 6 3 3 3 2" xfId="31084" xr:uid="{00000000-0005-0000-0000-00000A960000}"/>
    <cellStyle name="Percent 3 3 6 3 3 4" xfId="22054" xr:uid="{00000000-0005-0000-0000-00000B960000}"/>
    <cellStyle name="Percent 3 3 6 3 4" xfId="3496" xr:uid="{00000000-0005-0000-0000-00000C960000}"/>
    <cellStyle name="Percent 3 3 6 3 4 2" xfId="7978" xr:uid="{00000000-0005-0000-0000-00000D960000}"/>
    <cellStyle name="Percent 3 3 6 3 4 2 2" xfId="17008" xr:uid="{00000000-0005-0000-0000-00000E960000}"/>
    <cellStyle name="Percent 3 3 6 3 4 2 2 2" xfId="37060" xr:uid="{00000000-0005-0000-0000-00000F960000}"/>
    <cellStyle name="Percent 3 3 6 3 4 2 3" xfId="28030" xr:uid="{00000000-0005-0000-0000-000010960000}"/>
    <cellStyle name="Percent 3 3 6 3 4 3" xfId="12526" xr:uid="{00000000-0005-0000-0000-000011960000}"/>
    <cellStyle name="Percent 3 3 6 3 4 3 2" xfId="32578" xr:uid="{00000000-0005-0000-0000-000012960000}"/>
    <cellStyle name="Percent 3 3 6 3 4 4" xfId="23548" xr:uid="{00000000-0005-0000-0000-000013960000}"/>
    <cellStyle name="Percent 3 3 6 3 5" xfId="4990" xr:uid="{00000000-0005-0000-0000-000014960000}"/>
    <cellStyle name="Percent 3 3 6 3 5 2" xfId="14020" xr:uid="{00000000-0005-0000-0000-000015960000}"/>
    <cellStyle name="Percent 3 3 6 3 5 2 2" xfId="34072" xr:uid="{00000000-0005-0000-0000-000016960000}"/>
    <cellStyle name="Percent 3 3 6 3 5 3" xfId="25042" xr:uid="{00000000-0005-0000-0000-000017960000}"/>
    <cellStyle name="Percent 3 3 6 3 6" xfId="9538" xr:uid="{00000000-0005-0000-0000-000018960000}"/>
    <cellStyle name="Percent 3 3 6 3 6 2" xfId="29590" xr:uid="{00000000-0005-0000-0000-000019960000}"/>
    <cellStyle name="Percent 3 3 6 3 7" xfId="20560" xr:uid="{00000000-0005-0000-0000-00001A960000}"/>
    <cellStyle name="Percent 3 3 6 4" xfId="694" xr:uid="{00000000-0005-0000-0000-00001B960000}"/>
    <cellStyle name="Percent 3 3 6 4 2" xfId="1441" xr:uid="{00000000-0005-0000-0000-00001C960000}"/>
    <cellStyle name="Percent 3 3 6 4 2 2" xfId="2935" xr:uid="{00000000-0005-0000-0000-00001D960000}"/>
    <cellStyle name="Percent 3 3 6 4 2 2 2" xfId="7417" xr:uid="{00000000-0005-0000-0000-00001E960000}"/>
    <cellStyle name="Percent 3 3 6 4 2 2 2 2" xfId="16447" xr:uid="{00000000-0005-0000-0000-00001F960000}"/>
    <cellStyle name="Percent 3 3 6 4 2 2 2 2 2" xfId="36499" xr:uid="{00000000-0005-0000-0000-000020960000}"/>
    <cellStyle name="Percent 3 3 6 4 2 2 2 3" xfId="27469" xr:uid="{00000000-0005-0000-0000-000021960000}"/>
    <cellStyle name="Percent 3 3 6 4 2 2 3" xfId="11965" xr:uid="{00000000-0005-0000-0000-000022960000}"/>
    <cellStyle name="Percent 3 3 6 4 2 2 3 2" xfId="32017" xr:uid="{00000000-0005-0000-0000-000023960000}"/>
    <cellStyle name="Percent 3 3 6 4 2 2 4" xfId="22987" xr:uid="{00000000-0005-0000-0000-000024960000}"/>
    <cellStyle name="Percent 3 3 6 4 2 3" xfId="4429" xr:uid="{00000000-0005-0000-0000-000025960000}"/>
    <cellStyle name="Percent 3 3 6 4 2 3 2" xfId="8911" xr:uid="{00000000-0005-0000-0000-000026960000}"/>
    <cellStyle name="Percent 3 3 6 4 2 3 2 2" xfId="17941" xr:uid="{00000000-0005-0000-0000-000027960000}"/>
    <cellStyle name="Percent 3 3 6 4 2 3 2 2 2" xfId="37993" xr:uid="{00000000-0005-0000-0000-000028960000}"/>
    <cellStyle name="Percent 3 3 6 4 2 3 2 3" xfId="28963" xr:uid="{00000000-0005-0000-0000-000029960000}"/>
    <cellStyle name="Percent 3 3 6 4 2 3 3" xfId="13459" xr:uid="{00000000-0005-0000-0000-00002A960000}"/>
    <cellStyle name="Percent 3 3 6 4 2 3 3 2" xfId="33511" xr:uid="{00000000-0005-0000-0000-00002B960000}"/>
    <cellStyle name="Percent 3 3 6 4 2 3 4" xfId="24481" xr:uid="{00000000-0005-0000-0000-00002C960000}"/>
    <cellStyle name="Percent 3 3 6 4 2 4" xfId="5923" xr:uid="{00000000-0005-0000-0000-00002D960000}"/>
    <cellStyle name="Percent 3 3 6 4 2 4 2" xfId="14953" xr:uid="{00000000-0005-0000-0000-00002E960000}"/>
    <cellStyle name="Percent 3 3 6 4 2 4 2 2" xfId="35005" xr:uid="{00000000-0005-0000-0000-00002F960000}"/>
    <cellStyle name="Percent 3 3 6 4 2 4 3" xfId="25975" xr:uid="{00000000-0005-0000-0000-000030960000}"/>
    <cellStyle name="Percent 3 3 6 4 2 5" xfId="10471" xr:uid="{00000000-0005-0000-0000-000031960000}"/>
    <cellStyle name="Percent 3 3 6 4 2 5 2" xfId="30523" xr:uid="{00000000-0005-0000-0000-000032960000}"/>
    <cellStyle name="Percent 3 3 6 4 2 6" xfId="21493" xr:uid="{00000000-0005-0000-0000-000033960000}"/>
    <cellStyle name="Percent 3 3 6 4 3" xfId="2188" xr:uid="{00000000-0005-0000-0000-000034960000}"/>
    <cellStyle name="Percent 3 3 6 4 3 2" xfId="6670" xr:uid="{00000000-0005-0000-0000-000035960000}"/>
    <cellStyle name="Percent 3 3 6 4 3 2 2" xfId="15700" xr:uid="{00000000-0005-0000-0000-000036960000}"/>
    <cellStyle name="Percent 3 3 6 4 3 2 2 2" xfId="35752" xr:uid="{00000000-0005-0000-0000-000037960000}"/>
    <cellStyle name="Percent 3 3 6 4 3 2 3" xfId="26722" xr:uid="{00000000-0005-0000-0000-000038960000}"/>
    <cellStyle name="Percent 3 3 6 4 3 3" xfId="11218" xr:uid="{00000000-0005-0000-0000-000039960000}"/>
    <cellStyle name="Percent 3 3 6 4 3 3 2" xfId="31270" xr:uid="{00000000-0005-0000-0000-00003A960000}"/>
    <cellStyle name="Percent 3 3 6 4 3 4" xfId="22240" xr:uid="{00000000-0005-0000-0000-00003B960000}"/>
    <cellStyle name="Percent 3 3 6 4 4" xfId="3682" xr:uid="{00000000-0005-0000-0000-00003C960000}"/>
    <cellStyle name="Percent 3 3 6 4 4 2" xfId="8164" xr:uid="{00000000-0005-0000-0000-00003D960000}"/>
    <cellStyle name="Percent 3 3 6 4 4 2 2" xfId="17194" xr:uid="{00000000-0005-0000-0000-00003E960000}"/>
    <cellStyle name="Percent 3 3 6 4 4 2 2 2" xfId="37246" xr:uid="{00000000-0005-0000-0000-00003F960000}"/>
    <cellStyle name="Percent 3 3 6 4 4 2 3" xfId="28216" xr:uid="{00000000-0005-0000-0000-000040960000}"/>
    <cellStyle name="Percent 3 3 6 4 4 3" xfId="12712" xr:uid="{00000000-0005-0000-0000-000041960000}"/>
    <cellStyle name="Percent 3 3 6 4 4 3 2" xfId="32764" xr:uid="{00000000-0005-0000-0000-000042960000}"/>
    <cellStyle name="Percent 3 3 6 4 4 4" xfId="23734" xr:uid="{00000000-0005-0000-0000-000043960000}"/>
    <cellStyle name="Percent 3 3 6 4 5" xfId="5176" xr:uid="{00000000-0005-0000-0000-000044960000}"/>
    <cellStyle name="Percent 3 3 6 4 5 2" xfId="14206" xr:uid="{00000000-0005-0000-0000-000045960000}"/>
    <cellStyle name="Percent 3 3 6 4 5 2 2" xfId="34258" xr:uid="{00000000-0005-0000-0000-000046960000}"/>
    <cellStyle name="Percent 3 3 6 4 5 3" xfId="25228" xr:uid="{00000000-0005-0000-0000-000047960000}"/>
    <cellStyle name="Percent 3 3 6 4 6" xfId="9724" xr:uid="{00000000-0005-0000-0000-000048960000}"/>
    <cellStyle name="Percent 3 3 6 4 6 2" xfId="29776" xr:uid="{00000000-0005-0000-0000-000049960000}"/>
    <cellStyle name="Percent 3 3 6 4 7" xfId="20746" xr:uid="{00000000-0005-0000-0000-00004A960000}"/>
    <cellStyle name="Percent 3 3 6 5" xfId="881" xr:uid="{00000000-0005-0000-0000-00004B960000}"/>
    <cellStyle name="Percent 3 3 6 5 2" xfId="2375" xr:uid="{00000000-0005-0000-0000-00004C960000}"/>
    <cellStyle name="Percent 3 3 6 5 2 2" xfId="6857" xr:uid="{00000000-0005-0000-0000-00004D960000}"/>
    <cellStyle name="Percent 3 3 6 5 2 2 2" xfId="15887" xr:uid="{00000000-0005-0000-0000-00004E960000}"/>
    <cellStyle name="Percent 3 3 6 5 2 2 2 2" xfId="35939" xr:uid="{00000000-0005-0000-0000-00004F960000}"/>
    <cellStyle name="Percent 3 3 6 5 2 2 3" xfId="26909" xr:uid="{00000000-0005-0000-0000-000050960000}"/>
    <cellStyle name="Percent 3 3 6 5 2 3" xfId="11405" xr:uid="{00000000-0005-0000-0000-000051960000}"/>
    <cellStyle name="Percent 3 3 6 5 2 3 2" xfId="31457" xr:uid="{00000000-0005-0000-0000-000052960000}"/>
    <cellStyle name="Percent 3 3 6 5 2 4" xfId="22427" xr:uid="{00000000-0005-0000-0000-000053960000}"/>
    <cellStyle name="Percent 3 3 6 5 3" xfId="3869" xr:uid="{00000000-0005-0000-0000-000054960000}"/>
    <cellStyle name="Percent 3 3 6 5 3 2" xfId="8351" xr:uid="{00000000-0005-0000-0000-000055960000}"/>
    <cellStyle name="Percent 3 3 6 5 3 2 2" xfId="17381" xr:uid="{00000000-0005-0000-0000-000056960000}"/>
    <cellStyle name="Percent 3 3 6 5 3 2 2 2" xfId="37433" xr:uid="{00000000-0005-0000-0000-000057960000}"/>
    <cellStyle name="Percent 3 3 6 5 3 2 3" xfId="28403" xr:uid="{00000000-0005-0000-0000-000058960000}"/>
    <cellStyle name="Percent 3 3 6 5 3 3" xfId="12899" xr:uid="{00000000-0005-0000-0000-000059960000}"/>
    <cellStyle name="Percent 3 3 6 5 3 3 2" xfId="32951" xr:uid="{00000000-0005-0000-0000-00005A960000}"/>
    <cellStyle name="Percent 3 3 6 5 3 4" xfId="23921" xr:uid="{00000000-0005-0000-0000-00005B960000}"/>
    <cellStyle name="Percent 3 3 6 5 4" xfId="5363" xr:uid="{00000000-0005-0000-0000-00005C960000}"/>
    <cellStyle name="Percent 3 3 6 5 4 2" xfId="14393" xr:uid="{00000000-0005-0000-0000-00005D960000}"/>
    <cellStyle name="Percent 3 3 6 5 4 2 2" xfId="34445" xr:uid="{00000000-0005-0000-0000-00005E960000}"/>
    <cellStyle name="Percent 3 3 6 5 4 3" xfId="25415" xr:uid="{00000000-0005-0000-0000-00005F960000}"/>
    <cellStyle name="Percent 3 3 6 5 5" xfId="9911" xr:uid="{00000000-0005-0000-0000-000060960000}"/>
    <cellStyle name="Percent 3 3 6 5 5 2" xfId="29963" xr:uid="{00000000-0005-0000-0000-000061960000}"/>
    <cellStyle name="Percent 3 3 6 5 6" xfId="20933" xr:uid="{00000000-0005-0000-0000-000062960000}"/>
    <cellStyle name="Percent 3 3 6 6" xfId="1630" xr:uid="{00000000-0005-0000-0000-000063960000}"/>
    <cellStyle name="Percent 3 3 6 6 2" xfId="6112" xr:uid="{00000000-0005-0000-0000-000064960000}"/>
    <cellStyle name="Percent 3 3 6 6 2 2" xfId="15142" xr:uid="{00000000-0005-0000-0000-000065960000}"/>
    <cellStyle name="Percent 3 3 6 6 2 2 2" xfId="35194" xr:uid="{00000000-0005-0000-0000-000066960000}"/>
    <cellStyle name="Percent 3 3 6 6 2 3" xfId="26164" xr:uid="{00000000-0005-0000-0000-000067960000}"/>
    <cellStyle name="Percent 3 3 6 6 3" xfId="10660" xr:uid="{00000000-0005-0000-0000-000068960000}"/>
    <cellStyle name="Percent 3 3 6 6 3 2" xfId="30712" xr:uid="{00000000-0005-0000-0000-000069960000}"/>
    <cellStyle name="Percent 3 3 6 6 4" xfId="21682" xr:uid="{00000000-0005-0000-0000-00006A960000}"/>
    <cellStyle name="Percent 3 3 6 7" xfId="3124" xr:uid="{00000000-0005-0000-0000-00006B960000}"/>
    <cellStyle name="Percent 3 3 6 7 2" xfId="7606" xr:uid="{00000000-0005-0000-0000-00006C960000}"/>
    <cellStyle name="Percent 3 3 6 7 2 2" xfId="16636" xr:uid="{00000000-0005-0000-0000-00006D960000}"/>
    <cellStyle name="Percent 3 3 6 7 2 2 2" xfId="36688" xr:uid="{00000000-0005-0000-0000-00006E960000}"/>
    <cellStyle name="Percent 3 3 6 7 2 3" xfId="27658" xr:uid="{00000000-0005-0000-0000-00006F960000}"/>
    <cellStyle name="Percent 3 3 6 7 3" xfId="12154" xr:uid="{00000000-0005-0000-0000-000070960000}"/>
    <cellStyle name="Percent 3 3 6 7 3 2" xfId="32206" xr:uid="{00000000-0005-0000-0000-000071960000}"/>
    <cellStyle name="Percent 3 3 6 7 4" xfId="23176" xr:uid="{00000000-0005-0000-0000-000072960000}"/>
    <cellStyle name="Percent 3 3 6 8" xfId="4618" xr:uid="{00000000-0005-0000-0000-000073960000}"/>
    <cellStyle name="Percent 3 3 6 8 2" xfId="13648" xr:uid="{00000000-0005-0000-0000-000074960000}"/>
    <cellStyle name="Percent 3 3 6 8 2 2" xfId="33700" xr:uid="{00000000-0005-0000-0000-000075960000}"/>
    <cellStyle name="Percent 3 3 6 8 3" xfId="24670" xr:uid="{00000000-0005-0000-0000-000076960000}"/>
    <cellStyle name="Percent 3 3 6 9" xfId="9166" xr:uid="{00000000-0005-0000-0000-000077960000}"/>
    <cellStyle name="Percent 3 3 6 9 2" xfId="29218" xr:uid="{00000000-0005-0000-0000-000078960000}"/>
    <cellStyle name="Percent 3 3 7" xfId="159" xr:uid="{00000000-0005-0000-0000-000079960000}"/>
    <cellStyle name="Percent 3 3 7 10" xfId="20211" xr:uid="{00000000-0005-0000-0000-00007A960000}"/>
    <cellStyle name="Percent 3 3 7 2" xfId="345" xr:uid="{00000000-0005-0000-0000-00007B960000}"/>
    <cellStyle name="Percent 3 3 7 2 2" xfId="1088" xr:uid="{00000000-0005-0000-0000-00007C960000}"/>
    <cellStyle name="Percent 3 3 7 2 2 2" xfId="2582" xr:uid="{00000000-0005-0000-0000-00007D960000}"/>
    <cellStyle name="Percent 3 3 7 2 2 2 2" xfId="7064" xr:uid="{00000000-0005-0000-0000-00007E960000}"/>
    <cellStyle name="Percent 3 3 7 2 2 2 2 2" xfId="16094" xr:uid="{00000000-0005-0000-0000-00007F960000}"/>
    <cellStyle name="Percent 3 3 7 2 2 2 2 2 2" xfId="36146" xr:uid="{00000000-0005-0000-0000-000080960000}"/>
    <cellStyle name="Percent 3 3 7 2 2 2 2 3" xfId="27116" xr:uid="{00000000-0005-0000-0000-000081960000}"/>
    <cellStyle name="Percent 3 3 7 2 2 2 3" xfId="11612" xr:uid="{00000000-0005-0000-0000-000082960000}"/>
    <cellStyle name="Percent 3 3 7 2 2 2 3 2" xfId="31664" xr:uid="{00000000-0005-0000-0000-000083960000}"/>
    <cellStyle name="Percent 3 3 7 2 2 2 4" xfId="22634" xr:uid="{00000000-0005-0000-0000-000084960000}"/>
    <cellStyle name="Percent 3 3 7 2 2 3" xfId="4076" xr:uid="{00000000-0005-0000-0000-000085960000}"/>
    <cellStyle name="Percent 3 3 7 2 2 3 2" xfId="8558" xr:uid="{00000000-0005-0000-0000-000086960000}"/>
    <cellStyle name="Percent 3 3 7 2 2 3 2 2" xfId="17588" xr:uid="{00000000-0005-0000-0000-000087960000}"/>
    <cellStyle name="Percent 3 3 7 2 2 3 2 2 2" xfId="37640" xr:uid="{00000000-0005-0000-0000-000088960000}"/>
    <cellStyle name="Percent 3 3 7 2 2 3 2 3" xfId="28610" xr:uid="{00000000-0005-0000-0000-000089960000}"/>
    <cellStyle name="Percent 3 3 7 2 2 3 3" xfId="13106" xr:uid="{00000000-0005-0000-0000-00008A960000}"/>
    <cellStyle name="Percent 3 3 7 2 2 3 3 2" xfId="33158" xr:uid="{00000000-0005-0000-0000-00008B960000}"/>
    <cellStyle name="Percent 3 3 7 2 2 3 4" xfId="24128" xr:uid="{00000000-0005-0000-0000-00008C960000}"/>
    <cellStyle name="Percent 3 3 7 2 2 4" xfId="5570" xr:uid="{00000000-0005-0000-0000-00008D960000}"/>
    <cellStyle name="Percent 3 3 7 2 2 4 2" xfId="14600" xr:uid="{00000000-0005-0000-0000-00008E960000}"/>
    <cellStyle name="Percent 3 3 7 2 2 4 2 2" xfId="34652" xr:uid="{00000000-0005-0000-0000-00008F960000}"/>
    <cellStyle name="Percent 3 3 7 2 2 4 3" xfId="25622" xr:uid="{00000000-0005-0000-0000-000090960000}"/>
    <cellStyle name="Percent 3 3 7 2 2 5" xfId="10118" xr:uid="{00000000-0005-0000-0000-000091960000}"/>
    <cellStyle name="Percent 3 3 7 2 2 5 2" xfId="30170" xr:uid="{00000000-0005-0000-0000-000092960000}"/>
    <cellStyle name="Percent 3 3 7 2 2 6" xfId="21140" xr:uid="{00000000-0005-0000-0000-000093960000}"/>
    <cellStyle name="Percent 3 3 7 2 3" xfId="1839" xr:uid="{00000000-0005-0000-0000-000094960000}"/>
    <cellStyle name="Percent 3 3 7 2 3 2" xfId="6321" xr:uid="{00000000-0005-0000-0000-000095960000}"/>
    <cellStyle name="Percent 3 3 7 2 3 2 2" xfId="15351" xr:uid="{00000000-0005-0000-0000-000096960000}"/>
    <cellStyle name="Percent 3 3 7 2 3 2 2 2" xfId="35403" xr:uid="{00000000-0005-0000-0000-000097960000}"/>
    <cellStyle name="Percent 3 3 7 2 3 2 3" xfId="26373" xr:uid="{00000000-0005-0000-0000-000098960000}"/>
    <cellStyle name="Percent 3 3 7 2 3 3" xfId="10869" xr:uid="{00000000-0005-0000-0000-000099960000}"/>
    <cellStyle name="Percent 3 3 7 2 3 3 2" xfId="30921" xr:uid="{00000000-0005-0000-0000-00009A960000}"/>
    <cellStyle name="Percent 3 3 7 2 3 4" xfId="21891" xr:uid="{00000000-0005-0000-0000-00009B960000}"/>
    <cellStyle name="Percent 3 3 7 2 4" xfId="3333" xr:uid="{00000000-0005-0000-0000-00009C960000}"/>
    <cellStyle name="Percent 3 3 7 2 4 2" xfId="7815" xr:uid="{00000000-0005-0000-0000-00009D960000}"/>
    <cellStyle name="Percent 3 3 7 2 4 2 2" xfId="16845" xr:uid="{00000000-0005-0000-0000-00009E960000}"/>
    <cellStyle name="Percent 3 3 7 2 4 2 2 2" xfId="36897" xr:uid="{00000000-0005-0000-0000-00009F960000}"/>
    <cellStyle name="Percent 3 3 7 2 4 2 3" xfId="27867" xr:uid="{00000000-0005-0000-0000-0000A0960000}"/>
    <cellStyle name="Percent 3 3 7 2 4 3" xfId="12363" xr:uid="{00000000-0005-0000-0000-0000A1960000}"/>
    <cellStyle name="Percent 3 3 7 2 4 3 2" xfId="32415" xr:uid="{00000000-0005-0000-0000-0000A2960000}"/>
    <cellStyle name="Percent 3 3 7 2 4 4" xfId="23385" xr:uid="{00000000-0005-0000-0000-0000A3960000}"/>
    <cellStyle name="Percent 3 3 7 2 5" xfId="4827" xr:uid="{00000000-0005-0000-0000-0000A4960000}"/>
    <cellStyle name="Percent 3 3 7 2 5 2" xfId="13857" xr:uid="{00000000-0005-0000-0000-0000A5960000}"/>
    <cellStyle name="Percent 3 3 7 2 5 2 2" xfId="33909" xr:uid="{00000000-0005-0000-0000-0000A6960000}"/>
    <cellStyle name="Percent 3 3 7 2 5 3" xfId="24879" xr:uid="{00000000-0005-0000-0000-0000A7960000}"/>
    <cellStyle name="Percent 3 3 7 2 6" xfId="9375" xr:uid="{00000000-0005-0000-0000-0000A8960000}"/>
    <cellStyle name="Percent 3 3 7 2 6 2" xfId="29427" xr:uid="{00000000-0005-0000-0000-0000A9960000}"/>
    <cellStyle name="Percent 3 3 7 2 7" xfId="20397" xr:uid="{00000000-0005-0000-0000-0000AA960000}"/>
    <cellStyle name="Percent 3 3 7 3" xfId="531" xr:uid="{00000000-0005-0000-0000-0000AB960000}"/>
    <cellStyle name="Percent 3 3 7 3 2" xfId="1278" xr:uid="{00000000-0005-0000-0000-0000AC960000}"/>
    <cellStyle name="Percent 3 3 7 3 2 2" xfId="2772" xr:uid="{00000000-0005-0000-0000-0000AD960000}"/>
    <cellStyle name="Percent 3 3 7 3 2 2 2" xfId="7254" xr:uid="{00000000-0005-0000-0000-0000AE960000}"/>
    <cellStyle name="Percent 3 3 7 3 2 2 2 2" xfId="16284" xr:uid="{00000000-0005-0000-0000-0000AF960000}"/>
    <cellStyle name="Percent 3 3 7 3 2 2 2 2 2" xfId="36336" xr:uid="{00000000-0005-0000-0000-0000B0960000}"/>
    <cellStyle name="Percent 3 3 7 3 2 2 2 3" xfId="27306" xr:uid="{00000000-0005-0000-0000-0000B1960000}"/>
    <cellStyle name="Percent 3 3 7 3 2 2 3" xfId="11802" xr:uid="{00000000-0005-0000-0000-0000B2960000}"/>
    <cellStyle name="Percent 3 3 7 3 2 2 3 2" xfId="31854" xr:uid="{00000000-0005-0000-0000-0000B3960000}"/>
    <cellStyle name="Percent 3 3 7 3 2 2 4" xfId="22824" xr:uid="{00000000-0005-0000-0000-0000B4960000}"/>
    <cellStyle name="Percent 3 3 7 3 2 3" xfId="4266" xr:uid="{00000000-0005-0000-0000-0000B5960000}"/>
    <cellStyle name="Percent 3 3 7 3 2 3 2" xfId="8748" xr:uid="{00000000-0005-0000-0000-0000B6960000}"/>
    <cellStyle name="Percent 3 3 7 3 2 3 2 2" xfId="17778" xr:uid="{00000000-0005-0000-0000-0000B7960000}"/>
    <cellStyle name="Percent 3 3 7 3 2 3 2 2 2" xfId="37830" xr:uid="{00000000-0005-0000-0000-0000B8960000}"/>
    <cellStyle name="Percent 3 3 7 3 2 3 2 3" xfId="28800" xr:uid="{00000000-0005-0000-0000-0000B9960000}"/>
    <cellStyle name="Percent 3 3 7 3 2 3 3" xfId="13296" xr:uid="{00000000-0005-0000-0000-0000BA960000}"/>
    <cellStyle name="Percent 3 3 7 3 2 3 3 2" xfId="33348" xr:uid="{00000000-0005-0000-0000-0000BB960000}"/>
    <cellStyle name="Percent 3 3 7 3 2 3 4" xfId="24318" xr:uid="{00000000-0005-0000-0000-0000BC960000}"/>
    <cellStyle name="Percent 3 3 7 3 2 4" xfId="5760" xr:uid="{00000000-0005-0000-0000-0000BD960000}"/>
    <cellStyle name="Percent 3 3 7 3 2 4 2" xfId="14790" xr:uid="{00000000-0005-0000-0000-0000BE960000}"/>
    <cellStyle name="Percent 3 3 7 3 2 4 2 2" xfId="34842" xr:uid="{00000000-0005-0000-0000-0000BF960000}"/>
    <cellStyle name="Percent 3 3 7 3 2 4 3" xfId="25812" xr:uid="{00000000-0005-0000-0000-0000C0960000}"/>
    <cellStyle name="Percent 3 3 7 3 2 5" xfId="10308" xr:uid="{00000000-0005-0000-0000-0000C1960000}"/>
    <cellStyle name="Percent 3 3 7 3 2 5 2" xfId="30360" xr:uid="{00000000-0005-0000-0000-0000C2960000}"/>
    <cellStyle name="Percent 3 3 7 3 2 6" xfId="21330" xr:uid="{00000000-0005-0000-0000-0000C3960000}"/>
    <cellStyle name="Percent 3 3 7 3 3" xfId="2025" xr:uid="{00000000-0005-0000-0000-0000C4960000}"/>
    <cellStyle name="Percent 3 3 7 3 3 2" xfId="6507" xr:uid="{00000000-0005-0000-0000-0000C5960000}"/>
    <cellStyle name="Percent 3 3 7 3 3 2 2" xfId="15537" xr:uid="{00000000-0005-0000-0000-0000C6960000}"/>
    <cellStyle name="Percent 3 3 7 3 3 2 2 2" xfId="35589" xr:uid="{00000000-0005-0000-0000-0000C7960000}"/>
    <cellStyle name="Percent 3 3 7 3 3 2 3" xfId="26559" xr:uid="{00000000-0005-0000-0000-0000C8960000}"/>
    <cellStyle name="Percent 3 3 7 3 3 3" xfId="11055" xr:uid="{00000000-0005-0000-0000-0000C9960000}"/>
    <cellStyle name="Percent 3 3 7 3 3 3 2" xfId="31107" xr:uid="{00000000-0005-0000-0000-0000CA960000}"/>
    <cellStyle name="Percent 3 3 7 3 3 4" xfId="22077" xr:uid="{00000000-0005-0000-0000-0000CB960000}"/>
    <cellStyle name="Percent 3 3 7 3 4" xfId="3519" xr:uid="{00000000-0005-0000-0000-0000CC960000}"/>
    <cellStyle name="Percent 3 3 7 3 4 2" xfId="8001" xr:uid="{00000000-0005-0000-0000-0000CD960000}"/>
    <cellStyle name="Percent 3 3 7 3 4 2 2" xfId="17031" xr:uid="{00000000-0005-0000-0000-0000CE960000}"/>
    <cellStyle name="Percent 3 3 7 3 4 2 2 2" xfId="37083" xr:uid="{00000000-0005-0000-0000-0000CF960000}"/>
    <cellStyle name="Percent 3 3 7 3 4 2 3" xfId="28053" xr:uid="{00000000-0005-0000-0000-0000D0960000}"/>
    <cellStyle name="Percent 3 3 7 3 4 3" xfId="12549" xr:uid="{00000000-0005-0000-0000-0000D1960000}"/>
    <cellStyle name="Percent 3 3 7 3 4 3 2" xfId="32601" xr:uid="{00000000-0005-0000-0000-0000D2960000}"/>
    <cellStyle name="Percent 3 3 7 3 4 4" xfId="23571" xr:uid="{00000000-0005-0000-0000-0000D3960000}"/>
    <cellStyle name="Percent 3 3 7 3 5" xfId="5013" xr:uid="{00000000-0005-0000-0000-0000D4960000}"/>
    <cellStyle name="Percent 3 3 7 3 5 2" xfId="14043" xr:uid="{00000000-0005-0000-0000-0000D5960000}"/>
    <cellStyle name="Percent 3 3 7 3 5 2 2" xfId="34095" xr:uid="{00000000-0005-0000-0000-0000D6960000}"/>
    <cellStyle name="Percent 3 3 7 3 5 3" xfId="25065" xr:uid="{00000000-0005-0000-0000-0000D7960000}"/>
    <cellStyle name="Percent 3 3 7 3 6" xfId="9561" xr:uid="{00000000-0005-0000-0000-0000D8960000}"/>
    <cellStyle name="Percent 3 3 7 3 6 2" xfId="29613" xr:uid="{00000000-0005-0000-0000-0000D9960000}"/>
    <cellStyle name="Percent 3 3 7 3 7" xfId="20583" xr:uid="{00000000-0005-0000-0000-0000DA960000}"/>
    <cellStyle name="Percent 3 3 7 4" xfId="717" xr:uid="{00000000-0005-0000-0000-0000DB960000}"/>
    <cellStyle name="Percent 3 3 7 4 2" xfId="1464" xr:uid="{00000000-0005-0000-0000-0000DC960000}"/>
    <cellStyle name="Percent 3 3 7 4 2 2" xfId="2958" xr:uid="{00000000-0005-0000-0000-0000DD960000}"/>
    <cellStyle name="Percent 3 3 7 4 2 2 2" xfId="7440" xr:uid="{00000000-0005-0000-0000-0000DE960000}"/>
    <cellStyle name="Percent 3 3 7 4 2 2 2 2" xfId="16470" xr:uid="{00000000-0005-0000-0000-0000DF960000}"/>
    <cellStyle name="Percent 3 3 7 4 2 2 2 2 2" xfId="36522" xr:uid="{00000000-0005-0000-0000-0000E0960000}"/>
    <cellStyle name="Percent 3 3 7 4 2 2 2 3" xfId="27492" xr:uid="{00000000-0005-0000-0000-0000E1960000}"/>
    <cellStyle name="Percent 3 3 7 4 2 2 3" xfId="11988" xr:uid="{00000000-0005-0000-0000-0000E2960000}"/>
    <cellStyle name="Percent 3 3 7 4 2 2 3 2" xfId="32040" xr:uid="{00000000-0005-0000-0000-0000E3960000}"/>
    <cellStyle name="Percent 3 3 7 4 2 2 4" xfId="23010" xr:uid="{00000000-0005-0000-0000-0000E4960000}"/>
    <cellStyle name="Percent 3 3 7 4 2 3" xfId="4452" xr:uid="{00000000-0005-0000-0000-0000E5960000}"/>
    <cellStyle name="Percent 3 3 7 4 2 3 2" xfId="8934" xr:uid="{00000000-0005-0000-0000-0000E6960000}"/>
    <cellStyle name="Percent 3 3 7 4 2 3 2 2" xfId="17964" xr:uid="{00000000-0005-0000-0000-0000E7960000}"/>
    <cellStyle name="Percent 3 3 7 4 2 3 2 2 2" xfId="38016" xr:uid="{00000000-0005-0000-0000-0000E8960000}"/>
    <cellStyle name="Percent 3 3 7 4 2 3 2 3" xfId="28986" xr:uid="{00000000-0005-0000-0000-0000E9960000}"/>
    <cellStyle name="Percent 3 3 7 4 2 3 3" xfId="13482" xr:uid="{00000000-0005-0000-0000-0000EA960000}"/>
    <cellStyle name="Percent 3 3 7 4 2 3 3 2" xfId="33534" xr:uid="{00000000-0005-0000-0000-0000EB960000}"/>
    <cellStyle name="Percent 3 3 7 4 2 3 4" xfId="24504" xr:uid="{00000000-0005-0000-0000-0000EC960000}"/>
    <cellStyle name="Percent 3 3 7 4 2 4" xfId="5946" xr:uid="{00000000-0005-0000-0000-0000ED960000}"/>
    <cellStyle name="Percent 3 3 7 4 2 4 2" xfId="14976" xr:uid="{00000000-0005-0000-0000-0000EE960000}"/>
    <cellStyle name="Percent 3 3 7 4 2 4 2 2" xfId="35028" xr:uid="{00000000-0005-0000-0000-0000EF960000}"/>
    <cellStyle name="Percent 3 3 7 4 2 4 3" xfId="25998" xr:uid="{00000000-0005-0000-0000-0000F0960000}"/>
    <cellStyle name="Percent 3 3 7 4 2 5" xfId="10494" xr:uid="{00000000-0005-0000-0000-0000F1960000}"/>
    <cellStyle name="Percent 3 3 7 4 2 5 2" xfId="30546" xr:uid="{00000000-0005-0000-0000-0000F2960000}"/>
    <cellStyle name="Percent 3 3 7 4 2 6" xfId="21516" xr:uid="{00000000-0005-0000-0000-0000F3960000}"/>
    <cellStyle name="Percent 3 3 7 4 3" xfId="2211" xr:uid="{00000000-0005-0000-0000-0000F4960000}"/>
    <cellStyle name="Percent 3 3 7 4 3 2" xfId="6693" xr:uid="{00000000-0005-0000-0000-0000F5960000}"/>
    <cellStyle name="Percent 3 3 7 4 3 2 2" xfId="15723" xr:uid="{00000000-0005-0000-0000-0000F6960000}"/>
    <cellStyle name="Percent 3 3 7 4 3 2 2 2" xfId="35775" xr:uid="{00000000-0005-0000-0000-0000F7960000}"/>
    <cellStyle name="Percent 3 3 7 4 3 2 3" xfId="26745" xr:uid="{00000000-0005-0000-0000-0000F8960000}"/>
    <cellStyle name="Percent 3 3 7 4 3 3" xfId="11241" xr:uid="{00000000-0005-0000-0000-0000F9960000}"/>
    <cellStyle name="Percent 3 3 7 4 3 3 2" xfId="31293" xr:uid="{00000000-0005-0000-0000-0000FA960000}"/>
    <cellStyle name="Percent 3 3 7 4 3 4" xfId="22263" xr:uid="{00000000-0005-0000-0000-0000FB960000}"/>
    <cellStyle name="Percent 3 3 7 4 4" xfId="3705" xr:uid="{00000000-0005-0000-0000-0000FC960000}"/>
    <cellStyle name="Percent 3 3 7 4 4 2" xfId="8187" xr:uid="{00000000-0005-0000-0000-0000FD960000}"/>
    <cellStyle name="Percent 3 3 7 4 4 2 2" xfId="17217" xr:uid="{00000000-0005-0000-0000-0000FE960000}"/>
    <cellStyle name="Percent 3 3 7 4 4 2 2 2" xfId="37269" xr:uid="{00000000-0005-0000-0000-0000FF960000}"/>
    <cellStyle name="Percent 3 3 7 4 4 2 3" xfId="28239" xr:uid="{00000000-0005-0000-0000-000000970000}"/>
    <cellStyle name="Percent 3 3 7 4 4 3" xfId="12735" xr:uid="{00000000-0005-0000-0000-000001970000}"/>
    <cellStyle name="Percent 3 3 7 4 4 3 2" xfId="32787" xr:uid="{00000000-0005-0000-0000-000002970000}"/>
    <cellStyle name="Percent 3 3 7 4 4 4" xfId="23757" xr:uid="{00000000-0005-0000-0000-000003970000}"/>
    <cellStyle name="Percent 3 3 7 4 5" xfId="5199" xr:uid="{00000000-0005-0000-0000-000004970000}"/>
    <cellStyle name="Percent 3 3 7 4 5 2" xfId="14229" xr:uid="{00000000-0005-0000-0000-000005970000}"/>
    <cellStyle name="Percent 3 3 7 4 5 2 2" xfId="34281" xr:uid="{00000000-0005-0000-0000-000006970000}"/>
    <cellStyle name="Percent 3 3 7 4 5 3" xfId="25251" xr:uid="{00000000-0005-0000-0000-000007970000}"/>
    <cellStyle name="Percent 3 3 7 4 6" xfId="9747" xr:uid="{00000000-0005-0000-0000-000008970000}"/>
    <cellStyle name="Percent 3 3 7 4 6 2" xfId="29799" xr:uid="{00000000-0005-0000-0000-000009970000}"/>
    <cellStyle name="Percent 3 3 7 4 7" xfId="20769" xr:uid="{00000000-0005-0000-0000-00000A970000}"/>
    <cellStyle name="Percent 3 3 7 5" xfId="904" xr:uid="{00000000-0005-0000-0000-00000B970000}"/>
    <cellStyle name="Percent 3 3 7 5 2" xfId="2398" xr:uid="{00000000-0005-0000-0000-00000C970000}"/>
    <cellStyle name="Percent 3 3 7 5 2 2" xfId="6880" xr:uid="{00000000-0005-0000-0000-00000D970000}"/>
    <cellStyle name="Percent 3 3 7 5 2 2 2" xfId="15910" xr:uid="{00000000-0005-0000-0000-00000E970000}"/>
    <cellStyle name="Percent 3 3 7 5 2 2 2 2" xfId="35962" xr:uid="{00000000-0005-0000-0000-00000F970000}"/>
    <cellStyle name="Percent 3 3 7 5 2 2 3" xfId="26932" xr:uid="{00000000-0005-0000-0000-000010970000}"/>
    <cellStyle name="Percent 3 3 7 5 2 3" xfId="11428" xr:uid="{00000000-0005-0000-0000-000011970000}"/>
    <cellStyle name="Percent 3 3 7 5 2 3 2" xfId="31480" xr:uid="{00000000-0005-0000-0000-000012970000}"/>
    <cellStyle name="Percent 3 3 7 5 2 4" xfId="22450" xr:uid="{00000000-0005-0000-0000-000013970000}"/>
    <cellStyle name="Percent 3 3 7 5 3" xfId="3892" xr:uid="{00000000-0005-0000-0000-000014970000}"/>
    <cellStyle name="Percent 3 3 7 5 3 2" xfId="8374" xr:uid="{00000000-0005-0000-0000-000015970000}"/>
    <cellStyle name="Percent 3 3 7 5 3 2 2" xfId="17404" xr:uid="{00000000-0005-0000-0000-000016970000}"/>
    <cellStyle name="Percent 3 3 7 5 3 2 2 2" xfId="37456" xr:uid="{00000000-0005-0000-0000-000017970000}"/>
    <cellStyle name="Percent 3 3 7 5 3 2 3" xfId="28426" xr:uid="{00000000-0005-0000-0000-000018970000}"/>
    <cellStyle name="Percent 3 3 7 5 3 3" xfId="12922" xr:uid="{00000000-0005-0000-0000-000019970000}"/>
    <cellStyle name="Percent 3 3 7 5 3 3 2" xfId="32974" xr:uid="{00000000-0005-0000-0000-00001A970000}"/>
    <cellStyle name="Percent 3 3 7 5 3 4" xfId="23944" xr:uid="{00000000-0005-0000-0000-00001B970000}"/>
    <cellStyle name="Percent 3 3 7 5 4" xfId="5386" xr:uid="{00000000-0005-0000-0000-00001C970000}"/>
    <cellStyle name="Percent 3 3 7 5 4 2" xfId="14416" xr:uid="{00000000-0005-0000-0000-00001D970000}"/>
    <cellStyle name="Percent 3 3 7 5 4 2 2" xfId="34468" xr:uid="{00000000-0005-0000-0000-00001E970000}"/>
    <cellStyle name="Percent 3 3 7 5 4 3" xfId="25438" xr:uid="{00000000-0005-0000-0000-00001F970000}"/>
    <cellStyle name="Percent 3 3 7 5 5" xfId="9934" xr:uid="{00000000-0005-0000-0000-000020970000}"/>
    <cellStyle name="Percent 3 3 7 5 5 2" xfId="29986" xr:uid="{00000000-0005-0000-0000-000021970000}"/>
    <cellStyle name="Percent 3 3 7 5 6" xfId="20956" xr:uid="{00000000-0005-0000-0000-000022970000}"/>
    <cellStyle name="Percent 3 3 7 6" xfId="1653" xr:uid="{00000000-0005-0000-0000-000023970000}"/>
    <cellStyle name="Percent 3 3 7 6 2" xfId="6135" xr:uid="{00000000-0005-0000-0000-000024970000}"/>
    <cellStyle name="Percent 3 3 7 6 2 2" xfId="15165" xr:uid="{00000000-0005-0000-0000-000025970000}"/>
    <cellStyle name="Percent 3 3 7 6 2 2 2" xfId="35217" xr:uid="{00000000-0005-0000-0000-000026970000}"/>
    <cellStyle name="Percent 3 3 7 6 2 3" xfId="26187" xr:uid="{00000000-0005-0000-0000-000027970000}"/>
    <cellStyle name="Percent 3 3 7 6 3" xfId="10683" xr:uid="{00000000-0005-0000-0000-000028970000}"/>
    <cellStyle name="Percent 3 3 7 6 3 2" xfId="30735" xr:uid="{00000000-0005-0000-0000-000029970000}"/>
    <cellStyle name="Percent 3 3 7 6 4" xfId="21705" xr:uid="{00000000-0005-0000-0000-00002A970000}"/>
    <cellStyle name="Percent 3 3 7 7" xfId="3147" xr:uid="{00000000-0005-0000-0000-00002B970000}"/>
    <cellStyle name="Percent 3 3 7 7 2" xfId="7629" xr:uid="{00000000-0005-0000-0000-00002C970000}"/>
    <cellStyle name="Percent 3 3 7 7 2 2" xfId="16659" xr:uid="{00000000-0005-0000-0000-00002D970000}"/>
    <cellStyle name="Percent 3 3 7 7 2 2 2" xfId="36711" xr:uid="{00000000-0005-0000-0000-00002E970000}"/>
    <cellStyle name="Percent 3 3 7 7 2 3" xfId="27681" xr:uid="{00000000-0005-0000-0000-00002F970000}"/>
    <cellStyle name="Percent 3 3 7 7 3" xfId="12177" xr:uid="{00000000-0005-0000-0000-000030970000}"/>
    <cellStyle name="Percent 3 3 7 7 3 2" xfId="32229" xr:uid="{00000000-0005-0000-0000-000031970000}"/>
    <cellStyle name="Percent 3 3 7 7 4" xfId="23199" xr:uid="{00000000-0005-0000-0000-000032970000}"/>
    <cellStyle name="Percent 3 3 7 8" xfId="4641" xr:uid="{00000000-0005-0000-0000-000033970000}"/>
    <cellStyle name="Percent 3 3 7 8 2" xfId="13671" xr:uid="{00000000-0005-0000-0000-000034970000}"/>
    <cellStyle name="Percent 3 3 7 8 2 2" xfId="33723" xr:uid="{00000000-0005-0000-0000-000035970000}"/>
    <cellStyle name="Percent 3 3 7 8 3" xfId="24693" xr:uid="{00000000-0005-0000-0000-000036970000}"/>
    <cellStyle name="Percent 3 3 7 9" xfId="9189" xr:uid="{00000000-0005-0000-0000-000037970000}"/>
    <cellStyle name="Percent 3 3 7 9 2" xfId="29241" xr:uid="{00000000-0005-0000-0000-000038970000}"/>
    <cellStyle name="Percent 3 3 8" xfId="182" xr:uid="{00000000-0005-0000-0000-000039970000}"/>
    <cellStyle name="Percent 3 3 8 10" xfId="20234" xr:uid="{00000000-0005-0000-0000-00003A970000}"/>
    <cellStyle name="Percent 3 3 8 2" xfId="368" xr:uid="{00000000-0005-0000-0000-00003B970000}"/>
    <cellStyle name="Percent 3 3 8 2 2" xfId="1111" xr:uid="{00000000-0005-0000-0000-00003C970000}"/>
    <cellStyle name="Percent 3 3 8 2 2 2" xfId="2605" xr:uid="{00000000-0005-0000-0000-00003D970000}"/>
    <cellStyle name="Percent 3 3 8 2 2 2 2" xfId="7087" xr:uid="{00000000-0005-0000-0000-00003E970000}"/>
    <cellStyle name="Percent 3 3 8 2 2 2 2 2" xfId="16117" xr:uid="{00000000-0005-0000-0000-00003F970000}"/>
    <cellStyle name="Percent 3 3 8 2 2 2 2 2 2" xfId="36169" xr:uid="{00000000-0005-0000-0000-000040970000}"/>
    <cellStyle name="Percent 3 3 8 2 2 2 2 3" xfId="27139" xr:uid="{00000000-0005-0000-0000-000041970000}"/>
    <cellStyle name="Percent 3 3 8 2 2 2 3" xfId="11635" xr:uid="{00000000-0005-0000-0000-000042970000}"/>
    <cellStyle name="Percent 3 3 8 2 2 2 3 2" xfId="31687" xr:uid="{00000000-0005-0000-0000-000043970000}"/>
    <cellStyle name="Percent 3 3 8 2 2 2 4" xfId="22657" xr:uid="{00000000-0005-0000-0000-000044970000}"/>
    <cellStyle name="Percent 3 3 8 2 2 3" xfId="4099" xr:uid="{00000000-0005-0000-0000-000045970000}"/>
    <cellStyle name="Percent 3 3 8 2 2 3 2" xfId="8581" xr:uid="{00000000-0005-0000-0000-000046970000}"/>
    <cellStyle name="Percent 3 3 8 2 2 3 2 2" xfId="17611" xr:uid="{00000000-0005-0000-0000-000047970000}"/>
    <cellStyle name="Percent 3 3 8 2 2 3 2 2 2" xfId="37663" xr:uid="{00000000-0005-0000-0000-000048970000}"/>
    <cellStyle name="Percent 3 3 8 2 2 3 2 3" xfId="28633" xr:uid="{00000000-0005-0000-0000-000049970000}"/>
    <cellStyle name="Percent 3 3 8 2 2 3 3" xfId="13129" xr:uid="{00000000-0005-0000-0000-00004A970000}"/>
    <cellStyle name="Percent 3 3 8 2 2 3 3 2" xfId="33181" xr:uid="{00000000-0005-0000-0000-00004B970000}"/>
    <cellStyle name="Percent 3 3 8 2 2 3 4" xfId="24151" xr:uid="{00000000-0005-0000-0000-00004C970000}"/>
    <cellStyle name="Percent 3 3 8 2 2 4" xfId="5593" xr:uid="{00000000-0005-0000-0000-00004D970000}"/>
    <cellStyle name="Percent 3 3 8 2 2 4 2" xfId="14623" xr:uid="{00000000-0005-0000-0000-00004E970000}"/>
    <cellStyle name="Percent 3 3 8 2 2 4 2 2" xfId="34675" xr:uid="{00000000-0005-0000-0000-00004F970000}"/>
    <cellStyle name="Percent 3 3 8 2 2 4 3" xfId="25645" xr:uid="{00000000-0005-0000-0000-000050970000}"/>
    <cellStyle name="Percent 3 3 8 2 2 5" xfId="10141" xr:uid="{00000000-0005-0000-0000-000051970000}"/>
    <cellStyle name="Percent 3 3 8 2 2 5 2" xfId="30193" xr:uid="{00000000-0005-0000-0000-000052970000}"/>
    <cellStyle name="Percent 3 3 8 2 2 6" xfId="21163" xr:uid="{00000000-0005-0000-0000-000053970000}"/>
    <cellStyle name="Percent 3 3 8 2 3" xfId="1862" xr:uid="{00000000-0005-0000-0000-000054970000}"/>
    <cellStyle name="Percent 3 3 8 2 3 2" xfId="6344" xr:uid="{00000000-0005-0000-0000-000055970000}"/>
    <cellStyle name="Percent 3 3 8 2 3 2 2" xfId="15374" xr:uid="{00000000-0005-0000-0000-000056970000}"/>
    <cellStyle name="Percent 3 3 8 2 3 2 2 2" xfId="35426" xr:uid="{00000000-0005-0000-0000-000057970000}"/>
    <cellStyle name="Percent 3 3 8 2 3 2 3" xfId="26396" xr:uid="{00000000-0005-0000-0000-000058970000}"/>
    <cellStyle name="Percent 3 3 8 2 3 3" xfId="10892" xr:uid="{00000000-0005-0000-0000-000059970000}"/>
    <cellStyle name="Percent 3 3 8 2 3 3 2" xfId="30944" xr:uid="{00000000-0005-0000-0000-00005A970000}"/>
    <cellStyle name="Percent 3 3 8 2 3 4" xfId="21914" xr:uid="{00000000-0005-0000-0000-00005B970000}"/>
    <cellStyle name="Percent 3 3 8 2 4" xfId="3356" xr:uid="{00000000-0005-0000-0000-00005C970000}"/>
    <cellStyle name="Percent 3 3 8 2 4 2" xfId="7838" xr:uid="{00000000-0005-0000-0000-00005D970000}"/>
    <cellStyle name="Percent 3 3 8 2 4 2 2" xfId="16868" xr:uid="{00000000-0005-0000-0000-00005E970000}"/>
    <cellStyle name="Percent 3 3 8 2 4 2 2 2" xfId="36920" xr:uid="{00000000-0005-0000-0000-00005F970000}"/>
    <cellStyle name="Percent 3 3 8 2 4 2 3" xfId="27890" xr:uid="{00000000-0005-0000-0000-000060970000}"/>
    <cellStyle name="Percent 3 3 8 2 4 3" xfId="12386" xr:uid="{00000000-0005-0000-0000-000061970000}"/>
    <cellStyle name="Percent 3 3 8 2 4 3 2" xfId="32438" xr:uid="{00000000-0005-0000-0000-000062970000}"/>
    <cellStyle name="Percent 3 3 8 2 4 4" xfId="23408" xr:uid="{00000000-0005-0000-0000-000063970000}"/>
    <cellStyle name="Percent 3 3 8 2 5" xfId="4850" xr:uid="{00000000-0005-0000-0000-000064970000}"/>
    <cellStyle name="Percent 3 3 8 2 5 2" xfId="13880" xr:uid="{00000000-0005-0000-0000-000065970000}"/>
    <cellStyle name="Percent 3 3 8 2 5 2 2" xfId="33932" xr:uid="{00000000-0005-0000-0000-000066970000}"/>
    <cellStyle name="Percent 3 3 8 2 5 3" xfId="24902" xr:uid="{00000000-0005-0000-0000-000067970000}"/>
    <cellStyle name="Percent 3 3 8 2 6" xfId="9398" xr:uid="{00000000-0005-0000-0000-000068970000}"/>
    <cellStyle name="Percent 3 3 8 2 6 2" xfId="29450" xr:uid="{00000000-0005-0000-0000-000069970000}"/>
    <cellStyle name="Percent 3 3 8 2 7" xfId="20420" xr:uid="{00000000-0005-0000-0000-00006A970000}"/>
    <cellStyle name="Percent 3 3 8 3" xfId="554" xr:uid="{00000000-0005-0000-0000-00006B970000}"/>
    <cellStyle name="Percent 3 3 8 3 2" xfId="1301" xr:uid="{00000000-0005-0000-0000-00006C970000}"/>
    <cellStyle name="Percent 3 3 8 3 2 2" xfId="2795" xr:uid="{00000000-0005-0000-0000-00006D970000}"/>
    <cellStyle name="Percent 3 3 8 3 2 2 2" xfId="7277" xr:uid="{00000000-0005-0000-0000-00006E970000}"/>
    <cellStyle name="Percent 3 3 8 3 2 2 2 2" xfId="16307" xr:uid="{00000000-0005-0000-0000-00006F970000}"/>
    <cellStyle name="Percent 3 3 8 3 2 2 2 2 2" xfId="36359" xr:uid="{00000000-0005-0000-0000-000070970000}"/>
    <cellStyle name="Percent 3 3 8 3 2 2 2 3" xfId="27329" xr:uid="{00000000-0005-0000-0000-000071970000}"/>
    <cellStyle name="Percent 3 3 8 3 2 2 3" xfId="11825" xr:uid="{00000000-0005-0000-0000-000072970000}"/>
    <cellStyle name="Percent 3 3 8 3 2 2 3 2" xfId="31877" xr:uid="{00000000-0005-0000-0000-000073970000}"/>
    <cellStyle name="Percent 3 3 8 3 2 2 4" xfId="22847" xr:uid="{00000000-0005-0000-0000-000074970000}"/>
    <cellStyle name="Percent 3 3 8 3 2 3" xfId="4289" xr:uid="{00000000-0005-0000-0000-000075970000}"/>
    <cellStyle name="Percent 3 3 8 3 2 3 2" xfId="8771" xr:uid="{00000000-0005-0000-0000-000076970000}"/>
    <cellStyle name="Percent 3 3 8 3 2 3 2 2" xfId="17801" xr:uid="{00000000-0005-0000-0000-000077970000}"/>
    <cellStyle name="Percent 3 3 8 3 2 3 2 2 2" xfId="37853" xr:uid="{00000000-0005-0000-0000-000078970000}"/>
    <cellStyle name="Percent 3 3 8 3 2 3 2 3" xfId="28823" xr:uid="{00000000-0005-0000-0000-000079970000}"/>
    <cellStyle name="Percent 3 3 8 3 2 3 3" xfId="13319" xr:uid="{00000000-0005-0000-0000-00007A970000}"/>
    <cellStyle name="Percent 3 3 8 3 2 3 3 2" xfId="33371" xr:uid="{00000000-0005-0000-0000-00007B970000}"/>
    <cellStyle name="Percent 3 3 8 3 2 3 4" xfId="24341" xr:uid="{00000000-0005-0000-0000-00007C970000}"/>
    <cellStyle name="Percent 3 3 8 3 2 4" xfId="5783" xr:uid="{00000000-0005-0000-0000-00007D970000}"/>
    <cellStyle name="Percent 3 3 8 3 2 4 2" xfId="14813" xr:uid="{00000000-0005-0000-0000-00007E970000}"/>
    <cellStyle name="Percent 3 3 8 3 2 4 2 2" xfId="34865" xr:uid="{00000000-0005-0000-0000-00007F970000}"/>
    <cellStyle name="Percent 3 3 8 3 2 4 3" xfId="25835" xr:uid="{00000000-0005-0000-0000-000080970000}"/>
    <cellStyle name="Percent 3 3 8 3 2 5" xfId="10331" xr:uid="{00000000-0005-0000-0000-000081970000}"/>
    <cellStyle name="Percent 3 3 8 3 2 5 2" xfId="30383" xr:uid="{00000000-0005-0000-0000-000082970000}"/>
    <cellStyle name="Percent 3 3 8 3 2 6" xfId="21353" xr:uid="{00000000-0005-0000-0000-000083970000}"/>
    <cellStyle name="Percent 3 3 8 3 3" xfId="2048" xr:uid="{00000000-0005-0000-0000-000084970000}"/>
    <cellStyle name="Percent 3 3 8 3 3 2" xfId="6530" xr:uid="{00000000-0005-0000-0000-000085970000}"/>
    <cellStyle name="Percent 3 3 8 3 3 2 2" xfId="15560" xr:uid="{00000000-0005-0000-0000-000086970000}"/>
    <cellStyle name="Percent 3 3 8 3 3 2 2 2" xfId="35612" xr:uid="{00000000-0005-0000-0000-000087970000}"/>
    <cellStyle name="Percent 3 3 8 3 3 2 3" xfId="26582" xr:uid="{00000000-0005-0000-0000-000088970000}"/>
    <cellStyle name="Percent 3 3 8 3 3 3" xfId="11078" xr:uid="{00000000-0005-0000-0000-000089970000}"/>
    <cellStyle name="Percent 3 3 8 3 3 3 2" xfId="31130" xr:uid="{00000000-0005-0000-0000-00008A970000}"/>
    <cellStyle name="Percent 3 3 8 3 3 4" xfId="22100" xr:uid="{00000000-0005-0000-0000-00008B970000}"/>
    <cellStyle name="Percent 3 3 8 3 4" xfId="3542" xr:uid="{00000000-0005-0000-0000-00008C970000}"/>
    <cellStyle name="Percent 3 3 8 3 4 2" xfId="8024" xr:uid="{00000000-0005-0000-0000-00008D970000}"/>
    <cellStyle name="Percent 3 3 8 3 4 2 2" xfId="17054" xr:uid="{00000000-0005-0000-0000-00008E970000}"/>
    <cellStyle name="Percent 3 3 8 3 4 2 2 2" xfId="37106" xr:uid="{00000000-0005-0000-0000-00008F970000}"/>
    <cellStyle name="Percent 3 3 8 3 4 2 3" xfId="28076" xr:uid="{00000000-0005-0000-0000-000090970000}"/>
    <cellStyle name="Percent 3 3 8 3 4 3" xfId="12572" xr:uid="{00000000-0005-0000-0000-000091970000}"/>
    <cellStyle name="Percent 3 3 8 3 4 3 2" xfId="32624" xr:uid="{00000000-0005-0000-0000-000092970000}"/>
    <cellStyle name="Percent 3 3 8 3 4 4" xfId="23594" xr:uid="{00000000-0005-0000-0000-000093970000}"/>
    <cellStyle name="Percent 3 3 8 3 5" xfId="5036" xr:uid="{00000000-0005-0000-0000-000094970000}"/>
    <cellStyle name="Percent 3 3 8 3 5 2" xfId="14066" xr:uid="{00000000-0005-0000-0000-000095970000}"/>
    <cellStyle name="Percent 3 3 8 3 5 2 2" xfId="34118" xr:uid="{00000000-0005-0000-0000-000096970000}"/>
    <cellStyle name="Percent 3 3 8 3 5 3" xfId="25088" xr:uid="{00000000-0005-0000-0000-000097970000}"/>
    <cellStyle name="Percent 3 3 8 3 6" xfId="9584" xr:uid="{00000000-0005-0000-0000-000098970000}"/>
    <cellStyle name="Percent 3 3 8 3 6 2" xfId="29636" xr:uid="{00000000-0005-0000-0000-000099970000}"/>
    <cellStyle name="Percent 3 3 8 3 7" xfId="20606" xr:uid="{00000000-0005-0000-0000-00009A970000}"/>
    <cellStyle name="Percent 3 3 8 4" xfId="740" xr:uid="{00000000-0005-0000-0000-00009B970000}"/>
    <cellStyle name="Percent 3 3 8 4 2" xfId="1487" xr:uid="{00000000-0005-0000-0000-00009C970000}"/>
    <cellStyle name="Percent 3 3 8 4 2 2" xfId="2981" xr:uid="{00000000-0005-0000-0000-00009D970000}"/>
    <cellStyle name="Percent 3 3 8 4 2 2 2" xfId="7463" xr:uid="{00000000-0005-0000-0000-00009E970000}"/>
    <cellStyle name="Percent 3 3 8 4 2 2 2 2" xfId="16493" xr:uid="{00000000-0005-0000-0000-00009F970000}"/>
    <cellStyle name="Percent 3 3 8 4 2 2 2 2 2" xfId="36545" xr:uid="{00000000-0005-0000-0000-0000A0970000}"/>
    <cellStyle name="Percent 3 3 8 4 2 2 2 3" xfId="27515" xr:uid="{00000000-0005-0000-0000-0000A1970000}"/>
    <cellStyle name="Percent 3 3 8 4 2 2 3" xfId="12011" xr:uid="{00000000-0005-0000-0000-0000A2970000}"/>
    <cellStyle name="Percent 3 3 8 4 2 2 3 2" xfId="32063" xr:uid="{00000000-0005-0000-0000-0000A3970000}"/>
    <cellStyle name="Percent 3 3 8 4 2 2 4" xfId="23033" xr:uid="{00000000-0005-0000-0000-0000A4970000}"/>
    <cellStyle name="Percent 3 3 8 4 2 3" xfId="4475" xr:uid="{00000000-0005-0000-0000-0000A5970000}"/>
    <cellStyle name="Percent 3 3 8 4 2 3 2" xfId="8957" xr:uid="{00000000-0005-0000-0000-0000A6970000}"/>
    <cellStyle name="Percent 3 3 8 4 2 3 2 2" xfId="17987" xr:uid="{00000000-0005-0000-0000-0000A7970000}"/>
    <cellStyle name="Percent 3 3 8 4 2 3 2 2 2" xfId="38039" xr:uid="{00000000-0005-0000-0000-0000A8970000}"/>
    <cellStyle name="Percent 3 3 8 4 2 3 2 3" xfId="29009" xr:uid="{00000000-0005-0000-0000-0000A9970000}"/>
    <cellStyle name="Percent 3 3 8 4 2 3 3" xfId="13505" xr:uid="{00000000-0005-0000-0000-0000AA970000}"/>
    <cellStyle name="Percent 3 3 8 4 2 3 3 2" xfId="33557" xr:uid="{00000000-0005-0000-0000-0000AB970000}"/>
    <cellStyle name="Percent 3 3 8 4 2 3 4" xfId="24527" xr:uid="{00000000-0005-0000-0000-0000AC970000}"/>
    <cellStyle name="Percent 3 3 8 4 2 4" xfId="5969" xr:uid="{00000000-0005-0000-0000-0000AD970000}"/>
    <cellStyle name="Percent 3 3 8 4 2 4 2" xfId="14999" xr:uid="{00000000-0005-0000-0000-0000AE970000}"/>
    <cellStyle name="Percent 3 3 8 4 2 4 2 2" xfId="35051" xr:uid="{00000000-0005-0000-0000-0000AF970000}"/>
    <cellStyle name="Percent 3 3 8 4 2 4 3" xfId="26021" xr:uid="{00000000-0005-0000-0000-0000B0970000}"/>
    <cellStyle name="Percent 3 3 8 4 2 5" xfId="10517" xr:uid="{00000000-0005-0000-0000-0000B1970000}"/>
    <cellStyle name="Percent 3 3 8 4 2 5 2" xfId="30569" xr:uid="{00000000-0005-0000-0000-0000B2970000}"/>
    <cellStyle name="Percent 3 3 8 4 2 6" xfId="21539" xr:uid="{00000000-0005-0000-0000-0000B3970000}"/>
    <cellStyle name="Percent 3 3 8 4 3" xfId="2234" xr:uid="{00000000-0005-0000-0000-0000B4970000}"/>
    <cellStyle name="Percent 3 3 8 4 3 2" xfId="6716" xr:uid="{00000000-0005-0000-0000-0000B5970000}"/>
    <cellStyle name="Percent 3 3 8 4 3 2 2" xfId="15746" xr:uid="{00000000-0005-0000-0000-0000B6970000}"/>
    <cellStyle name="Percent 3 3 8 4 3 2 2 2" xfId="35798" xr:uid="{00000000-0005-0000-0000-0000B7970000}"/>
    <cellStyle name="Percent 3 3 8 4 3 2 3" xfId="26768" xr:uid="{00000000-0005-0000-0000-0000B8970000}"/>
    <cellStyle name="Percent 3 3 8 4 3 3" xfId="11264" xr:uid="{00000000-0005-0000-0000-0000B9970000}"/>
    <cellStyle name="Percent 3 3 8 4 3 3 2" xfId="31316" xr:uid="{00000000-0005-0000-0000-0000BA970000}"/>
    <cellStyle name="Percent 3 3 8 4 3 4" xfId="22286" xr:uid="{00000000-0005-0000-0000-0000BB970000}"/>
    <cellStyle name="Percent 3 3 8 4 4" xfId="3728" xr:uid="{00000000-0005-0000-0000-0000BC970000}"/>
    <cellStyle name="Percent 3 3 8 4 4 2" xfId="8210" xr:uid="{00000000-0005-0000-0000-0000BD970000}"/>
    <cellStyle name="Percent 3 3 8 4 4 2 2" xfId="17240" xr:uid="{00000000-0005-0000-0000-0000BE970000}"/>
    <cellStyle name="Percent 3 3 8 4 4 2 2 2" xfId="37292" xr:uid="{00000000-0005-0000-0000-0000BF970000}"/>
    <cellStyle name="Percent 3 3 8 4 4 2 3" xfId="28262" xr:uid="{00000000-0005-0000-0000-0000C0970000}"/>
    <cellStyle name="Percent 3 3 8 4 4 3" xfId="12758" xr:uid="{00000000-0005-0000-0000-0000C1970000}"/>
    <cellStyle name="Percent 3 3 8 4 4 3 2" xfId="32810" xr:uid="{00000000-0005-0000-0000-0000C2970000}"/>
    <cellStyle name="Percent 3 3 8 4 4 4" xfId="23780" xr:uid="{00000000-0005-0000-0000-0000C3970000}"/>
    <cellStyle name="Percent 3 3 8 4 5" xfId="5222" xr:uid="{00000000-0005-0000-0000-0000C4970000}"/>
    <cellStyle name="Percent 3 3 8 4 5 2" xfId="14252" xr:uid="{00000000-0005-0000-0000-0000C5970000}"/>
    <cellStyle name="Percent 3 3 8 4 5 2 2" xfId="34304" xr:uid="{00000000-0005-0000-0000-0000C6970000}"/>
    <cellStyle name="Percent 3 3 8 4 5 3" xfId="25274" xr:uid="{00000000-0005-0000-0000-0000C7970000}"/>
    <cellStyle name="Percent 3 3 8 4 6" xfId="9770" xr:uid="{00000000-0005-0000-0000-0000C8970000}"/>
    <cellStyle name="Percent 3 3 8 4 6 2" xfId="29822" xr:uid="{00000000-0005-0000-0000-0000C9970000}"/>
    <cellStyle name="Percent 3 3 8 4 7" xfId="20792" xr:uid="{00000000-0005-0000-0000-0000CA970000}"/>
    <cellStyle name="Percent 3 3 8 5" xfId="927" xr:uid="{00000000-0005-0000-0000-0000CB970000}"/>
    <cellStyle name="Percent 3 3 8 5 2" xfId="2421" xr:uid="{00000000-0005-0000-0000-0000CC970000}"/>
    <cellStyle name="Percent 3 3 8 5 2 2" xfId="6903" xr:uid="{00000000-0005-0000-0000-0000CD970000}"/>
    <cellStyle name="Percent 3 3 8 5 2 2 2" xfId="15933" xr:uid="{00000000-0005-0000-0000-0000CE970000}"/>
    <cellStyle name="Percent 3 3 8 5 2 2 2 2" xfId="35985" xr:uid="{00000000-0005-0000-0000-0000CF970000}"/>
    <cellStyle name="Percent 3 3 8 5 2 2 3" xfId="26955" xr:uid="{00000000-0005-0000-0000-0000D0970000}"/>
    <cellStyle name="Percent 3 3 8 5 2 3" xfId="11451" xr:uid="{00000000-0005-0000-0000-0000D1970000}"/>
    <cellStyle name="Percent 3 3 8 5 2 3 2" xfId="31503" xr:uid="{00000000-0005-0000-0000-0000D2970000}"/>
    <cellStyle name="Percent 3 3 8 5 2 4" xfId="22473" xr:uid="{00000000-0005-0000-0000-0000D3970000}"/>
    <cellStyle name="Percent 3 3 8 5 3" xfId="3915" xr:uid="{00000000-0005-0000-0000-0000D4970000}"/>
    <cellStyle name="Percent 3 3 8 5 3 2" xfId="8397" xr:uid="{00000000-0005-0000-0000-0000D5970000}"/>
    <cellStyle name="Percent 3 3 8 5 3 2 2" xfId="17427" xr:uid="{00000000-0005-0000-0000-0000D6970000}"/>
    <cellStyle name="Percent 3 3 8 5 3 2 2 2" xfId="37479" xr:uid="{00000000-0005-0000-0000-0000D7970000}"/>
    <cellStyle name="Percent 3 3 8 5 3 2 3" xfId="28449" xr:uid="{00000000-0005-0000-0000-0000D8970000}"/>
    <cellStyle name="Percent 3 3 8 5 3 3" xfId="12945" xr:uid="{00000000-0005-0000-0000-0000D9970000}"/>
    <cellStyle name="Percent 3 3 8 5 3 3 2" xfId="32997" xr:uid="{00000000-0005-0000-0000-0000DA970000}"/>
    <cellStyle name="Percent 3 3 8 5 3 4" xfId="23967" xr:uid="{00000000-0005-0000-0000-0000DB970000}"/>
    <cellStyle name="Percent 3 3 8 5 4" xfId="5409" xr:uid="{00000000-0005-0000-0000-0000DC970000}"/>
    <cellStyle name="Percent 3 3 8 5 4 2" xfId="14439" xr:uid="{00000000-0005-0000-0000-0000DD970000}"/>
    <cellStyle name="Percent 3 3 8 5 4 2 2" xfId="34491" xr:uid="{00000000-0005-0000-0000-0000DE970000}"/>
    <cellStyle name="Percent 3 3 8 5 4 3" xfId="25461" xr:uid="{00000000-0005-0000-0000-0000DF970000}"/>
    <cellStyle name="Percent 3 3 8 5 5" xfId="9957" xr:uid="{00000000-0005-0000-0000-0000E0970000}"/>
    <cellStyle name="Percent 3 3 8 5 5 2" xfId="30009" xr:uid="{00000000-0005-0000-0000-0000E1970000}"/>
    <cellStyle name="Percent 3 3 8 5 6" xfId="20979" xr:uid="{00000000-0005-0000-0000-0000E2970000}"/>
    <cellStyle name="Percent 3 3 8 6" xfId="1676" xr:uid="{00000000-0005-0000-0000-0000E3970000}"/>
    <cellStyle name="Percent 3 3 8 6 2" xfId="6158" xr:uid="{00000000-0005-0000-0000-0000E4970000}"/>
    <cellStyle name="Percent 3 3 8 6 2 2" xfId="15188" xr:uid="{00000000-0005-0000-0000-0000E5970000}"/>
    <cellStyle name="Percent 3 3 8 6 2 2 2" xfId="35240" xr:uid="{00000000-0005-0000-0000-0000E6970000}"/>
    <cellStyle name="Percent 3 3 8 6 2 3" xfId="26210" xr:uid="{00000000-0005-0000-0000-0000E7970000}"/>
    <cellStyle name="Percent 3 3 8 6 3" xfId="10706" xr:uid="{00000000-0005-0000-0000-0000E8970000}"/>
    <cellStyle name="Percent 3 3 8 6 3 2" xfId="30758" xr:uid="{00000000-0005-0000-0000-0000E9970000}"/>
    <cellStyle name="Percent 3 3 8 6 4" xfId="21728" xr:uid="{00000000-0005-0000-0000-0000EA970000}"/>
    <cellStyle name="Percent 3 3 8 7" xfId="3170" xr:uid="{00000000-0005-0000-0000-0000EB970000}"/>
    <cellStyle name="Percent 3 3 8 7 2" xfId="7652" xr:uid="{00000000-0005-0000-0000-0000EC970000}"/>
    <cellStyle name="Percent 3 3 8 7 2 2" xfId="16682" xr:uid="{00000000-0005-0000-0000-0000ED970000}"/>
    <cellStyle name="Percent 3 3 8 7 2 2 2" xfId="36734" xr:uid="{00000000-0005-0000-0000-0000EE970000}"/>
    <cellStyle name="Percent 3 3 8 7 2 3" xfId="27704" xr:uid="{00000000-0005-0000-0000-0000EF970000}"/>
    <cellStyle name="Percent 3 3 8 7 3" xfId="12200" xr:uid="{00000000-0005-0000-0000-0000F0970000}"/>
    <cellStyle name="Percent 3 3 8 7 3 2" xfId="32252" xr:uid="{00000000-0005-0000-0000-0000F1970000}"/>
    <cellStyle name="Percent 3 3 8 7 4" xfId="23222" xr:uid="{00000000-0005-0000-0000-0000F2970000}"/>
    <cellStyle name="Percent 3 3 8 8" xfId="4664" xr:uid="{00000000-0005-0000-0000-0000F3970000}"/>
    <cellStyle name="Percent 3 3 8 8 2" xfId="13694" xr:uid="{00000000-0005-0000-0000-0000F4970000}"/>
    <cellStyle name="Percent 3 3 8 8 2 2" xfId="33746" xr:uid="{00000000-0005-0000-0000-0000F5970000}"/>
    <cellStyle name="Percent 3 3 8 8 3" xfId="24716" xr:uid="{00000000-0005-0000-0000-0000F6970000}"/>
    <cellStyle name="Percent 3 3 8 9" xfId="9212" xr:uid="{00000000-0005-0000-0000-0000F7970000}"/>
    <cellStyle name="Percent 3 3 8 9 2" xfId="29264" xr:uid="{00000000-0005-0000-0000-0000F8970000}"/>
    <cellStyle name="Percent 3 3 9" xfId="205" xr:uid="{00000000-0005-0000-0000-0000F9970000}"/>
    <cellStyle name="Percent 3 3 9 2" xfId="950" xr:uid="{00000000-0005-0000-0000-0000FA970000}"/>
    <cellStyle name="Percent 3 3 9 2 2" xfId="2444" xr:uid="{00000000-0005-0000-0000-0000FB970000}"/>
    <cellStyle name="Percent 3 3 9 2 2 2" xfId="6926" xr:uid="{00000000-0005-0000-0000-0000FC970000}"/>
    <cellStyle name="Percent 3 3 9 2 2 2 2" xfId="15956" xr:uid="{00000000-0005-0000-0000-0000FD970000}"/>
    <cellStyle name="Percent 3 3 9 2 2 2 2 2" xfId="36008" xr:uid="{00000000-0005-0000-0000-0000FE970000}"/>
    <cellStyle name="Percent 3 3 9 2 2 2 3" xfId="26978" xr:uid="{00000000-0005-0000-0000-0000FF970000}"/>
    <cellStyle name="Percent 3 3 9 2 2 3" xfId="11474" xr:uid="{00000000-0005-0000-0000-000000980000}"/>
    <cellStyle name="Percent 3 3 9 2 2 3 2" xfId="31526" xr:uid="{00000000-0005-0000-0000-000001980000}"/>
    <cellStyle name="Percent 3 3 9 2 2 4" xfId="22496" xr:uid="{00000000-0005-0000-0000-000002980000}"/>
    <cellStyle name="Percent 3 3 9 2 3" xfId="3938" xr:uid="{00000000-0005-0000-0000-000003980000}"/>
    <cellStyle name="Percent 3 3 9 2 3 2" xfId="8420" xr:uid="{00000000-0005-0000-0000-000004980000}"/>
    <cellStyle name="Percent 3 3 9 2 3 2 2" xfId="17450" xr:uid="{00000000-0005-0000-0000-000005980000}"/>
    <cellStyle name="Percent 3 3 9 2 3 2 2 2" xfId="37502" xr:uid="{00000000-0005-0000-0000-000006980000}"/>
    <cellStyle name="Percent 3 3 9 2 3 2 3" xfId="28472" xr:uid="{00000000-0005-0000-0000-000007980000}"/>
    <cellStyle name="Percent 3 3 9 2 3 3" xfId="12968" xr:uid="{00000000-0005-0000-0000-000008980000}"/>
    <cellStyle name="Percent 3 3 9 2 3 3 2" xfId="33020" xr:uid="{00000000-0005-0000-0000-000009980000}"/>
    <cellStyle name="Percent 3 3 9 2 3 4" xfId="23990" xr:uid="{00000000-0005-0000-0000-00000A980000}"/>
    <cellStyle name="Percent 3 3 9 2 4" xfId="5432" xr:uid="{00000000-0005-0000-0000-00000B980000}"/>
    <cellStyle name="Percent 3 3 9 2 4 2" xfId="14462" xr:uid="{00000000-0005-0000-0000-00000C980000}"/>
    <cellStyle name="Percent 3 3 9 2 4 2 2" xfId="34514" xr:uid="{00000000-0005-0000-0000-00000D980000}"/>
    <cellStyle name="Percent 3 3 9 2 4 3" xfId="25484" xr:uid="{00000000-0005-0000-0000-00000E980000}"/>
    <cellStyle name="Percent 3 3 9 2 5" xfId="9980" xr:uid="{00000000-0005-0000-0000-00000F980000}"/>
    <cellStyle name="Percent 3 3 9 2 5 2" xfId="30032" xr:uid="{00000000-0005-0000-0000-000010980000}"/>
    <cellStyle name="Percent 3 3 9 2 6" xfId="21002" xr:uid="{00000000-0005-0000-0000-000011980000}"/>
    <cellStyle name="Percent 3 3 9 3" xfId="1699" xr:uid="{00000000-0005-0000-0000-000012980000}"/>
    <cellStyle name="Percent 3 3 9 3 2" xfId="6181" xr:uid="{00000000-0005-0000-0000-000013980000}"/>
    <cellStyle name="Percent 3 3 9 3 2 2" xfId="15211" xr:uid="{00000000-0005-0000-0000-000014980000}"/>
    <cellStyle name="Percent 3 3 9 3 2 2 2" xfId="35263" xr:uid="{00000000-0005-0000-0000-000015980000}"/>
    <cellStyle name="Percent 3 3 9 3 2 3" xfId="26233" xr:uid="{00000000-0005-0000-0000-000016980000}"/>
    <cellStyle name="Percent 3 3 9 3 3" xfId="10729" xr:uid="{00000000-0005-0000-0000-000017980000}"/>
    <cellStyle name="Percent 3 3 9 3 3 2" xfId="30781" xr:uid="{00000000-0005-0000-0000-000018980000}"/>
    <cellStyle name="Percent 3 3 9 3 4" xfId="21751" xr:uid="{00000000-0005-0000-0000-000019980000}"/>
    <cellStyle name="Percent 3 3 9 4" xfId="3193" xr:uid="{00000000-0005-0000-0000-00001A980000}"/>
    <cellStyle name="Percent 3 3 9 4 2" xfId="7675" xr:uid="{00000000-0005-0000-0000-00001B980000}"/>
    <cellStyle name="Percent 3 3 9 4 2 2" xfId="16705" xr:uid="{00000000-0005-0000-0000-00001C980000}"/>
    <cellStyle name="Percent 3 3 9 4 2 2 2" xfId="36757" xr:uid="{00000000-0005-0000-0000-00001D980000}"/>
    <cellStyle name="Percent 3 3 9 4 2 3" xfId="27727" xr:uid="{00000000-0005-0000-0000-00001E980000}"/>
    <cellStyle name="Percent 3 3 9 4 3" xfId="12223" xr:uid="{00000000-0005-0000-0000-00001F980000}"/>
    <cellStyle name="Percent 3 3 9 4 3 2" xfId="32275" xr:uid="{00000000-0005-0000-0000-000020980000}"/>
    <cellStyle name="Percent 3 3 9 4 4" xfId="23245" xr:uid="{00000000-0005-0000-0000-000021980000}"/>
    <cellStyle name="Percent 3 3 9 5" xfId="4687" xr:uid="{00000000-0005-0000-0000-000022980000}"/>
    <cellStyle name="Percent 3 3 9 5 2" xfId="13717" xr:uid="{00000000-0005-0000-0000-000023980000}"/>
    <cellStyle name="Percent 3 3 9 5 2 2" xfId="33769" xr:uid="{00000000-0005-0000-0000-000024980000}"/>
    <cellStyle name="Percent 3 3 9 5 3" xfId="24739" xr:uid="{00000000-0005-0000-0000-000025980000}"/>
    <cellStyle name="Percent 3 3 9 6" xfId="9235" xr:uid="{00000000-0005-0000-0000-000026980000}"/>
    <cellStyle name="Percent 3 3 9 6 2" xfId="29287" xr:uid="{00000000-0005-0000-0000-000027980000}"/>
    <cellStyle name="Percent 3 3 9 7" xfId="20257" xr:uid="{00000000-0005-0000-0000-000028980000}"/>
    <cellStyle name="Percent 3 4" xfId="32" xr:uid="{00000000-0005-0000-0000-000029980000}"/>
    <cellStyle name="Percent 3 4 10" xfId="20084" xr:uid="{00000000-0005-0000-0000-00002A980000}"/>
    <cellStyle name="Percent 3 4 2" xfId="218" xr:uid="{00000000-0005-0000-0000-00002B980000}"/>
    <cellStyle name="Percent 3 4 2 2" xfId="963" xr:uid="{00000000-0005-0000-0000-00002C980000}"/>
    <cellStyle name="Percent 3 4 2 2 2" xfId="2457" xr:uid="{00000000-0005-0000-0000-00002D980000}"/>
    <cellStyle name="Percent 3 4 2 2 2 2" xfId="6939" xr:uid="{00000000-0005-0000-0000-00002E980000}"/>
    <cellStyle name="Percent 3 4 2 2 2 2 2" xfId="15969" xr:uid="{00000000-0005-0000-0000-00002F980000}"/>
    <cellStyle name="Percent 3 4 2 2 2 2 2 2" xfId="36021" xr:uid="{00000000-0005-0000-0000-000030980000}"/>
    <cellStyle name="Percent 3 4 2 2 2 2 3" xfId="26991" xr:uid="{00000000-0005-0000-0000-000031980000}"/>
    <cellStyle name="Percent 3 4 2 2 2 3" xfId="11487" xr:uid="{00000000-0005-0000-0000-000032980000}"/>
    <cellStyle name="Percent 3 4 2 2 2 3 2" xfId="31539" xr:uid="{00000000-0005-0000-0000-000033980000}"/>
    <cellStyle name="Percent 3 4 2 2 2 4" xfId="22509" xr:uid="{00000000-0005-0000-0000-000034980000}"/>
    <cellStyle name="Percent 3 4 2 2 3" xfId="3951" xr:uid="{00000000-0005-0000-0000-000035980000}"/>
    <cellStyle name="Percent 3 4 2 2 3 2" xfId="8433" xr:uid="{00000000-0005-0000-0000-000036980000}"/>
    <cellStyle name="Percent 3 4 2 2 3 2 2" xfId="17463" xr:uid="{00000000-0005-0000-0000-000037980000}"/>
    <cellStyle name="Percent 3 4 2 2 3 2 2 2" xfId="37515" xr:uid="{00000000-0005-0000-0000-000038980000}"/>
    <cellStyle name="Percent 3 4 2 2 3 2 3" xfId="28485" xr:uid="{00000000-0005-0000-0000-000039980000}"/>
    <cellStyle name="Percent 3 4 2 2 3 3" xfId="12981" xr:uid="{00000000-0005-0000-0000-00003A980000}"/>
    <cellStyle name="Percent 3 4 2 2 3 3 2" xfId="33033" xr:uid="{00000000-0005-0000-0000-00003B980000}"/>
    <cellStyle name="Percent 3 4 2 2 3 4" xfId="24003" xr:uid="{00000000-0005-0000-0000-00003C980000}"/>
    <cellStyle name="Percent 3 4 2 2 4" xfId="5445" xr:uid="{00000000-0005-0000-0000-00003D980000}"/>
    <cellStyle name="Percent 3 4 2 2 4 2" xfId="14475" xr:uid="{00000000-0005-0000-0000-00003E980000}"/>
    <cellStyle name="Percent 3 4 2 2 4 2 2" xfId="34527" xr:uid="{00000000-0005-0000-0000-00003F980000}"/>
    <cellStyle name="Percent 3 4 2 2 4 3" xfId="25497" xr:uid="{00000000-0005-0000-0000-000040980000}"/>
    <cellStyle name="Percent 3 4 2 2 5" xfId="9993" xr:uid="{00000000-0005-0000-0000-000041980000}"/>
    <cellStyle name="Percent 3 4 2 2 5 2" xfId="30045" xr:uid="{00000000-0005-0000-0000-000042980000}"/>
    <cellStyle name="Percent 3 4 2 2 6" xfId="21015" xr:uid="{00000000-0005-0000-0000-000043980000}"/>
    <cellStyle name="Percent 3 4 2 3" xfId="1712" xr:uid="{00000000-0005-0000-0000-000044980000}"/>
    <cellStyle name="Percent 3 4 2 3 2" xfId="6194" xr:uid="{00000000-0005-0000-0000-000045980000}"/>
    <cellStyle name="Percent 3 4 2 3 2 2" xfId="15224" xr:uid="{00000000-0005-0000-0000-000046980000}"/>
    <cellStyle name="Percent 3 4 2 3 2 2 2" xfId="35276" xr:uid="{00000000-0005-0000-0000-000047980000}"/>
    <cellStyle name="Percent 3 4 2 3 2 3" xfId="26246" xr:uid="{00000000-0005-0000-0000-000048980000}"/>
    <cellStyle name="Percent 3 4 2 3 3" xfId="10742" xr:uid="{00000000-0005-0000-0000-000049980000}"/>
    <cellStyle name="Percent 3 4 2 3 3 2" xfId="30794" xr:uid="{00000000-0005-0000-0000-00004A980000}"/>
    <cellStyle name="Percent 3 4 2 3 4" xfId="21764" xr:uid="{00000000-0005-0000-0000-00004B980000}"/>
    <cellStyle name="Percent 3 4 2 4" xfId="3206" xr:uid="{00000000-0005-0000-0000-00004C980000}"/>
    <cellStyle name="Percent 3 4 2 4 2" xfId="7688" xr:uid="{00000000-0005-0000-0000-00004D980000}"/>
    <cellStyle name="Percent 3 4 2 4 2 2" xfId="16718" xr:uid="{00000000-0005-0000-0000-00004E980000}"/>
    <cellStyle name="Percent 3 4 2 4 2 2 2" xfId="36770" xr:uid="{00000000-0005-0000-0000-00004F980000}"/>
    <cellStyle name="Percent 3 4 2 4 2 3" xfId="27740" xr:uid="{00000000-0005-0000-0000-000050980000}"/>
    <cellStyle name="Percent 3 4 2 4 3" xfId="12236" xr:uid="{00000000-0005-0000-0000-000051980000}"/>
    <cellStyle name="Percent 3 4 2 4 3 2" xfId="32288" xr:uid="{00000000-0005-0000-0000-000052980000}"/>
    <cellStyle name="Percent 3 4 2 4 4" xfId="23258" xr:uid="{00000000-0005-0000-0000-000053980000}"/>
    <cellStyle name="Percent 3 4 2 5" xfId="4700" xr:uid="{00000000-0005-0000-0000-000054980000}"/>
    <cellStyle name="Percent 3 4 2 5 2" xfId="13730" xr:uid="{00000000-0005-0000-0000-000055980000}"/>
    <cellStyle name="Percent 3 4 2 5 2 2" xfId="33782" xr:uid="{00000000-0005-0000-0000-000056980000}"/>
    <cellStyle name="Percent 3 4 2 5 3" xfId="24752" xr:uid="{00000000-0005-0000-0000-000057980000}"/>
    <cellStyle name="Percent 3 4 2 6" xfId="9248" xr:uid="{00000000-0005-0000-0000-000058980000}"/>
    <cellStyle name="Percent 3 4 2 6 2" xfId="29300" xr:uid="{00000000-0005-0000-0000-000059980000}"/>
    <cellStyle name="Percent 3 4 2 7" xfId="20270" xr:uid="{00000000-0005-0000-0000-00005A980000}"/>
    <cellStyle name="Percent 3 4 3" xfId="404" xr:uid="{00000000-0005-0000-0000-00005B980000}"/>
    <cellStyle name="Percent 3 4 3 2" xfId="1151" xr:uid="{00000000-0005-0000-0000-00005C980000}"/>
    <cellStyle name="Percent 3 4 3 2 2" xfId="2645" xr:uid="{00000000-0005-0000-0000-00005D980000}"/>
    <cellStyle name="Percent 3 4 3 2 2 2" xfId="7127" xr:uid="{00000000-0005-0000-0000-00005E980000}"/>
    <cellStyle name="Percent 3 4 3 2 2 2 2" xfId="16157" xr:uid="{00000000-0005-0000-0000-00005F980000}"/>
    <cellStyle name="Percent 3 4 3 2 2 2 2 2" xfId="36209" xr:uid="{00000000-0005-0000-0000-000060980000}"/>
    <cellStyle name="Percent 3 4 3 2 2 2 3" xfId="27179" xr:uid="{00000000-0005-0000-0000-000061980000}"/>
    <cellStyle name="Percent 3 4 3 2 2 3" xfId="11675" xr:uid="{00000000-0005-0000-0000-000062980000}"/>
    <cellStyle name="Percent 3 4 3 2 2 3 2" xfId="31727" xr:uid="{00000000-0005-0000-0000-000063980000}"/>
    <cellStyle name="Percent 3 4 3 2 2 4" xfId="22697" xr:uid="{00000000-0005-0000-0000-000064980000}"/>
    <cellStyle name="Percent 3 4 3 2 3" xfId="4139" xr:uid="{00000000-0005-0000-0000-000065980000}"/>
    <cellStyle name="Percent 3 4 3 2 3 2" xfId="8621" xr:uid="{00000000-0005-0000-0000-000066980000}"/>
    <cellStyle name="Percent 3 4 3 2 3 2 2" xfId="17651" xr:uid="{00000000-0005-0000-0000-000067980000}"/>
    <cellStyle name="Percent 3 4 3 2 3 2 2 2" xfId="37703" xr:uid="{00000000-0005-0000-0000-000068980000}"/>
    <cellStyle name="Percent 3 4 3 2 3 2 3" xfId="28673" xr:uid="{00000000-0005-0000-0000-000069980000}"/>
    <cellStyle name="Percent 3 4 3 2 3 3" xfId="13169" xr:uid="{00000000-0005-0000-0000-00006A980000}"/>
    <cellStyle name="Percent 3 4 3 2 3 3 2" xfId="33221" xr:uid="{00000000-0005-0000-0000-00006B980000}"/>
    <cellStyle name="Percent 3 4 3 2 3 4" xfId="24191" xr:uid="{00000000-0005-0000-0000-00006C980000}"/>
    <cellStyle name="Percent 3 4 3 2 4" xfId="5633" xr:uid="{00000000-0005-0000-0000-00006D980000}"/>
    <cellStyle name="Percent 3 4 3 2 4 2" xfId="14663" xr:uid="{00000000-0005-0000-0000-00006E980000}"/>
    <cellStyle name="Percent 3 4 3 2 4 2 2" xfId="34715" xr:uid="{00000000-0005-0000-0000-00006F980000}"/>
    <cellStyle name="Percent 3 4 3 2 4 3" xfId="25685" xr:uid="{00000000-0005-0000-0000-000070980000}"/>
    <cellStyle name="Percent 3 4 3 2 5" xfId="10181" xr:uid="{00000000-0005-0000-0000-000071980000}"/>
    <cellStyle name="Percent 3 4 3 2 5 2" xfId="30233" xr:uid="{00000000-0005-0000-0000-000072980000}"/>
    <cellStyle name="Percent 3 4 3 2 6" xfId="21203" xr:uid="{00000000-0005-0000-0000-000073980000}"/>
    <cellStyle name="Percent 3 4 3 3" xfId="1898" xr:uid="{00000000-0005-0000-0000-000074980000}"/>
    <cellStyle name="Percent 3 4 3 3 2" xfId="6380" xr:uid="{00000000-0005-0000-0000-000075980000}"/>
    <cellStyle name="Percent 3 4 3 3 2 2" xfId="15410" xr:uid="{00000000-0005-0000-0000-000076980000}"/>
    <cellStyle name="Percent 3 4 3 3 2 2 2" xfId="35462" xr:uid="{00000000-0005-0000-0000-000077980000}"/>
    <cellStyle name="Percent 3 4 3 3 2 3" xfId="26432" xr:uid="{00000000-0005-0000-0000-000078980000}"/>
    <cellStyle name="Percent 3 4 3 3 3" xfId="10928" xr:uid="{00000000-0005-0000-0000-000079980000}"/>
    <cellStyle name="Percent 3 4 3 3 3 2" xfId="30980" xr:uid="{00000000-0005-0000-0000-00007A980000}"/>
    <cellStyle name="Percent 3 4 3 3 4" xfId="21950" xr:uid="{00000000-0005-0000-0000-00007B980000}"/>
    <cellStyle name="Percent 3 4 3 4" xfId="3392" xr:uid="{00000000-0005-0000-0000-00007C980000}"/>
    <cellStyle name="Percent 3 4 3 4 2" xfId="7874" xr:uid="{00000000-0005-0000-0000-00007D980000}"/>
    <cellStyle name="Percent 3 4 3 4 2 2" xfId="16904" xr:uid="{00000000-0005-0000-0000-00007E980000}"/>
    <cellStyle name="Percent 3 4 3 4 2 2 2" xfId="36956" xr:uid="{00000000-0005-0000-0000-00007F980000}"/>
    <cellStyle name="Percent 3 4 3 4 2 3" xfId="27926" xr:uid="{00000000-0005-0000-0000-000080980000}"/>
    <cellStyle name="Percent 3 4 3 4 3" xfId="12422" xr:uid="{00000000-0005-0000-0000-000081980000}"/>
    <cellStyle name="Percent 3 4 3 4 3 2" xfId="32474" xr:uid="{00000000-0005-0000-0000-000082980000}"/>
    <cellStyle name="Percent 3 4 3 4 4" xfId="23444" xr:uid="{00000000-0005-0000-0000-000083980000}"/>
    <cellStyle name="Percent 3 4 3 5" xfId="4886" xr:uid="{00000000-0005-0000-0000-000084980000}"/>
    <cellStyle name="Percent 3 4 3 5 2" xfId="13916" xr:uid="{00000000-0005-0000-0000-000085980000}"/>
    <cellStyle name="Percent 3 4 3 5 2 2" xfId="33968" xr:uid="{00000000-0005-0000-0000-000086980000}"/>
    <cellStyle name="Percent 3 4 3 5 3" xfId="24938" xr:uid="{00000000-0005-0000-0000-000087980000}"/>
    <cellStyle name="Percent 3 4 3 6" xfId="9434" xr:uid="{00000000-0005-0000-0000-000088980000}"/>
    <cellStyle name="Percent 3 4 3 6 2" xfId="29486" xr:uid="{00000000-0005-0000-0000-000089980000}"/>
    <cellStyle name="Percent 3 4 3 7" xfId="20456" xr:uid="{00000000-0005-0000-0000-00008A980000}"/>
    <cellStyle name="Percent 3 4 4" xfId="590" xr:uid="{00000000-0005-0000-0000-00008B980000}"/>
    <cellStyle name="Percent 3 4 4 2" xfId="1337" xr:uid="{00000000-0005-0000-0000-00008C980000}"/>
    <cellStyle name="Percent 3 4 4 2 2" xfId="2831" xr:uid="{00000000-0005-0000-0000-00008D980000}"/>
    <cellStyle name="Percent 3 4 4 2 2 2" xfId="7313" xr:uid="{00000000-0005-0000-0000-00008E980000}"/>
    <cellStyle name="Percent 3 4 4 2 2 2 2" xfId="16343" xr:uid="{00000000-0005-0000-0000-00008F980000}"/>
    <cellStyle name="Percent 3 4 4 2 2 2 2 2" xfId="36395" xr:uid="{00000000-0005-0000-0000-000090980000}"/>
    <cellStyle name="Percent 3 4 4 2 2 2 3" xfId="27365" xr:uid="{00000000-0005-0000-0000-000091980000}"/>
    <cellStyle name="Percent 3 4 4 2 2 3" xfId="11861" xr:uid="{00000000-0005-0000-0000-000092980000}"/>
    <cellStyle name="Percent 3 4 4 2 2 3 2" xfId="31913" xr:uid="{00000000-0005-0000-0000-000093980000}"/>
    <cellStyle name="Percent 3 4 4 2 2 4" xfId="22883" xr:uid="{00000000-0005-0000-0000-000094980000}"/>
    <cellStyle name="Percent 3 4 4 2 3" xfId="4325" xr:uid="{00000000-0005-0000-0000-000095980000}"/>
    <cellStyle name="Percent 3 4 4 2 3 2" xfId="8807" xr:uid="{00000000-0005-0000-0000-000096980000}"/>
    <cellStyle name="Percent 3 4 4 2 3 2 2" xfId="17837" xr:uid="{00000000-0005-0000-0000-000097980000}"/>
    <cellStyle name="Percent 3 4 4 2 3 2 2 2" xfId="37889" xr:uid="{00000000-0005-0000-0000-000098980000}"/>
    <cellStyle name="Percent 3 4 4 2 3 2 3" xfId="28859" xr:uid="{00000000-0005-0000-0000-000099980000}"/>
    <cellStyle name="Percent 3 4 4 2 3 3" xfId="13355" xr:uid="{00000000-0005-0000-0000-00009A980000}"/>
    <cellStyle name="Percent 3 4 4 2 3 3 2" xfId="33407" xr:uid="{00000000-0005-0000-0000-00009B980000}"/>
    <cellStyle name="Percent 3 4 4 2 3 4" xfId="24377" xr:uid="{00000000-0005-0000-0000-00009C980000}"/>
    <cellStyle name="Percent 3 4 4 2 4" xfId="5819" xr:uid="{00000000-0005-0000-0000-00009D980000}"/>
    <cellStyle name="Percent 3 4 4 2 4 2" xfId="14849" xr:uid="{00000000-0005-0000-0000-00009E980000}"/>
    <cellStyle name="Percent 3 4 4 2 4 2 2" xfId="34901" xr:uid="{00000000-0005-0000-0000-00009F980000}"/>
    <cellStyle name="Percent 3 4 4 2 4 3" xfId="25871" xr:uid="{00000000-0005-0000-0000-0000A0980000}"/>
    <cellStyle name="Percent 3 4 4 2 5" xfId="10367" xr:uid="{00000000-0005-0000-0000-0000A1980000}"/>
    <cellStyle name="Percent 3 4 4 2 5 2" xfId="30419" xr:uid="{00000000-0005-0000-0000-0000A2980000}"/>
    <cellStyle name="Percent 3 4 4 2 6" xfId="21389" xr:uid="{00000000-0005-0000-0000-0000A3980000}"/>
    <cellStyle name="Percent 3 4 4 3" xfId="2084" xr:uid="{00000000-0005-0000-0000-0000A4980000}"/>
    <cellStyle name="Percent 3 4 4 3 2" xfId="6566" xr:uid="{00000000-0005-0000-0000-0000A5980000}"/>
    <cellStyle name="Percent 3 4 4 3 2 2" xfId="15596" xr:uid="{00000000-0005-0000-0000-0000A6980000}"/>
    <cellStyle name="Percent 3 4 4 3 2 2 2" xfId="35648" xr:uid="{00000000-0005-0000-0000-0000A7980000}"/>
    <cellStyle name="Percent 3 4 4 3 2 3" xfId="26618" xr:uid="{00000000-0005-0000-0000-0000A8980000}"/>
    <cellStyle name="Percent 3 4 4 3 3" xfId="11114" xr:uid="{00000000-0005-0000-0000-0000A9980000}"/>
    <cellStyle name="Percent 3 4 4 3 3 2" xfId="31166" xr:uid="{00000000-0005-0000-0000-0000AA980000}"/>
    <cellStyle name="Percent 3 4 4 3 4" xfId="22136" xr:uid="{00000000-0005-0000-0000-0000AB980000}"/>
    <cellStyle name="Percent 3 4 4 4" xfId="3578" xr:uid="{00000000-0005-0000-0000-0000AC980000}"/>
    <cellStyle name="Percent 3 4 4 4 2" xfId="8060" xr:uid="{00000000-0005-0000-0000-0000AD980000}"/>
    <cellStyle name="Percent 3 4 4 4 2 2" xfId="17090" xr:uid="{00000000-0005-0000-0000-0000AE980000}"/>
    <cellStyle name="Percent 3 4 4 4 2 2 2" xfId="37142" xr:uid="{00000000-0005-0000-0000-0000AF980000}"/>
    <cellStyle name="Percent 3 4 4 4 2 3" xfId="28112" xr:uid="{00000000-0005-0000-0000-0000B0980000}"/>
    <cellStyle name="Percent 3 4 4 4 3" xfId="12608" xr:uid="{00000000-0005-0000-0000-0000B1980000}"/>
    <cellStyle name="Percent 3 4 4 4 3 2" xfId="32660" xr:uid="{00000000-0005-0000-0000-0000B2980000}"/>
    <cellStyle name="Percent 3 4 4 4 4" xfId="23630" xr:uid="{00000000-0005-0000-0000-0000B3980000}"/>
    <cellStyle name="Percent 3 4 4 5" xfId="5072" xr:uid="{00000000-0005-0000-0000-0000B4980000}"/>
    <cellStyle name="Percent 3 4 4 5 2" xfId="14102" xr:uid="{00000000-0005-0000-0000-0000B5980000}"/>
    <cellStyle name="Percent 3 4 4 5 2 2" xfId="34154" xr:uid="{00000000-0005-0000-0000-0000B6980000}"/>
    <cellStyle name="Percent 3 4 4 5 3" xfId="25124" xr:uid="{00000000-0005-0000-0000-0000B7980000}"/>
    <cellStyle name="Percent 3 4 4 6" xfId="9620" xr:uid="{00000000-0005-0000-0000-0000B8980000}"/>
    <cellStyle name="Percent 3 4 4 6 2" xfId="29672" xr:uid="{00000000-0005-0000-0000-0000B9980000}"/>
    <cellStyle name="Percent 3 4 4 7" xfId="20642" xr:uid="{00000000-0005-0000-0000-0000BA980000}"/>
    <cellStyle name="Percent 3 4 5" xfId="777" xr:uid="{00000000-0005-0000-0000-0000BB980000}"/>
    <cellStyle name="Percent 3 4 5 2" xfId="2271" xr:uid="{00000000-0005-0000-0000-0000BC980000}"/>
    <cellStyle name="Percent 3 4 5 2 2" xfId="6753" xr:uid="{00000000-0005-0000-0000-0000BD980000}"/>
    <cellStyle name="Percent 3 4 5 2 2 2" xfId="15783" xr:uid="{00000000-0005-0000-0000-0000BE980000}"/>
    <cellStyle name="Percent 3 4 5 2 2 2 2" xfId="35835" xr:uid="{00000000-0005-0000-0000-0000BF980000}"/>
    <cellStyle name="Percent 3 4 5 2 2 3" xfId="26805" xr:uid="{00000000-0005-0000-0000-0000C0980000}"/>
    <cellStyle name="Percent 3 4 5 2 3" xfId="11301" xr:uid="{00000000-0005-0000-0000-0000C1980000}"/>
    <cellStyle name="Percent 3 4 5 2 3 2" xfId="31353" xr:uid="{00000000-0005-0000-0000-0000C2980000}"/>
    <cellStyle name="Percent 3 4 5 2 4" xfId="22323" xr:uid="{00000000-0005-0000-0000-0000C3980000}"/>
    <cellStyle name="Percent 3 4 5 3" xfId="3765" xr:uid="{00000000-0005-0000-0000-0000C4980000}"/>
    <cellStyle name="Percent 3 4 5 3 2" xfId="8247" xr:uid="{00000000-0005-0000-0000-0000C5980000}"/>
    <cellStyle name="Percent 3 4 5 3 2 2" xfId="17277" xr:uid="{00000000-0005-0000-0000-0000C6980000}"/>
    <cellStyle name="Percent 3 4 5 3 2 2 2" xfId="37329" xr:uid="{00000000-0005-0000-0000-0000C7980000}"/>
    <cellStyle name="Percent 3 4 5 3 2 3" xfId="28299" xr:uid="{00000000-0005-0000-0000-0000C8980000}"/>
    <cellStyle name="Percent 3 4 5 3 3" xfId="12795" xr:uid="{00000000-0005-0000-0000-0000C9980000}"/>
    <cellStyle name="Percent 3 4 5 3 3 2" xfId="32847" xr:uid="{00000000-0005-0000-0000-0000CA980000}"/>
    <cellStyle name="Percent 3 4 5 3 4" xfId="23817" xr:uid="{00000000-0005-0000-0000-0000CB980000}"/>
    <cellStyle name="Percent 3 4 5 4" xfId="5259" xr:uid="{00000000-0005-0000-0000-0000CC980000}"/>
    <cellStyle name="Percent 3 4 5 4 2" xfId="14289" xr:uid="{00000000-0005-0000-0000-0000CD980000}"/>
    <cellStyle name="Percent 3 4 5 4 2 2" xfId="34341" xr:uid="{00000000-0005-0000-0000-0000CE980000}"/>
    <cellStyle name="Percent 3 4 5 4 3" xfId="25311" xr:uid="{00000000-0005-0000-0000-0000CF980000}"/>
    <cellStyle name="Percent 3 4 5 5" xfId="9807" xr:uid="{00000000-0005-0000-0000-0000D0980000}"/>
    <cellStyle name="Percent 3 4 5 5 2" xfId="29859" xr:uid="{00000000-0005-0000-0000-0000D1980000}"/>
    <cellStyle name="Percent 3 4 5 6" xfId="20829" xr:uid="{00000000-0005-0000-0000-0000D2980000}"/>
    <cellStyle name="Percent 3 4 6" xfId="1526" xr:uid="{00000000-0005-0000-0000-0000D3980000}"/>
    <cellStyle name="Percent 3 4 6 2" xfId="6008" xr:uid="{00000000-0005-0000-0000-0000D4980000}"/>
    <cellStyle name="Percent 3 4 6 2 2" xfId="15038" xr:uid="{00000000-0005-0000-0000-0000D5980000}"/>
    <cellStyle name="Percent 3 4 6 2 2 2" xfId="35090" xr:uid="{00000000-0005-0000-0000-0000D6980000}"/>
    <cellStyle name="Percent 3 4 6 2 3" xfId="26060" xr:uid="{00000000-0005-0000-0000-0000D7980000}"/>
    <cellStyle name="Percent 3 4 6 3" xfId="10556" xr:uid="{00000000-0005-0000-0000-0000D8980000}"/>
    <cellStyle name="Percent 3 4 6 3 2" xfId="30608" xr:uid="{00000000-0005-0000-0000-0000D9980000}"/>
    <cellStyle name="Percent 3 4 6 4" xfId="21578" xr:uid="{00000000-0005-0000-0000-0000DA980000}"/>
    <cellStyle name="Percent 3 4 7" xfId="3020" xr:uid="{00000000-0005-0000-0000-0000DB980000}"/>
    <cellStyle name="Percent 3 4 7 2" xfId="7502" xr:uid="{00000000-0005-0000-0000-0000DC980000}"/>
    <cellStyle name="Percent 3 4 7 2 2" xfId="16532" xr:uid="{00000000-0005-0000-0000-0000DD980000}"/>
    <cellStyle name="Percent 3 4 7 2 2 2" xfId="36584" xr:uid="{00000000-0005-0000-0000-0000DE980000}"/>
    <cellStyle name="Percent 3 4 7 2 3" xfId="27554" xr:uid="{00000000-0005-0000-0000-0000DF980000}"/>
    <cellStyle name="Percent 3 4 7 3" xfId="12050" xr:uid="{00000000-0005-0000-0000-0000E0980000}"/>
    <cellStyle name="Percent 3 4 7 3 2" xfId="32102" xr:uid="{00000000-0005-0000-0000-0000E1980000}"/>
    <cellStyle name="Percent 3 4 7 4" xfId="23072" xr:uid="{00000000-0005-0000-0000-0000E2980000}"/>
    <cellStyle name="Percent 3 4 8" xfId="4514" xr:uid="{00000000-0005-0000-0000-0000E3980000}"/>
    <cellStyle name="Percent 3 4 8 2" xfId="13544" xr:uid="{00000000-0005-0000-0000-0000E4980000}"/>
    <cellStyle name="Percent 3 4 8 2 2" xfId="33596" xr:uid="{00000000-0005-0000-0000-0000E5980000}"/>
    <cellStyle name="Percent 3 4 8 3" xfId="24566" xr:uid="{00000000-0005-0000-0000-0000E6980000}"/>
    <cellStyle name="Percent 3 4 9" xfId="9062" xr:uid="{00000000-0005-0000-0000-0000E7980000}"/>
    <cellStyle name="Percent 3 4 9 2" xfId="29114" xr:uid="{00000000-0005-0000-0000-0000E8980000}"/>
    <cellStyle name="Percent 3 5" xfId="55" xr:uid="{00000000-0005-0000-0000-0000E9980000}"/>
    <cellStyle name="Percent 3 5 10" xfId="20107" xr:uid="{00000000-0005-0000-0000-0000EA980000}"/>
    <cellStyle name="Percent 3 5 2" xfId="241" xr:uid="{00000000-0005-0000-0000-0000EB980000}"/>
    <cellStyle name="Percent 3 5 2 2" xfId="986" xr:uid="{00000000-0005-0000-0000-0000EC980000}"/>
    <cellStyle name="Percent 3 5 2 2 2" xfId="2480" xr:uid="{00000000-0005-0000-0000-0000ED980000}"/>
    <cellStyle name="Percent 3 5 2 2 2 2" xfId="6962" xr:uid="{00000000-0005-0000-0000-0000EE980000}"/>
    <cellStyle name="Percent 3 5 2 2 2 2 2" xfId="15992" xr:uid="{00000000-0005-0000-0000-0000EF980000}"/>
    <cellStyle name="Percent 3 5 2 2 2 2 2 2" xfId="36044" xr:uid="{00000000-0005-0000-0000-0000F0980000}"/>
    <cellStyle name="Percent 3 5 2 2 2 2 3" xfId="27014" xr:uid="{00000000-0005-0000-0000-0000F1980000}"/>
    <cellStyle name="Percent 3 5 2 2 2 3" xfId="11510" xr:uid="{00000000-0005-0000-0000-0000F2980000}"/>
    <cellStyle name="Percent 3 5 2 2 2 3 2" xfId="31562" xr:uid="{00000000-0005-0000-0000-0000F3980000}"/>
    <cellStyle name="Percent 3 5 2 2 2 4" xfId="22532" xr:uid="{00000000-0005-0000-0000-0000F4980000}"/>
    <cellStyle name="Percent 3 5 2 2 3" xfId="3974" xr:uid="{00000000-0005-0000-0000-0000F5980000}"/>
    <cellStyle name="Percent 3 5 2 2 3 2" xfId="8456" xr:uid="{00000000-0005-0000-0000-0000F6980000}"/>
    <cellStyle name="Percent 3 5 2 2 3 2 2" xfId="17486" xr:uid="{00000000-0005-0000-0000-0000F7980000}"/>
    <cellStyle name="Percent 3 5 2 2 3 2 2 2" xfId="37538" xr:uid="{00000000-0005-0000-0000-0000F8980000}"/>
    <cellStyle name="Percent 3 5 2 2 3 2 3" xfId="28508" xr:uid="{00000000-0005-0000-0000-0000F9980000}"/>
    <cellStyle name="Percent 3 5 2 2 3 3" xfId="13004" xr:uid="{00000000-0005-0000-0000-0000FA980000}"/>
    <cellStyle name="Percent 3 5 2 2 3 3 2" xfId="33056" xr:uid="{00000000-0005-0000-0000-0000FB980000}"/>
    <cellStyle name="Percent 3 5 2 2 3 4" xfId="24026" xr:uid="{00000000-0005-0000-0000-0000FC980000}"/>
    <cellStyle name="Percent 3 5 2 2 4" xfId="5468" xr:uid="{00000000-0005-0000-0000-0000FD980000}"/>
    <cellStyle name="Percent 3 5 2 2 4 2" xfId="14498" xr:uid="{00000000-0005-0000-0000-0000FE980000}"/>
    <cellStyle name="Percent 3 5 2 2 4 2 2" xfId="34550" xr:uid="{00000000-0005-0000-0000-0000FF980000}"/>
    <cellStyle name="Percent 3 5 2 2 4 3" xfId="25520" xr:uid="{00000000-0005-0000-0000-000000990000}"/>
    <cellStyle name="Percent 3 5 2 2 5" xfId="10016" xr:uid="{00000000-0005-0000-0000-000001990000}"/>
    <cellStyle name="Percent 3 5 2 2 5 2" xfId="30068" xr:uid="{00000000-0005-0000-0000-000002990000}"/>
    <cellStyle name="Percent 3 5 2 2 6" xfId="21038" xr:uid="{00000000-0005-0000-0000-000003990000}"/>
    <cellStyle name="Percent 3 5 2 3" xfId="1735" xr:uid="{00000000-0005-0000-0000-000004990000}"/>
    <cellStyle name="Percent 3 5 2 3 2" xfId="6217" xr:uid="{00000000-0005-0000-0000-000005990000}"/>
    <cellStyle name="Percent 3 5 2 3 2 2" xfId="15247" xr:uid="{00000000-0005-0000-0000-000006990000}"/>
    <cellStyle name="Percent 3 5 2 3 2 2 2" xfId="35299" xr:uid="{00000000-0005-0000-0000-000007990000}"/>
    <cellStyle name="Percent 3 5 2 3 2 3" xfId="26269" xr:uid="{00000000-0005-0000-0000-000008990000}"/>
    <cellStyle name="Percent 3 5 2 3 3" xfId="10765" xr:uid="{00000000-0005-0000-0000-000009990000}"/>
    <cellStyle name="Percent 3 5 2 3 3 2" xfId="30817" xr:uid="{00000000-0005-0000-0000-00000A990000}"/>
    <cellStyle name="Percent 3 5 2 3 4" xfId="21787" xr:uid="{00000000-0005-0000-0000-00000B990000}"/>
    <cellStyle name="Percent 3 5 2 4" xfId="3229" xr:uid="{00000000-0005-0000-0000-00000C990000}"/>
    <cellStyle name="Percent 3 5 2 4 2" xfId="7711" xr:uid="{00000000-0005-0000-0000-00000D990000}"/>
    <cellStyle name="Percent 3 5 2 4 2 2" xfId="16741" xr:uid="{00000000-0005-0000-0000-00000E990000}"/>
    <cellStyle name="Percent 3 5 2 4 2 2 2" xfId="36793" xr:uid="{00000000-0005-0000-0000-00000F990000}"/>
    <cellStyle name="Percent 3 5 2 4 2 3" xfId="27763" xr:uid="{00000000-0005-0000-0000-000010990000}"/>
    <cellStyle name="Percent 3 5 2 4 3" xfId="12259" xr:uid="{00000000-0005-0000-0000-000011990000}"/>
    <cellStyle name="Percent 3 5 2 4 3 2" xfId="32311" xr:uid="{00000000-0005-0000-0000-000012990000}"/>
    <cellStyle name="Percent 3 5 2 4 4" xfId="23281" xr:uid="{00000000-0005-0000-0000-000013990000}"/>
    <cellStyle name="Percent 3 5 2 5" xfId="4723" xr:uid="{00000000-0005-0000-0000-000014990000}"/>
    <cellStyle name="Percent 3 5 2 5 2" xfId="13753" xr:uid="{00000000-0005-0000-0000-000015990000}"/>
    <cellStyle name="Percent 3 5 2 5 2 2" xfId="33805" xr:uid="{00000000-0005-0000-0000-000016990000}"/>
    <cellStyle name="Percent 3 5 2 5 3" xfId="24775" xr:uid="{00000000-0005-0000-0000-000017990000}"/>
    <cellStyle name="Percent 3 5 2 6" xfId="9271" xr:uid="{00000000-0005-0000-0000-000018990000}"/>
    <cellStyle name="Percent 3 5 2 6 2" xfId="29323" xr:uid="{00000000-0005-0000-0000-000019990000}"/>
    <cellStyle name="Percent 3 5 2 7" xfId="20293" xr:uid="{00000000-0005-0000-0000-00001A990000}"/>
    <cellStyle name="Percent 3 5 3" xfId="427" xr:uid="{00000000-0005-0000-0000-00001B990000}"/>
    <cellStyle name="Percent 3 5 3 2" xfId="1174" xr:uid="{00000000-0005-0000-0000-00001C990000}"/>
    <cellStyle name="Percent 3 5 3 2 2" xfId="2668" xr:uid="{00000000-0005-0000-0000-00001D990000}"/>
    <cellStyle name="Percent 3 5 3 2 2 2" xfId="7150" xr:uid="{00000000-0005-0000-0000-00001E990000}"/>
    <cellStyle name="Percent 3 5 3 2 2 2 2" xfId="16180" xr:uid="{00000000-0005-0000-0000-00001F990000}"/>
    <cellStyle name="Percent 3 5 3 2 2 2 2 2" xfId="36232" xr:uid="{00000000-0005-0000-0000-000020990000}"/>
    <cellStyle name="Percent 3 5 3 2 2 2 3" xfId="27202" xr:uid="{00000000-0005-0000-0000-000021990000}"/>
    <cellStyle name="Percent 3 5 3 2 2 3" xfId="11698" xr:uid="{00000000-0005-0000-0000-000022990000}"/>
    <cellStyle name="Percent 3 5 3 2 2 3 2" xfId="31750" xr:uid="{00000000-0005-0000-0000-000023990000}"/>
    <cellStyle name="Percent 3 5 3 2 2 4" xfId="22720" xr:uid="{00000000-0005-0000-0000-000024990000}"/>
    <cellStyle name="Percent 3 5 3 2 3" xfId="4162" xr:uid="{00000000-0005-0000-0000-000025990000}"/>
    <cellStyle name="Percent 3 5 3 2 3 2" xfId="8644" xr:uid="{00000000-0005-0000-0000-000026990000}"/>
    <cellStyle name="Percent 3 5 3 2 3 2 2" xfId="17674" xr:uid="{00000000-0005-0000-0000-000027990000}"/>
    <cellStyle name="Percent 3 5 3 2 3 2 2 2" xfId="37726" xr:uid="{00000000-0005-0000-0000-000028990000}"/>
    <cellStyle name="Percent 3 5 3 2 3 2 3" xfId="28696" xr:uid="{00000000-0005-0000-0000-000029990000}"/>
    <cellStyle name="Percent 3 5 3 2 3 3" xfId="13192" xr:uid="{00000000-0005-0000-0000-00002A990000}"/>
    <cellStyle name="Percent 3 5 3 2 3 3 2" xfId="33244" xr:uid="{00000000-0005-0000-0000-00002B990000}"/>
    <cellStyle name="Percent 3 5 3 2 3 4" xfId="24214" xr:uid="{00000000-0005-0000-0000-00002C990000}"/>
    <cellStyle name="Percent 3 5 3 2 4" xfId="5656" xr:uid="{00000000-0005-0000-0000-00002D990000}"/>
    <cellStyle name="Percent 3 5 3 2 4 2" xfId="14686" xr:uid="{00000000-0005-0000-0000-00002E990000}"/>
    <cellStyle name="Percent 3 5 3 2 4 2 2" xfId="34738" xr:uid="{00000000-0005-0000-0000-00002F990000}"/>
    <cellStyle name="Percent 3 5 3 2 4 3" xfId="25708" xr:uid="{00000000-0005-0000-0000-000030990000}"/>
    <cellStyle name="Percent 3 5 3 2 5" xfId="10204" xr:uid="{00000000-0005-0000-0000-000031990000}"/>
    <cellStyle name="Percent 3 5 3 2 5 2" xfId="30256" xr:uid="{00000000-0005-0000-0000-000032990000}"/>
    <cellStyle name="Percent 3 5 3 2 6" xfId="21226" xr:uid="{00000000-0005-0000-0000-000033990000}"/>
    <cellStyle name="Percent 3 5 3 3" xfId="1921" xr:uid="{00000000-0005-0000-0000-000034990000}"/>
    <cellStyle name="Percent 3 5 3 3 2" xfId="6403" xr:uid="{00000000-0005-0000-0000-000035990000}"/>
    <cellStyle name="Percent 3 5 3 3 2 2" xfId="15433" xr:uid="{00000000-0005-0000-0000-000036990000}"/>
    <cellStyle name="Percent 3 5 3 3 2 2 2" xfId="35485" xr:uid="{00000000-0005-0000-0000-000037990000}"/>
    <cellStyle name="Percent 3 5 3 3 2 3" xfId="26455" xr:uid="{00000000-0005-0000-0000-000038990000}"/>
    <cellStyle name="Percent 3 5 3 3 3" xfId="10951" xr:uid="{00000000-0005-0000-0000-000039990000}"/>
    <cellStyle name="Percent 3 5 3 3 3 2" xfId="31003" xr:uid="{00000000-0005-0000-0000-00003A990000}"/>
    <cellStyle name="Percent 3 5 3 3 4" xfId="21973" xr:uid="{00000000-0005-0000-0000-00003B990000}"/>
    <cellStyle name="Percent 3 5 3 4" xfId="3415" xr:uid="{00000000-0005-0000-0000-00003C990000}"/>
    <cellStyle name="Percent 3 5 3 4 2" xfId="7897" xr:uid="{00000000-0005-0000-0000-00003D990000}"/>
    <cellStyle name="Percent 3 5 3 4 2 2" xfId="16927" xr:uid="{00000000-0005-0000-0000-00003E990000}"/>
    <cellStyle name="Percent 3 5 3 4 2 2 2" xfId="36979" xr:uid="{00000000-0005-0000-0000-00003F990000}"/>
    <cellStyle name="Percent 3 5 3 4 2 3" xfId="27949" xr:uid="{00000000-0005-0000-0000-000040990000}"/>
    <cellStyle name="Percent 3 5 3 4 3" xfId="12445" xr:uid="{00000000-0005-0000-0000-000041990000}"/>
    <cellStyle name="Percent 3 5 3 4 3 2" xfId="32497" xr:uid="{00000000-0005-0000-0000-000042990000}"/>
    <cellStyle name="Percent 3 5 3 4 4" xfId="23467" xr:uid="{00000000-0005-0000-0000-000043990000}"/>
    <cellStyle name="Percent 3 5 3 5" xfId="4909" xr:uid="{00000000-0005-0000-0000-000044990000}"/>
    <cellStyle name="Percent 3 5 3 5 2" xfId="13939" xr:uid="{00000000-0005-0000-0000-000045990000}"/>
    <cellStyle name="Percent 3 5 3 5 2 2" xfId="33991" xr:uid="{00000000-0005-0000-0000-000046990000}"/>
    <cellStyle name="Percent 3 5 3 5 3" xfId="24961" xr:uid="{00000000-0005-0000-0000-000047990000}"/>
    <cellStyle name="Percent 3 5 3 6" xfId="9457" xr:uid="{00000000-0005-0000-0000-000048990000}"/>
    <cellStyle name="Percent 3 5 3 6 2" xfId="29509" xr:uid="{00000000-0005-0000-0000-000049990000}"/>
    <cellStyle name="Percent 3 5 3 7" xfId="20479" xr:uid="{00000000-0005-0000-0000-00004A990000}"/>
    <cellStyle name="Percent 3 5 4" xfId="613" xr:uid="{00000000-0005-0000-0000-00004B990000}"/>
    <cellStyle name="Percent 3 5 4 2" xfId="1360" xr:uid="{00000000-0005-0000-0000-00004C990000}"/>
    <cellStyle name="Percent 3 5 4 2 2" xfId="2854" xr:uid="{00000000-0005-0000-0000-00004D990000}"/>
    <cellStyle name="Percent 3 5 4 2 2 2" xfId="7336" xr:uid="{00000000-0005-0000-0000-00004E990000}"/>
    <cellStyle name="Percent 3 5 4 2 2 2 2" xfId="16366" xr:uid="{00000000-0005-0000-0000-00004F990000}"/>
    <cellStyle name="Percent 3 5 4 2 2 2 2 2" xfId="36418" xr:uid="{00000000-0005-0000-0000-000050990000}"/>
    <cellStyle name="Percent 3 5 4 2 2 2 3" xfId="27388" xr:uid="{00000000-0005-0000-0000-000051990000}"/>
    <cellStyle name="Percent 3 5 4 2 2 3" xfId="11884" xr:uid="{00000000-0005-0000-0000-000052990000}"/>
    <cellStyle name="Percent 3 5 4 2 2 3 2" xfId="31936" xr:uid="{00000000-0005-0000-0000-000053990000}"/>
    <cellStyle name="Percent 3 5 4 2 2 4" xfId="22906" xr:uid="{00000000-0005-0000-0000-000054990000}"/>
    <cellStyle name="Percent 3 5 4 2 3" xfId="4348" xr:uid="{00000000-0005-0000-0000-000055990000}"/>
    <cellStyle name="Percent 3 5 4 2 3 2" xfId="8830" xr:uid="{00000000-0005-0000-0000-000056990000}"/>
    <cellStyle name="Percent 3 5 4 2 3 2 2" xfId="17860" xr:uid="{00000000-0005-0000-0000-000057990000}"/>
    <cellStyle name="Percent 3 5 4 2 3 2 2 2" xfId="37912" xr:uid="{00000000-0005-0000-0000-000058990000}"/>
    <cellStyle name="Percent 3 5 4 2 3 2 3" xfId="28882" xr:uid="{00000000-0005-0000-0000-000059990000}"/>
    <cellStyle name="Percent 3 5 4 2 3 3" xfId="13378" xr:uid="{00000000-0005-0000-0000-00005A990000}"/>
    <cellStyle name="Percent 3 5 4 2 3 3 2" xfId="33430" xr:uid="{00000000-0005-0000-0000-00005B990000}"/>
    <cellStyle name="Percent 3 5 4 2 3 4" xfId="24400" xr:uid="{00000000-0005-0000-0000-00005C990000}"/>
    <cellStyle name="Percent 3 5 4 2 4" xfId="5842" xr:uid="{00000000-0005-0000-0000-00005D990000}"/>
    <cellStyle name="Percent 3 5 4 2 4 2" xfId="14872" xr:uid="{00000000-0005-0000-0000-00005E990000}"/>
    <cellStyle name="Percent 3 5 4 2 4 2 2" xfId="34924" xr:uid="{00000000-0005-0000-0000-00005F990000}"/>
    <cellStyle name="Percent 3 5 4 2 4 3" xfId="25894" xr:uid="{00000000-0005-0000-0000-000060990000}"/>
    <cellStyle name="Percent 3 5 4 2 5" xfId="10390" xr:uid="{00000000-0005-0000-0000-000061990000}"/>
    <cellStyle name="Percent 3 5 4 2 5 2" xfId="30442" xr:uid="{00000000-0005-0000-0000-000062990000}"/>
    <cellStyle name="Percent 3 5 4 2 6" xfId="21412" xr:uid="{00000000-0005-0000-0000-000063990000}"/>
    <cellStyle name="Percent 3 5 4 3" xfId="2107" xr:uid="{00000000-0005-0000-0000-000064990000}"/>
    <cellStyle name="Percent 3 5 4 3 2" xfId="6589" xr:uid="{00000000-0005-0000-0000-000065990000}"/>
    <cellStyle name="Percent 3 5 4 3 2 2" xfId="15619" xr:uid="{00000000-0005-0000-0000-000066990000}"/>
    <cellStyle name="Percent 3 5 4 3 2 2 2" xfId="35671" xr:uid="{00000000-0005-0000-0000-000067990000}"/>
    <cellStyle name="Percent 3 5 4 3 2 3" xfId="26641" xr:uid="{00000000-0005-0000-0000-000068990000}"/>
    <cellStyle name="Percent 3 5 4 3 3" xfId="11137" xr:uid="{00000000-0005-0000-0000-000069990000}"/>
    <cellStyle name="Percent 3 5 4 3 3 2" xfId="31189" xr:uid="{00000000-0005-0000-0000-00006A990000}"/>
    <cellStyle name="Percent 3 5 4 3 4" xfId="22159" xr:uid="{00000000-0005-0000-0000-00006B990000}"/>
    <cellStyle name="Percent 3 5 4 4" xfId="3601" xr:uid="{00000000-0005-0000-0000-00006C990000}"/>
    <cellStyle name="Percent 3 5 4 4 2" xfId="8083" xr:uid="{00000000-0005-0000-0000-00006D990000}"/>
    <cellStyle name="Percent 3 5 4 4 2 2" xfId="17113" xr:uid="{00000000-0005-0000-0000-00006E990000}"/>
    <cellStyle name="Percent 3 5 4 4 2 2 2" xfId="37165" xr:uid="{00000000-0005-0000-0000-00006F990000}"/>
    <cellStyle name="Percent 3 5 4 4 2 3" xfId="28135" xr:uid="{00000000-0005-0000-0000-000070990000}"/>
    <cellStyle name="Percent 3 5 4 4 3" xfId="12631" xr:uid="{00000000-0005-0000-0000-000071990000}"/>
    <cellStyle name="Percent 3 5 4 4 3 2" xfId="32683" xr:uid="{00000000-0005-0000-0000-000072990000}"/>
    <cellStyle name="Percent 3 5 4 4 4" xfId="23653" xr:uid="{00000000-0005-0000-0000-000073990000}"/>
    <cellStyle name="Percent 3 5 4 5" xfId="5095" xr:uid="{00000000-0005-0000-0000-000074990000}"/>
    <cellStyle name="Percent 3 5 4 5 2" xfId="14125" xr:uid="{00000000-0005-0000-0000-000075990000}"/>
    <cellStyle name="Percent 3 5 4 5 2 2" xfId="34177" xr:uid="{00000000-0005-0000-0000-000076990000}"/>
    <cellStyle name="Percent 3 5 4 5 3" xfId="25147" xr:uid="{00000000-0005-0000-0000-000077990000}"/>
    <cellStyle name="Percent 3 5 4 6" xfId="9643" xr:uid="{00000000-0005-0000-0000-000078990000}"/>
    <cellStyle name="Percent 3 5 4 6 2" xfId="29695" xr:uid="{00000000-0005-0000-0000-000079990000}"/>
    <cellStyle name="Percent 3 5 4 7" xfId="20665" xr:uid="{00000000-0005-0000-0000-00007A990000}"/>
    <cellStyle name="Percent 3 5 5" xfId="800" xr:uid="{00000000-0005-0000-0000-00007B990000}"/>
    <cellStyle name="Percent 3 5 5 2" xfId="2294" xr:uid="{00000000-0005-0000-0000-00007C990000}"/>
    <cellStyle name="Percent 3 5 5 2 2" xfId="6776" xr:uid="{00000000-0005-0000-0000-00007D990000}"/>
    <cellStyle name="Percent 3 5 5 2 2 2" xfId="15806" xr:uid="{00000000-0005-0000-0000-00007E990000}"/>
    <cellStyle name="Percent 3 5 5 2 2 2 2" xfId="35858" xr:uid="{00000000-0005-0000-0000-00007F990000}"/>
    <cellStyle name="Percent 3 5 5 2 2 3" xfId="26828" xr:uid="{00000000-0005-0000-0000-000080990000}"/>
    <cellStyle name="Percent 3 5 5 2 3" xfId="11324" xr:uid="{00000000-0005-0000-0000-000081990000}"/>
    <cellStyle name="Percent 3 5 5 2 3 2" xfId="31376" xr:uid="{00000000-0005-0000-0000-000082990000}"/>
    <cellStyle name="Percent 3 5 5 2 4" xfId="22346" xr:uid="{00000000-0005-0000-0000-000083990000}"/>
    <cellStyle name="Percent 3 5 5 3" xfId="3788" xr:uid="{00000000-0005-0000-0000-000084990000}"/>
    <cellStyle name="Percent 3 5 5 3 2" xfId="8270" xr:uid="{00000000-0005-0000-0000-000085990000}"/>
    <cellStyle name="Percent 3 5 5 3 2 2" xfId="17300" xr:uid="{00000000-0005-0000-0000-000086990000}"/>
    <cellStyle name="Percent 3 5 5 3 2 2 2" xfId="37352" xr:uid="{00000000-0005-0000-0000-000087990000}"/>
    <cellStyle name="Percent 3 5 5 3 2 3" xfId="28322" xr:uid="{00000000-0005-0000-0000-000088990000}"/>
    <cellStyle name="Percent 3 5 5 3 3" xfId="12818" xr:uid="{00000000-0005-0000-0000-000089990000}"/>
    <cellStyle name="Percent 3 5 5 3 3 2" xfId="32870" xr:uid="{00000000-0005-0000-0000-00008A990000}"/>
    <cellStyle name="Percent 3 5 5 3 4" xfId="23840" xr:uid="{00000000-0005-0000-0000-00008B990000}"/>
    <cellStyle name="Percent 3 5 5 4" xfId="5282" xr:uid="{00000000-0005-0000-0000-00008C990000}"/>
    <cellStyle name="Percent 3 5 5 4 2" xfId="14312" xr:uid="{00000000-0005-0000-0000-00008D990000}"/>
    <cellStyle name="Percent 3 5 5 4 2 2" xfId="34364" xr:uid="{00000000-0005-0000-0000-00008E990000}"/>
    <cellStyle name="Percent 3 5 5 4 3" xfId="25334" xr:uid="{00000000-0005-0000-0000-00008F990000}"/>
    <cellStyle name="Percent 3 5 5 5" xfId="9830" xr:uid="{00000000-0005-0000-0000-000090990000}"/>
    <cellStyle name="Percent 3 5 5 5 2" xfId="29882" xr:uid="{00000000-0005-0000-0000-000091990000}"/>
    <cellStyle name="Percent 3 5 5 6" xfId="20852" xr:uid="{00000000-0005-0000-0000-000092990000}"/>
    <cellStyle name="Percent 3 5 6" xfId="1549" xr:uid="{00000000-0005-0000-0000-000093990000}"/>
    <cellStyle name="Percent 3 5 6 2" xfId="6031" xr:uid="{00000000-0005-0000-0000-000094990000}"/>
    <cellStyle name="Percent 3 5 6 2 2" xfId="15061" xr:uid="{00000000-0005-0000-0000-000095990000}"/>
    <cellStyle name="Percent 3 5 6 2 2 2" xfId="35113" xr:uid="{00000000-0005-0000-0000-000096990000}"/>
    <cellStyle name="Percent 3 5 6 2 3" xfId="26083" xr:uid="{00000000-0005-0000-0000-000097990000}"/>
    <cellStyle name="Percent 3 5 6 3" xfId="10579" xr:uid="{00000000-0005-0000-0000-000098990000}"/>
    <cellStyle name="Percent 3 5 6 3 2" xfId="30631" xr:uid="{00000000-0005-0000-0000-000099990000}"/>
    <cellStyle name="Percent 3 5 6 4" xfId="21601" xr:uid="{00000000-0005-0000-0000-00009A990000}"/>
    <cellStyle name="Percent 3 5 7" xfId="3043" xr:uid="{00000000-0005-0000-0000-00009B990000}"/>
    <cellStyle name="Percent 3 5 7 2" xfId="7525" xr:uid="{00000000-0005-0000-0000-00009C990000}"/>
    <cellStyle name="Percent 3 5 7 2 2" xfId="16555" xr:uid="{00000000-0005-0000-0000-00009D990000}"/>
    <cellStyle name="Percent 3 5 7 2 2 2" xfId="36607" xr:uid="{00000000-0005-0000-0000-00009E990000}"/>
    <cellStyle name="Percent 3 5 7 2 3" xfId="27577" xr:uid="{00000000-0005-0000-0000-00009F990000}"/>
    <cellStyle name="Percent 3 5 7 3" xfId="12073" xr:uid="{00000000-0005-0000-0000-0000A0990000}"/>
    <cellStyle name="Percent 3 5 7 3 2" xfId="32125" xr:uid="{00000000-0005-0000-0000-0000A1990000}"/>
    <cellStyle name="Percent 3 5 7 4" xfId="23095" xr:uid="{00000000-0005-0000-0000-0000A2990000}"/>
    <cellStyle name="Percent 3 5 8" xfId="4537" xr:uid="{00000000-0005-0000-0000-0000A3990000}"/>
    <cellStyle name="Percent 3 5 8 2" xfId="13567" xr:uid="{00000000-0005-0000-0000-0000A4990000}"/>
    <cellStyle name="Percent 3 5 8 2 2" xfId="33619" xr:uid="{00000000-0005-0000-0000-0000A5990000}"/>
    <cellStyle name="Percent 3 5 8 3" xfId="24589" xr:uid="{00000000-0005-0000-0000-0000A6990000}"/>
    <cellStyle name="Percent 3 5 9" xfId="9085" xr:uid="{00000000-0005-0000-0000-0000A7990000}"/>
    <cellStyle name="Percent 3 5 9 2" xfId="29137" xr:uid="{00000000-0005-0000-0000-0000A8990000}"/>
    <cellStyle name="Percent 3 6" xfId="79" xr:uid="{00000000-0005-0000-0000-0000A9990000}"/>
    <cellStyle name="Percent 3 6 10" xfId="20131" xr:uid="{00000000-0005-0000-0000-0000AA990000}"/>
    <cellStyle name="Percent 3 6 2" xfId="265" xr:uid="{00000000-0005-0000-0000-0000AB990000}"/>
    <cellStyle name="Percent 3 6 2 2" xfId="1009" xr:uid="{00000000-0005-0000-0000-0000AC990000}"/>
    <cellStyle name="Percent 3 6 2 2 2" xfId="2503" xr:uid="{00000000-0005-0000-0000-0000AD990000}"/>
    <cellStyle name="Percent 3 6 2 2 2 2" xfId="6985" xr:uid="{00000000-0005-0000-0000-0000AE990000}"/>
    <cellStyle name="Percent 3 6 2 2 2 2 2" xfId="16015" xr:uid="{00000000-0005-0000-0000-0000AF990000}"/>
    <cellStyle name="Percent 3 6 2 2 2 2 2 2" xfId="36067" xr:uid="{00000000-0005-0000-0000-0000B0990000}"/>
    <cellStyle name="Percent 3 6 2 2 2 2 3" xfId="27037" xr:uid="{00000000-0005-0000-0000-0000B1990000}"/>
    <cellStyle name="Percent 3 6 2 2 2 3" xfId="11533" xr:uid="{00000000-0005-0000-0000-0000B2990000}"/>
    <cellStyle name="Percent 3 6 2 2 2 3 2" xfId="31585" xr:uid="{00000000-0005-0000-0000-0000B3990000}"/>
    <cellStyle name="Percent 3 6 2 2 2 4" xfId="22555" xr:uid="{00000000-0005-0000-0000-0000B4990000}"/>
    <cellStyle name="Percent 3 6 2 2 3" xfId="3997" xr:uid="{00000000-0005-0000-0000-0000B5990000}"/>
    <cellStyle name="Percent 3 6 2 2 3 2" xfId="8479" xr:uid="{00000000-0005-0000-0000-0000B6990000}"/>
    <cellStyle name="Percent 3 6 2 2 3 2 2" xfId="17509" xr:uid="{00000000-0005-0000-0000-0000B7990000}"/>
    <cellStyle name="Percent 3 6 2 2 3 2 2 2" xfId="37561" xr:uid="{00000000-0005-0000-0000-0000B8990000}"/>
    <cellStyle name="Percent 3 6 2 2 3 2 3" xfId="28531" xr:uid="{00000000-0005-0000-0000-0000B9990000}"/>
    <cellStyle name="Percent 3 6 2 2 3 3" xfId="13027" xr:uid="{00000000-0005-0000-0000-0000BA990000}"/>
    <cellStyle name="Percent 3 6 2 2 3 3 2" xfId="33079" xr:uid="{00000000-0005-0000-0000-0000BB990000}"/>
    <cellStyle name="Percent 3 6 2 2 3 4" xfId="24049" xr:uid="{00000000-0005-0000-0000-0000BC990000}"/>
    <cellStyle name="Percent 3 6 2 2 4" xfId="5491" xr:uid="{00000000-0005-0000-0000-0000BD990000}"/>
    <cellStyle name="Percent 3 6 2 2 4 2" xfId="14521" xr:uid="{00000000-0005-0000-0000-0000BE990000}"/>
    <cellStyle name="Percent 3 6 2 2 4 2 2" xfId="34573" xr:uid="{00000000-0005-0000-0000-0000BF990000}"/>
    <cellStyle name="Percent 3 6 2 2 4 3" xfId="25543" xr:uid="{00000000-0005-0000-0000-0000C0990000}"/>
    <cellStyle name="Percent 3 6 2 2 5" xfId="10039" xr:uid="{00000000-0005-0000-0000-0000C1990000}"/>
    <cellStyle name="Percent 3 6 2 2 5 2" xfId="30091" xr:uid="{00000000-0005-0000-0000-0000C2990000}"/>
    <cellStyle name="Percent 3 6 2 2 6" xfId="21061" xr:uid="{00000000-0005-0000-0000-0000C3990000}"/>
    <cellStyle name="Percent 3 6 2 3" xfId="1759" xr:uid="{00000000-0005-0000-0000-0000C4990000}"/>
    <cellStyle name="Percent 3 6 2 3 2" xfId="6241" xr:uid="{00000000-0005-0000-0000-0000C5990000}"/>
    <cellStyle name="Percent 3 6 2 3 2 2" xfId="15271" xr:uid="{00000000-0005-0000-0000-0000C6990000}"/>
    <cellStyle name="Percent 3 6 2 3 2 2 2" xfId="35323" xr:uid="{00000000-0005-0000-0000-0000C7990000}"/>
    <cellStyle name="Percent 3 6 2 3 2 3" xfId="26293" xr:uid="{00000000-0005-0000-0000-0000C8990000}"/>
    <cellStyle name="Percent 3 6 2 3 3" xfId="10789" xr:uid="{00000000-0005-0000-0000-0000C9990000}"/>
    <cellStyle name="Percent 3 6 2 3 3 2" xfId="30841" xr:uid="{00000000-0005-0000-0000-0000CA990000}"/>
    <cellStyle name="Percent 3 6 2 3 4" xfId="21811" xr:uid="{00000000-0005-0000-0000-0000CB990000}"/>
    <cellStyle name="Percent 3 6 2 4" xfId="3253" xr:uid="{00000000-0005-0000-0000-0000CC990000}"/>
    <cellStyle name="Percent 3 6 2 4 2" xfId="7735" xr:uid="{00000000-0005-0000-0000-0000CD990000}"/>
    <cellStyle name="Percent 3 6 2 4 2 2" xfId="16765" xr:uid="{00000000-0005-0000-0000-0000CE990000}"/>
    <cellStyle name="Percent 3 6 2 4 2 2 2" xfId="36817" xr:uid="{00000000-0005-0000-0000-0000CF990000}"/>
    <cellStyle name="Percent 3 6 2 4 2 3" xfId="27787" xr:uid="{00000000-0005-0000-0000-0000D0990000}"/>
    <cellStyle name="Percent 3 6 2 4 3" xfId="12283" xr:uid="{00000000-0005-0000-0000-0000D1990000}"/>
    <cellStyle name="Percent 3 6 2 4 3 2" xfId="32335" xr:uid="{00000000-0005-0000-0000-0000D2990000}"/>
    <cellStyle name="Percent 3 6 2 4 4" xfId="23305" xr:uid="{00000000-0005-0000-0000-0000D3990000}"/>
    <cellStyle name="Percent 3 6 2 5" xfId="4747" xr:uid="{00000000-0005-0000-0000-0000D4990000}"/>
    <cellStyle name="Percent 3 6 2 5 2" xfId="13777" xr:uid="{00000000-0005-0000-0000-0000D5990000}"/>
    <cellStyle name="Percent 3 6 2 5 2 2" xfId="33829" xr:uid="{00000000-0005-0000-0000-0000D6990000}"/>
    <cellStyle name="Percent 3 6 2 5 3" xfId="24799" xr:uid="{00000000-0005-0000-0000-0000D7990000}"/>
    <cellStyle name="Percent 3 6 2 6" xfId="9295" xr:uid="{00000000-0005-0000-0000-0000D8990000}"/>
    <cellStyle name="Percent 3 6 2 6 2" xfId="29347" xr:uid="{00000000-0005-0000-0000-0000D9990000}"/>
    <cellStyle name="Percent 3 6 2 7" xfId="20317" xr:uid="{00000000-0005-0000-0000-0000DA990000}"/>
    <cellStyle name="Percent 3 6 3" xfId="451" xr:uid="{00000000-0005-0000-0000-0000DB990000}"/>
    <cellStyle name="Percent 3 6 3 2" xfId="1198" xr:uid="{00000000-0005-0000-0000-0000DC990000}"/>
    <cellStyle name="Percent 3 6 3 2 2" xfId="2692" xr:uid="{00000000-0005-0000-0000-0000DD990000}"/>
    <cellStyle name="Percent 3 6 3 2 2 2" xfId="7174" xr:uid="{00000000-0005-0000-0000-0000DE990000}"/>
    <cellStyle name="Percent 3 6 3 2 2 2 2" xfId="16204" xr:uid="{00000000-0005-0000-0000-0000DF990000}"/>
    <cellStyle name="Percent 3 6 3 2 2 2 2 2" xfId="36256" xr:uid="{00000000-0005-0000-0000-0000E0990000}"/>
    <cellStyle name="Percent 3 6 3 2 2 2 3" xfId="27226" xr:uid="{00000000-0005-0000-0000-0000E1990000}"/>
    <cellStyle name="Percent 3 6 3 2 2 3" xfId="11722" xr:uid="{00000000-0005-0000-0000-0000E2990000}"/>
    <cellStyle name="Percent 3 6 3 2 2 3 2" xfId="31774" xr:uid="{00000000-0005-0000-0000-0000E3990000}"/>
    <cellStyle name="Percent 3 6 3 2 2 4" xfId="22744" xr:uid="{00000000-0005-0000-0000-0000E4990000}"/>
    <cellStyle name="Percent 3 6 3 2 3" xfId="4186" xr:uid="{00000000-0005-0000-0000-0000E5990000}"/>
    <cellStyle name="Percent 3 6 3 2 3 2" xfId="8668" xr:uid="{00000000-0005-0000-0000-0000E6990000}"/>
    <cellStyle name="Percent 3 6 3 2 3 2 2" xfId="17698" xr:uid="{00000000-0005-0000-0000-0000E7990000}"/>
    <cellStyle name="Percent 3 6 3 2 3 2 2 2" xfId="37750" xr:uid="{00000000-0005-0000-0000-0000E8990000}"/>
    <cellStyle name="Percent 3 6 3 2 3 2 3" xfId="28720" xr:uid="{00000000-0005-0000-0000-0000E9990000}"/>
    <cellStyle name="Percent 3 6 3 2 3 3" xfId="13216" xr:uid="{00000000-0005-0000-0000-0000EA990000}"/>
    <cellStyle name="Percent 3 6 3 2 3 3 2" xfId="33268" xr:uid="{00000000-0005-0000-0000-0000EB990000}"/>
    <cellStyle name="Percent 3 6 3 2 3 4" xfId="24238" xr:uid="{00000000-0005-0000-0000-0000EC990000}"/>
    <cellStyle name="Percent 3 6 3 2 4" xfId="5680" xr:uid="{00000000-0005-0000-0000-0000ED990000}"/>
    <cellStyle name="Percent 3 6 3 2 4 2" xfId="14710" xr:uid="{00000000-0005-0000-0000-0000EE990000}"/>
    <cellStyle name="Percent 3 6 3 2 4 2 2" xfId="34762" xr:uid="{00000000-0005-0000-0000-0000EF990000}"/>
    <cellStyle name="Percent 3 6 3 2 4 3" xfId="25732" xr:uid="{00000000-0005-0000-0000-0000F0990000}"/>
    <cellStyle name="Percent 3 6 3 2 5" xfId="10228" xr:uid="{00000000-0005-0000-0000-0000F1990000}"/>
    <cellStyle name="Percent 3 6 3 2 5 2" xfId="30280" xr:uid="{00000000-0005-0000-0000-0000F2990000}"/>
    <cellStyle name="Percent 3 6 3 2 6" xfId="21250" xr:uid="{00000000-0005-0000-0000-0000F3990000}"/>
    <cellStyle name="Percent 3 6 3 3" xfId="1945" xr:uid="{00000000-0005-0000-0000-0000F4990000}"/>
    <cellStyle name="Percent 3 6 3 3 2" xfId="6427" xr:uid="{00000000-0005-0000-0000-0000F5990000}"/>
    <cellStyle name="Percent 3 6 3 3 2 2" xfId="15457" xr:uid="{00000000-0005-0000-0000-0000F6990000}"/>
    <cellStyle name="Percent 3 6 3 3 2 2 2" xfId="35509" xr:uid="{00000000-0005-0000-0000-0000F7990000}"/>
    <cellStyle name="Percent 3 6 3 3 2 3" xfId="26479" xr:uid="{00000000-0005-0000-0000-0000F8990000}"/>
    <cellStyle name="Percent 3 6 3 3 3" xfId="10975" xr:uid="{00000000-0005-0000-0000-0000F9990000}"/>
    <cellStyle name="Percent 3 6 3 3 3 2" xfId="31027" xr:uid="{00000000-0005-0000-0000-0000FA990000}"/>
    <cellStyle name="Percent 3 6 3 3 4" xfId="21997" xr:uid="{00000000-0005-0000-0000-0000FB990000}"/>
    <cellStyle name="Percent 3 6 3 4" xfId="3439" xr:uid="{00000000-0005-0000-0000-0000FC990000}"/>
    <cellStyle name="Percent 3 6 3 4 2" xfId="7921" xr:uid="{00000000-0005-0000-0000-0000FD990000}"/>
    <cellStyle name="Percent 3 6 3 4 2 2" xfId="16951" xr:uid="{00000000-0005-0000-0000-0000FE990000}"/>
    <cellStyle name="Percent 3 6 3 4 2 2 2" xfId="37003" xr:uid="{00000000-0005-0000-0000-0000FF990000}"/>
    <cellStyle name="Percent 3 6 3 4 2 3" xfId="27973" xr:uid="{00000000-0005-0000-0000-0000009A0000}"/>
    <cellStyle name="Percent 3 6 3 4 3" xfId="12469" xr:uid="{00000000-0005-0000-0000-0000019A0000}"/>
    <cellStyle name="Percent 3 6 3 4 3 2" xfId="32521" xr:uid="{00000000-0005-0000-0000-0000029A0000}"/>
    <cellStyle name="Percent 3 6 3 4 4" xfId="23491" xr:uid="{00000000-0005-0000-0000-0000039A0000}"/>
    <cellStyle name="Percent 3 6 3 5" xfId="4933" xr:uid="{00000000-0005-0000-0000-0000049A0000}"/>
    <cellStyle name="Percent 3 6 3 5 2" xfId="13963" xr:uid="{00000000-0005-0000-0000-0000059A0000}"/>
    <cellStyle name="Percent 3 6 3 5 2 2" xfId="34015" xr:uid="{00000000-0005-0000-0000-0000069A0000}"/>
    <cellStyle name="Percent 3 6 3 5 3" xfId="24985" xr:uid="{00000000-0005-0000-0000-0000079A0000}"/>
    <cellStyle name="Percent 3 6 3 6" xfId="9481" xr:uid="{00000000-0005-0000-0000-0000089A0000}"/>
    <cellStyle name="Percent 3 6 3 6 2" xfId="29533" xr:uid="{00000000-0005-0000-0000-0000099A0000}"/>
    <cellStyle name="Percent 3 6 3 7" xfId="20503" xr:uid="{00000000-0005-0000-0000-00000A9A0000}"/>
    <cellStyle name="Percent 3 6 4" xfId="637" xr:uid="{00000000-0005-0000-0000-00000B9A0000}"/>
    <cellStyle name="Percent 3 6 4 2" xfId="1384" xr:uid="{00000000-0005-0000-0000-00000C9A0000}"/>
    <cellStyle name="Percent 3 6 4 2 2" xfId="2878" xr:uid="{00000000-0005-0000-0000-00000D9A0000}"/>
    <cellStyle name="Percent 3 6 4 2 2 2" xfId="7360" xr:uid="{00000000-0005-0000-0000-00000E9A0000}"/>
    <cellStyle name="Percent 3 6 4 2 2 2 2" xfId="16390" xr:uid="{00000000-0005-0000-0000-00000F9A0000}"/>
    <cellStyle name="Percent 3 6 4 2 2 2 2 2" xfId="36442" xr:uid="{00000000-0005-0000-0000-0000109A0000}"/>
    <cellStyle name="Percent 3 6 4 2 2 2 3" xfId="27412" xr:uid="{00000000-0005-0000-0000-0000119A0000}"/>
    <cellStyle name="Percent 3 6 4 2 2 3" xfId="11908" xr:uid="{00000000-0005-0000-0000-0000129A0000}"/>
    <cellStyle name="Percent 3 6 4 2 2 3 2" xfId="31960" xr:uid="{00000000-0005-0000-0000-0000139A0000}"/>
    <cellStyle name="Percent 3 6 4 2 2 4" xfId="22930" xr:uid="{00000000-0005-0000-0000-0000149A0000}"/>
    <cellStyle name="Percent 3 6 4 2 3" xfId="4372" xr:uid="{00000000-0005-0000-0000-0000159A0000}"/>
    <cellStyle name="Percent 3 6 4 2 3 2" xfId="8854" xr:uid="{00000000-0005-0000-0000-0000169A0000}"/>
    <cellStyle name="Percent 3 6 4 2 3 2 2" xfId="17884" xr:uid="{00000000-0005-0000-0000-0000179A0000}"/>
    <cellStyle name="Percent 3 6 4 2 3 2 2 2" xfId="37936" xr:uid="{00000000-0005-0000-0000-0000189A0000}"/>
    <cellStyle name="Percent 3 6 4 2 3 2 3" xfId="28906" xr:uid="{00000000-0005-0000-0000-0000199A0000}"/>
    <cellStyle name="Percent 3 6 4 2 3 3" xfId="13402" xr:uid="{00000000-0005-0000-0000-00001A9A0000}"/>
    <cellStyle name="Percent 3 6 4 2 3 3 2" xfId="33454" xr:uid="{00000000-0005-0000-0000-00001B9A0000}"/>
    <cellStyle name="Percent 3 6 4 2 3 4" xfId="24424" xr:uid="{00000000-0005-0000-0000-00001C9A0000}"/>
    <cellStyle name="Percent 3 6 4 2 4" xfId="5866" xr:uid="{00000000-0005-0000-0000-00001D9A0000}"/>
    <cellStyle name="Percent 3 6 4 2 4 2" xfId="14896" xr:uid="{00000000-0005-0000-0000-00001E9A0000}"/>
    <cellStyle name="Percent 3 6 4 2 4 2 2" xfId="34948" xr:uid="{00000000-0005-0000-0000-00001F9A0000}"/>
    <cellStyle name="Percent 3 6 4 2 4 3" xfId="25918" xr:uid="{00000000-0005-0000-0000-0000209A0000}"/>
    <cellStyle name="Percent 3 6 4 2 5" xfId="10414" xr:uid="{00000000-0005-0000-0000-0000219A0000}"/>
    <cellStyle name="Percent 3 6 4 2 5 2" xfId="30466" xr:uid="{00000000-0005-0000-0000-0000229A0000}"/>
    <cellStyle name="Percent 3 6 4 2 6" xfId="21436" xr:uid="{00000000-0005-0000-0000-0000239A0000}"/>
    <cellStyle name="Percent 3 6 4 3" xfId="2131" xr:uid="{00000000-0005-0000-0000-0000249A0000}"/>
    <cellStyle name="Percent 3 6 4 3 2" xfId="6613" xr:uid="{00000000-0005-0000-0000-0000259A0000}"/>
    <cellStyle name="Percent 3 6 4 3 2 2" xfId="15643" xr:uid="{00000000-0005-0000-0000-0000269A0000}"/>
    <cellStyle name="Percent 3 6 4 3 2 2 2" xfId="35695" xr:uid="{00000000-0005-0000-0000-0000279A0000}"/>
    <cellStyle name="Percent 3 6 4 3 2 3" xfId="26665" xr:uid="{00000000-0005-0000-0000-0000289A0000}"/>
    <cellStyle name="Percent 3 6 4 3 3" xfId="11161" xr:uid="{00000000-0005-0000-0000-0000299A0000}"/>
    <cellStyle name="Percent 3 6 4 3 3 2" xfId="31213" xr:uid="{00000000-0005-0000-0000-00002A9A0000}"/>
    <cellStyle name="Percent 3 6 4 3 4" xfId="22183" xr:uid="{00000000-0005-0000-0000-00002B9A0000}"/>
    <cellStyle name="Percent 3 6 4 4" xfId="3625" xr:uid="{00000000-0005-0000-0000-00002C9A0000}"/>
    <cellStyle name="Percent 3 6 4 4 2" xfId="8107" xr:uid="{00000000-0005-0000-0000-00002D9A0000}"/>
    <cellStyle name="Percent 3 6 4 4 2 2" xfId="17137" xr:uid="{00000000-0005-0000-0000-00002E9A0000}"/>
    <cellStyle name="Percent 3 6 4 4 2 2 2" xfId="37189" xr:uid="{00000000-0005-0000-0000-00002F9A0000}"/>
    <cellStyle name="Percent 3 6 4 4 2 3" xfId="28159" xr:uid="{00000000-0005-0000-0000-0000309A0000}"/>
    <cellStyle name="Percent 3 6 4 4 3" xfId="12655" xr:uid="{00000000-0005-0000-0000-0000319A0000}"/>
    <cellStyle name="Percent 3 6 4 4 3 2" xfId="32707" xr:uid="{00000000-0005-0000-0000-0000329A0000}"/>
    <cellStyle name="Percent 3 6 4 4 4" xfId="23677" xr:uid="{00000000-0005-0000-0000-0000339A0000}"/>
    <cellStyle name="Percent 3 6 4 5" xfId="5119" xr:uid="{00000000-0005-0000-0000-0000349A0000}"/>
    <cellStyle name="Percent 3 6 4 5 2" xfId="14149" xr:uid="{00000000-0005-0000-0000-0000359A0000}"/>
    <cellStyle name="Percent 3 6 4 5 2 2" xfId="34201" xr:uid="{00000000-0005-0000-0000-0000369A0000}"/>
    <cellStyle name="Percent 3 6 4 5 3" xfId="25171" xr:uid="{00000000-0005-0000-0000-0000379A0000}"/>
    <cellStyle name="Percent 3 6 4 6" xfId="9667" xr:uid="{00000000-0005-0000-0000-0000389A0000}"/>
    <cellStyle name="Percent 3 6 4 6 2" xfId="29719" xr:uid="{00000000-0005-0000-0000-0000399A0000}"/>
    <cellStyle name="Percent 3 6 4 7" xfId="20689" xr:uid="{00000000-0005-0000-0000-00003A9A0000}"/>
    <cellStyle name="Percent 3 6 5" xfId="824" xr:uid="{00000000-0005-0000-0000-00003B9A0000}"/>
    <cellStyle name="Percent 3 6 5 2" xfId="2318" xr:uid="{00000000-0005-0000-0000-00003C9A0000}"/>
    <cellStyle name="Percent 3 6 5 2 2" xfId="6800" xr:uid="{00000000-0005-0000-0000-00003D9A0000}"/>
    <cellStyle name="Percent 3 6 5 2 2 2" xfId="15830" xr:uid="{00000000-0005-0000-0000-00003E9A0000}"/>
    <cellStyle name="Percent 3 6 5 2 2 2 2" xfId="35882" xr:uid="{00000000-0005-0000-0000-00003F9A0000}"/>
    <cellStyle name="Percent 3 6 5 2 2 3" xfId="26852" xr:uid="{00000000-0005-0000-0000-0000409A0000}"/>
    <cellStyle name="Percent 3 6 5 2 3" xfId="11348" xr:uid="{00000000-0005-0000-0000-0000419A0000}"/>
    <cellStyle name="Percent 3 6 5 2 3 2" xfId="31400" xr:uid="{00000000-0005-0000-0000-0000429A0000}"/>
    <cellStyle name="Percent 3 6 5 2 4" xfId="22370" xr:uid="{00000000-0005-0000-0000-0000439A0000}"/>
    <cellStyle name="Percent 3 6 5 3" xfId="3812" xr:uid="{00000000-0005-0000-0000-0000449A0000}"/>
    <cellStyle name="Percent 3 6 5 3 2" xfId="8294" xr:uid="{00000000-0005-0000-0000-0000459A0000}"/>
    <cellStyle name="Percent 3 6 5 3 2 2" xfId="17324" xr:uid="{00000000-0005-0000-0000-0000469A0000}"/>
    <cellStyle name="Percent 3 6 5 3 2 2 2" xfId="37376" xr:uid="{00000000-0005-0000-0000-0000479A0000}"/>
    <cellStyle name="Percent 3 6 5 3 2 3" xfId="28346" xr:uid="{00000000-0005-0000-0000-0000489A0000}"/>
    <cellStyle name="Percent 3 6 5 3 3" xfId="12842" xr:uid="{00000000-0005-0000-0000-0000499A0000}"/>
    <cellStyle name="Percent 3 6 5 3 3 2" xfId="32894" xr:uid="{00000000-0005-0000-0000-00004A9A0000}"/>
    <cellStyle name="Percent 3 6 5 3 4" xfId="23864" xr:uid="{00000000-0005-0000-0000-00004B9A0000}"/>
    <cellStyle name="Percent 3 6 5 4" xfId="5306" xr:uid="{00000000-0005-0000-0000-00004C9A0000}"/>
    <cellStyle name="Percent 3 6 5 4 2" xfId="14336" xr:uid="{00000000-0005-0000-0000-00004D9A0000}"/>
    <cellStyle name="Percent 3 6 5 4 2 2" xfId="34388" xr:uid="{00000000-0005-0000-0000-00004E9A0000}"/>
    <cellStyle name="Percent 3 6 5 4 3" xfId="25358" xr:uid="{00000000-0005-0000-0000-00004F9A0000}"/>
    <cellStyle name="Percent 3 6 5 5" xfId="9854" xr:uid="{00000000-0005-0000-0000-0000509A0000}"/>
    <cellStyle name="Percent 3 6 5 5 2" xfId="29906" xr:uid="{00000000-0005-0000-0000-0000519A0000}"/>
    <cellStyle name="Percent 3 6 5 6" xfId="20876" xr:uid="{00000000-0005-0000-0000-0000529A0000}"/>
    <cellStyle name="Percent 3 6 6" xfId="1573" xr:uid="{00000000-0005-0000-0000-0000539A0000}"/>
    <cellStyle name="Percent 3 6 6 2" xfId="6055" xr:uid="{00000000-0005-0000-0000-0000549A0000}"/>
    <cellStyle name="Percent 3 6 6 2 2" xfId="15085" xr:uid="{00000000-0005-0000-0000-0000559A0000}"/>
    <cellStyle name="Percent 3 6 6 2 2 2" xfId="35137" xr:uid="{00000000-0005-0000-0000-0000569A0000}"/>
    <cellStyle name="Percent 3 6 6 2 3" xfId="26107" xr:uid="{00000000-0005-0000-0000-0000579A0000}"/>
    <cellStyle name="Percent 3 6 6 3" xfId="10603" xr:uid="{00000000-0005-0000-0000-0000589A0000}"/>
    <cellStyle name="Percent 3 6 6 3 2" xfId="30655" xr:uid="{00000000-0005-0000-0000-0000599A0000}"/>
    <cellStyle name="Percent 3 6 6 4" xfId="21625" xr:uid="{00000000-0005-0000-0000-00005A9A0000}"/>
    <cellStyle name="Percent 3 6 7" xfId="3067" xr:uid="{00000000-0005-0000-0000-00005B9A0000}"/>
    <cellStyle name="Percent 3 6 7 2" xfId="7549" xr:uid="{00000000-0005-0000-0000-00005C9A0000}"/>
    <cellStyle name="Percent 3 6 7 2 2" xfId="16579" xr:uid="{00000000-0005-0000-0000-00005D9A0000}"/>
    <cellStyle name="Percent 3 6 7 2 2 2" xfId="36631" xr:uid="{00000000-0005-0000-0000-00005E9A0000}"/>
    <cellStyle name="Percent 3 6 7 2 3" xfId="27601" xr:uid="{00000000-0005-0000-0000-00005F9A0000}"/>
    <cellStyle name="Percent 3 6 7 3" xfId="12097" xr:uid="{00000000-0005-0000-0000-0000609A0000}"/>
    <cellStyle name="Percent 3 6 7 3 2" xfId="32149" xr:uid="{00000000-0005-0000-0000-0000619A0000}"/>
    <cellStyle name="Percent 3 6 7 4" xfId="23119" xr:uid="{00000000-0005-0000-0000-0000629A0000}"/>
    <cellStyle name="Percent 3 6 8" xfId="4561" xr:uid="{00000000-0005-0000-0000-0000639A0000}"/>
    <cellStyle name="Percent 3 6 8 2" xfId="13591" xr:uid="{00000000-0005-0000-0000-0000649A0000}"/>
    <cellStyle name="Percent 3 6 8 2 2" xfId="33643" xr:uid="{00000000-0005-0000-0000-0000659A0000}"/>
    <cellStyle name="Percent 3 6 8 3" xfId="24613" xr:uid="{00000000-0005-0000-0000-0000669A0000}"/>
    <cellStyle name="Percent 3 6 9" xfId="9109" xr:uid="{00000000-0005-0000-0000-0000679A0000}"/>
    <cellStyle name="Percent 3 6 9 2" xfId="29161" xr:uid="{00000000-0005-0000-0000-0000689A0000}"/>
    <cellStyle name="Percent 3 7" xfId="121" xr:uid="{00000000-0005-0000-0000-0000699A0000}"/>
    <cellStyle name="Percent 3 7 10" xfId="20173" xr:uid="{00000000-0005-0000-0000-00006A9A0000}"/>
    <cellStyle name="Percent 3 7 2" xfId="307" xr:uid="{00000000-0005-0000-0000-00006B9A0000}"/>
    <cellStyle name="Percent 3 7 2 2" xfId="1050" xr:uid="{00000000-0005-0000-0000-00006C9A0000}"/>
    <cellStyle name="Percent 3 7 2 2 2" xfId="2544" xr:uid="{00000000-0005-0000-0000-00006D9A0000}"/>
    <cellStyle name="Percent 3 7 2 2 2 2" xfId="7026" xr:uid="{00000000-0005-0000-0000-00006E9A0000}"/>
    <cellStyle name="Percent 3 7 2 2 2 2 2" xfId="16056" xr:uid="{00000000-0005-0000-0000-00006F9A0000}"/>
    <cellStyle name="Percent 3 7 2 2 2 2 2 2" xfId="36108" xr:uid="{00000000-0005-0000-0000-0000709A0000}"/>
    <cellStyle name="Percent 3 7 2 2 2 2 3" xfId="27078" xr:uid="{00000000-0005-0000-0000-0000719A0000}"/>
    <cellStyle name="Percent 3 7 2 2 2 3" xfId="11574" xr:uid="{00000000-0005-0000-0000-0000729A0000}"/>
    <cellStyle name="Percent 3 7 2 2 2 3 2" xfId="31626" xr:uid="{00000000-0005-0000-0000-0000739A0000}"/>
    <cellStyle name="Percent 3 7 2 2 2 4" xfId="22596" xr:uid="{00000000-0005-0000-0000-0000749A0000}"/>
    <cellStyle name="Percent 3 7 2 2 3" xfId="4038" xr:uid="{00000000-0005-0000-0000-0000759A0000}"/>
    <cellStyle name="Percent 3 7 2 2 3 2" xfId="8520" xr:uid="{00000000-0005-0000-0000-0000769A0000}"/>
    <cellStyle name="Percent 3 7 2 2 3 2 2" xfId="17550" xr:uid="{00000000-0005-0000-0000-0000779A0000}"/>
    <cellStyle name="Percent 3 7 2 2 3 2 2 2" xfId="37602" xr:uid="{00000000-0005-0000-0000-0000789A0000}"/>
    <cellStyle name="Percent 3 7 2 2 3 2 3" xfId="28572" xr:uid="{00000000-0005-0000-0000-0000799A0000}"/>
    <cellStyle name="Percent 3 7 2 2 3 3" xfId="13068" xr:uid="{00000000-0005-0000-0000-00007A9A0000}"/>
    <cellStyle name="Percent 3 7 2 2 3 3 2" xfId="33120" xr:uid="{00000000-0005-0000-0000-00007B9A0000}"/>
    <cellStyle name="Percent 3 7 2 2 3 4" xfId="24090" xr:uid="{00000000-0005-0000-0000-00007C9A0000}"/>
    <cellStyle name="Percent 3 7 2 2 4" xfId="5532" xr:uid="{00000000-0005-0000-0000-00007D9A0000}"/>
    <cellStyle name="Percent 3 7 2 2 4 2" xfId="14562" xr:uid="{00000000-0005-0000-0000-00007E9A0000}"/>
    <cellStyle name="Percent 3 7 2 2 4 2 2" xfId="34614" xr:uid="{00000000-0005-0000-0000-00007F9A0000}"/>
    <cellStyle name="Percent 3 7 2 2 4 3" xfId="25584" xr:uid="{00000000-0005-0000-0000-0000809A0000}"/>
    <cellStyle name="Percent 3 7 2 2 5" xfId="10080" xr:uid="{00000000-0005-0000-0000-0000819A0000}"/>
    <cellStyle name="Percent 3 7 2 2 5 2" xfId="30132" xr:uid="{00000000-0005-0000-0000-0000829A0000}"/>
    <cellStyle name="Percent 3 7 2 2 6" xfId="21102" xr:uid="{00000000-0005-0000-0000-0000839A0000}"/>
    <cellStyle name="Percent 3 7 2 3" xfId="1801" xr:uid="{00000000-0005-0000-0000-0000849A0000}"/>
    <cellStyle name="Percent 3 7 2 3 2" xfId="6283" xr:uid="{00000000-0005-0000-0000-0000859A0000}"/>
    <cellStyle name="Percent 3 7 2 3 2 2" xfId="15313" xr:uid="{00000000-0005-0000-0000-0000869A0000}"/>
    <cellStyle name="Percent 3 7 2 3 2 2 2" xfId="35365" xr:uid="{00000000-0005-0000-0000-0000879A0000}"/>
    <cellStyle name="Percent 3 7 2 3 2 3" xfId="26335" xr:uid="{00000000-0005-0000-0000-0000889A0000}"/>
    <cellStyle name="Percent 3 7 2 3 3" xfId="10831" xr:uid="{00000000-0005-0000-0000-0000899A0000}"/>
    <cellStyle name="Percent 3 7 2 3 3 2" xfId="30883" xr:uid="{00000000-0005-0000-0000-00008A9A0000}"/>
    <cellStyle name="Percent 3 7 2 3 4" xfId="21853" xr:uid="{00000000-0005-0000-0000-00008B9A0000}"/>
    <cellStyle name="Percent 3 7 2 4" xfId="3295" xr:uid="{00000000-0005-0000-0000-00008C9A0000}"/>
    <cellStyle name="Percent 3 7 2 4 2" xfId="7777" xr:uid="{00000000-0005-0000-0000-00008D9A0000}"/>
    <cellStyle name="Percent 3 7 2 4 2 2" xfId="16807" xr:uid="{00000000-0005-0000-0000-00008E9A0000}"/>
    <cellStyle name="Percent 3 7 2 4 2 2 2" xfId="36859" xr:uid="{00000000-0005-0000-0000-00008F9A0000}"/>
    <cellStyle name="Percent 3 7 2 4 2 3" xfId="27829" xr:uid="{00000000-0005-0000-0000-0000909A0000}"/>
    <cellStyle name="Percent 3 7 2 4 3" xfId="12325" xr:uid="{00000000-0005-0000-0000-0000919A0000}"/>
    <cellStyle name="Percent 3 7 2 4 3 2" xfId="32377" xr:uid="{00000000-0005-0000-0000-0000929A0000}"/>
    <cellStyle name="Percent 3 7 2 4 4" xfId="23347" xr:uid="{00000000-0005-0000-0000-0000939A0000}"/>
    <cellStyle name="Percent 3 7 2 5" xfId="4789" xr:uid="{00000000-0005-0000-0000-0000949A0000}"/>
    <cellStyle name="Percent 3 7 2 5 2" xfId="13819" xr:uid="{00000000-0005-0000-0000-0000959A0000}"/>
    <cellStyle name="Percent 3 7 2 5 2 2" xfId="33871" xr:uid="{00000000-0005-0000-0000-0000969A0000}"/>
    <cellStyle name="Percent 3 7 2 5 3" xfId="24841" xr:uid="{00000000-0005-0000-0000-0000979A0000}"/>
    <cellStyle name="Percent 3 7 2 6" xfId="9337" xr:uid="{00000000-0005-0000-0000-0000989A0000}"/>
    <cellStyle name="Percent 3 7 2 6 2" xfId="29389" xr:uid="{00000000-0005-0000-0000-0000999A0000}"/>
    <cellStyle name="Percent 3 7 2 7" xfId="20359" xr:uid="{00000000-0005-0000-0000-00009A9A0000}"/>
    <cellStyle name="Percent 3 7 3" xfId="493" xr:uid="{00000000-0005-0000-0000-00009B9A0000}"/>
    <cellStyle name="Percent 3 7 3 2" xfId="1240" xr:uid="{00000000-0005-0000-0000-00009C9A0000}"/>
    <cellStyle name="Percent 3 7 3 2 2" xfId="2734" xr:uid="{00000000-0005-0000-0000-00009D9A0000}"/>
    <cellStyle name="Percent 3 7 3 2 2 2" xfId="7216" xr:uid="{00000000-0005-0000-0000-00009E9A0000}"/>
    <cellStyle name="Percent 3 7 3 2 2 2 2" xfId="16246" xr:uid="{00000000-0005-0000-0000-00009F9A0000}"/>
    <cellStyle name="Percent 3 7 3 2 2 2 2 2" xfId="36298" xr:uid="{00000000-0005-0000-0000-0000A09A0000}"/>
    <cellStyle name="Percent 3 7 3 2 2 2 3" xfId="27268" xr:uid="{00000000-0005-0000-0000-0000A19A0000}"/>
    <cellStyle name="Percent 3 7 3 2 2 3" xfId="11764" xr:uid="{00000000-0005-0000-0000-0000A29A0000}"/>
    <cellStyle name="Percent 3 7 3 2 2 3 2" xfId="31816" xr:uid="{00000000-0005-0000-0000-0000A39A0000}"/>
    <cellStyle name="Percent 3 7 3 2 2 4" xfId="22786" xr:uid="{00000000-0005-0000-0000-0000A49A0000}"/>
    <cellStyle name="Percent 3 7 3 2 3" xfId="4228" xr:uid="{00000000-0005-0000-0000-0000A59A0000}"/>
    <cellStyle name="Percent 3 7 3 2 3 2" xfId="8710" xr:uid="{00000000-0005-0000-0000-0000A69A0000}"/>
    <cellStyle name="Percent 3 7 3 2 3 2 2" xfId="17740" xr:uid="{00000000-0005-0000-0000-0000A79A0000}"/>
    <cellStyle name="Percent 3 7 3 2 3 2 2 2" xfId="37792" xr:uid="{00000000-0005-0000-0000-0000A89A0000}"/>
    <cellStyle name="Percent 3 7 3 2 3 2 3" xfId="28762" xr:uid="{00000000-0005-0000-0000-0000A99A0000}"/>
    <cellStyle name="Percent 3 7 3 2 3 3" xfId="13258" xr:uid="{00000000-0005-0000-0000-0000AA9A0000}"/>
    <cellStyle name="Percent 3 7 3 2 3 3 2" xfId="33310" xr:uid="{00000000-0005-0000-0000-0000AB9A0000}"/>
    <cellStyle name="Percent 3 7 3 2 3 4" xfId="24280" xr:uid="{00000000-0005-0000-0000-0000AC9A0000}"/>
    <cellStyle name="Percent 3 7 3 2 4" xfId="5722" xr:uid="{00000000-0005-0000-0000-0000AD9A0000}"/>
    <cellStyle name="Percent 3 7 3 2 4 2" xfId="14752" xr:uid="{00000000-0005-0000-0000-0000AE9A0000}"/>
    <cellStyle name="Percent 3 7 3 2 4 2 2" xfId="34804" xr:uid="{00000000-0005-0000-0000-0000AF9A0000}"/>
    <cellStyle name="Percent 3 7 3 2 4 3" xfId="25774" xr:uid="{00000000-0005-0000-0000-0000B09A0000}"/>
    <cellStyle name="Percent 3 7 3 2 5" xfId="10270" xr:uid="{00000000-0005-0000-0000-0000B19A0000}"/>
    <cellStyle name="Percent 3 7 3 2 5 2" xfId="30322" xr:uid="{00000000-0005-0000-0000-0000B29A0000}"/>
    <cellStyle name="Percent 3 7 3 2 6" xfId="21292" xr:uid="{00000000-0005-0000-0000-0000B39A0000}"/>
    <cellStyle name="Percent 3 7 3 3" xfId="1987" xr:uid="{00000000-0005-0000-0000-0000B49A0000}"/>
    <cellStyle name="Percent 3 7 3 3 2" xfId="6469" xr:uid="{00000000-0005-0000-0000-0000B59A0000}"/>
    <cellStyle name="Percent 3 7 3 3 2 2" xfId="15499" xr:uid="{00000000-0005-0000-0000-0000B69A0000}"/>
    <cellStyle name="Percent 3 7 3 3 2 2 2" xfId="35551" xr:uid="{00000000-0005-0000-0000-0000B79A0000}"/>
    <cellStyle name="Percent 3 7 3 3 2 3" xfId="26521" xr:uid="{00000000-0005-0000-0000-0000B89A0000}"/>
    <cellStyle name="Percent 3 7 3 3 3" xfId="11017" xr:uid="{00000000-0005-0000-0000-0000B99A0000}"/>
    <cellStyle name="Percent 3 7 3 3 3 2" xfId="31069" xr:uid="{00000000-0005-0000-0000-0000BA9A0000}"/>
    <cellStyle name="Percent 3 7 3 3 4" xfId="22039" xr:uid="{00000000-0005-0000-0000-0000BB9A0000}"/>
    <cellStyle name="Percent 3 7 3 4" xfId="3481" xr:uid="{00000000-0005-0000-0000-0000BC9A0000}"/>
    <cellStyle name="Percent 3 7 3 4 2" xfId="7963" xr:uid="{00000000-0005-0000-0000-0000BD9A0000}"/>
    <cellStyle name="Percent 3 7 3 4 2 2" xfId="16993" xr:uid="{00000000-0005-0000-0000-0000BE9A0000}"/>
    <cellStyle name="Percent 3 7 3 4 2 2 2" xfId="37045" xr:uid="{00000000-0005-0000-0000-0000BF9A0000}"/>
    <cellStyle name="Percent 3 7 3 4 2 3" xfId="28015" xr:uid="{00000000-0005-0000-0000-0000C09A0000}"/>
    <cellStyle name="Percent 3 7 3 4 3" xfId="12511" xr:uid="{00000000-0005-0000-0000-0000C19A0000}"/>
    <cellStyle name="Percent 3 7 3 4 3 2" xfId="32563" xr:uid="{00000000-0005-0000-0000-0000C29A0000}"/>
    <cellStyle name="Percent 3 7 3 4 4" xfId="23533" xr:uid="{00000000-0005-0000-0000-0000C39A0000}"/>
    <cellStyle name="Percent 3 7 3 5" xfId="4975" xr:uid="{00000000-0005-0000-0000-0000C49A0000}"/>
    <cellStyle name="Percent 3 7 3 5 2" xfId="14005" xr:uid="{00000000-0005-0000-0000-0000C59A0000}"/>
    <cellStyle name="Percent 3 7 3 5 2 2" xfId="34057" xr:uid="{00000000-0005-0000-0000-0000C69A0000}"/>
    <cellStyle name="Percent 3 7 3 5 3" xfId="25027" xr:uid="{00000000-0005-0000-0000-0000C79A0000}"/>
    <cellStyle name="Percent 3 7 3 6" xfId="9523" xr:uid="{00000000-0005-0000-0000-0000C89A0000}"/>
    <cellStyle name="Percent 3 7 3 6 2" xfId="29575" xr:uid="{00000000-0005-0000-0000-0000C99A0000}"/>
    <cellStyle name="Percent 3 7 3 7" xfId="20545" xr:uid="{00000000-0005-0000-0000-0000CA9A0000}"/>
    <cellStyle name="Percent 3 7 4" xfId="679" xr:uid="{00000000-0005-0000-0000-0000CB9A0000}"/>
    <cellStyle name="Percent 3 7 4 2" xfId="1426" xr:uid="{00000000-0005-0000-0000-0000CC9A0000}"/>
    <cellStyle name="Percent 3 7 4 2 2" xfId="2920" xr:uid="{00000000-0005-0000-0000-0000CD9A0000}"/>
    <cellStyle name="Percent 3 7 4 2 2 2" xfId="7402" xr:uid="{00000000-0005-0000-0000-0000CE9A0000}"/>
    <cellStyle name="Percent 3 7 4 2 2 2 2" xfId="16432" xr:uid="{00000000-0005-0000-0000-0000CF9A0000}"/>
    <cellStyle name="Percent 3 7 4 2 2 2 2 2" xfId="36484" xr:uid="{00000000-0005-0000-0000-0000D09A0000}"/>
    <cellStyle name="Percent 3 7 4 2 2 2 3" xfId="27454" xr:uid="{00000000-0005-0000-0000-0000D19A0000}"/>
    <cellStyle name="Percent 3 7 4 2 2 3" xfId="11950" xr:uid="{00000000-0005-0000-0000-0000D29A0000}"/>
    <cellStyle name="Percent 3 7 4 2 2 3 2" xfId="32002" xr:uid="{00000000-0005-0000-0000-0000D39A0000}"/>
    <cellStyle name="Percent 3 7 4 2 2 4" xfId="22972" xr:uid="{00000000-0005-0000-0000-0000D49A0000}"/>
    <cellStyle name="Percent 3 7 4 2 3" xfId="4414" xr:uid="{00000000-0005-0000-0000-0000D59A0000}"/>
    <cellStyle name="Percent 3 7 4 2 3 2" xfId="8896" xr:uid="{00000000-0005-0000-0000-0000D69A0000}"/>
    <cellStyle name="Percent 3 7 4 2 3 2 2" xfId="17926" xr:uid="{00000000-0005-0000-0000-0000D79A0000}"/>
    <cellStyle name="Percent 3 7 4 2 3 2 2 2" xfId="37978" xr:uid="{00000000-0005-0000-0000-0000D89A0000}"/>
    <cellStyle name="Percent 3 7 4 2 3 2 3" xfId="28948" xr:uid="{00000000-0005-0000-0000-0000D99A0000}"/>
    <cellStyle name="Percent 3 7 4 2 3 3" xfId="13444" xr:uid="{00000000-0005-0000-0000-0000DA9A0000}"/>
    <cellStyle name="Percent 3 7 4 2 3 3 2" xfId="33496" xr:uid="{00000000-0005-0000-0000-0000DB9A0000}"/>
    <cellStyle name="Percent 3 7 4 2 3 4" xfId="24466" xr:uid="{00000000-0005-0000-0000-0000DC9A0000}"/>
    <cellStyle name="Percent 3 7 4 2 4" xfId="5908" xr:uid="{00000000-0005-0000-0000-0000DD9A0000}"/>
    <cellStyle name="Percent 3 7 4 2 4 2" xfId="14938" xr:uid="{00000000-0005-0000-0000-0000DE9A0000}"/>
    <cellStyle name="Percent 3 7 4 2 4 2 2" xfId="34990" xr:uid="{00000000-0005-0000-0000-0000DF9A0000}"/>
    <cellStyle name="Percent 3 7 4 2 4 3" xfId="25960" xr:uid="{00000000-0005-0000-0000-0000E09A0000}"/>
    <cellStyle name="Percent 3 7 4 2 5" xfId="10456" xr:uid="{00000000-0005-0000-0000-0000E19A0000}"/>
    <cellStyle name="Percent 3 7 4 2 5 2" xfId="30508" xr:uid="{00000000-0005-0000-0000-0000E29A0000}"/>
    <cellStyle name="Percent 3 7 4 2 6" xfId="21478" xr:uid="{00000000-0005-0000-0000-0000E39A0000}"/>
    <cellStyle name="Percent 3 7 4 3" xfId="2173" xr:uid="{00000000-0005-0000-0000-0000E49A0000}"/>
    <cellStyle name="Percent 3 7 4 3 2" xfId="6655" xr:uid="{00000000-0005-0000-0000-0000E59A0000}"/>
    <cellStyle name="Percent 3 7 4 3 2 2" xfId="15685" xr:uid="{00000000-0005-0000-0000-0000E69A0000}"/>
    <cellStyle name="Percent 3 7 4 3 2 2 2" xfId="35737" xr:uid="{00000000-0005-0000-0000-0000E79A0000}"/>
    <cellStyle name="Percent 3 7 4 3 2 3" xfId="26707" xr:uid="{00000000-0005-0000-0000-0000E89A0000}"/>
    <cellStyle name="Percent 3 7 4 3 3" xfId="11203" xr:uid="{00000000-0005-0000-0000-0000E99A0000}"/>
    <cellStyle name="Percent 3 7 4 3 3 2" xfId="31255" xr:uid="{00000000-0005-0000-0000-0000EA9A0000}"/>
    <cellStyle name="Percent 3 7 4 3 4" xfId="22225" xr:uid="{00000000-0005-0000-0000-0000EB9A0000}"/>
    <cellStyle name="Percent 3 7 4 4" xfId="3667" xr:uid="{00000000-0005-0000-0000-0000EC9A0000}"/>
    <cellStyle name="Percent 3 7 4 4 2" xfId="8149" xr:uid="{00000000-0005-0000-0000-0000ED9A0000}"/>
    <cellStyle name="Percent 3 7 4 4 2 2" xfId="17179" xr:uid="{00000000-0005-0000-0000-0000EE9A0000}"/>
    <cellStyle name="Percent 3 7 4 4 2 2 2" xfId="37231" xr:uid="{00000000-0005-0000-0000-0000EF9A0000}"/>
    <cellStyle name="Percent 3 7 4 4 2 3" xfId="28201" xr:uid="{00000000-0005-0000-0000-0000F09A0000}"/>
    <cellStyle name="Percent 3 7 4 4 3" xfId="12697" xr:uid="{00000000-0005-0000-0000-0000F19A0000}"/>
    <cellStyle name="Percent 3 7 4 4 3 2" xfId="32749" xr:uid="{00000000-0005-0000-0000-0000F29A0000}"/>
    <cellStyle name="Percent 3 7 4 4 4" xfId="23719" xr:uid="{00000000-0005-0000-0000-0000F39A0000}"/>
    <cellStyle name="Percent 3 7 4 5" xfId="5161" xr:uid="{00000000-0005-0000-0000-0000F49A0000}"/>
    <cellStyle name="Percent 3 7 4 5 2" xfId="14191" xr:uid="{00000000-0005-0000-0000-0000F59A0000}"/>
    <cellStyle name="Percent 3 7 4 5 2 2" xfId="34243" xr:uid="{00000000-0005-0000-0000-0000F69A0000}"/>
    <cellStyle name="Percent 3 7 4 5 3" xfId="25213" xr:uid="{00000000-0005-0000-0000-0000F79A0000}"/>
    <cellStyle name="Percent 3 7 4 6" xfId="9709" xr:uid="{00000000-0005-0000-0000-0000F89A0000}"/>
    <cellStyle name="Percent 3 7 4 6 2" xfId="29761" xr:uid="{00000000-0005-0000-0000-0000F99A0000}"/>
    <cellStyle name="Percent 3 7 4 7" xfId="20731" xr:uid="{00000000-0005-0000-0000-0000FA9A0000}"/>
    <cellStyle name="Percent 3 7 5" xfId="866" xr:uid="{00000000-0005-0000-0000-0000FB9A0000}"/>
    <cellStyle name="Percent 3 7 5 2" xfId="2360" xr:uid="{00000000-0005-0000-0000-0000FC9A0000}"/>
    <cellStyle name="Percent 3 7 5 2 2" xfId="6842" xr:uid="{00000000-0005-0000-0000-0000FD9A0000}"/>
    <cellStyle name="Percent 3 7 5 2 2 2" xfId="15872" xr:uid="{00000000-0005-0000-0000-0000FE9A0000}"/>
    <cellStyle name="Percent 3 7 5 2 2 2 2" xfId="35924" xr:uid="{00000000-0005-0000-0000-0000FF9A0000}"/>
    <cellStyle name="Percent 3 7 5 2 2 3" xfId="26894" xr:uid="{00000000-0005-0000-0000-0000009B0000}"/>
    <cellStyle name="Percent 3 7 5 2 3" xfId="11390" xr:uid="{00000000-0005-0000-0000-0000019B0000}"/>
    <cellStyle name="Percent 3 7 5 2 3 2" xfId="31442" xr:uid="{00000000-0005-0000-0000-0000029B0000}"/>
    <cellStyle name="Percent 3 7 5 2 4" xfId="22412" xr:uid="{00000000-0005-0000-0000-0000039B0000}"/>
    <cellStyle name="Percent 3 7 5 3" xfId="3854" xr:uid="{00000000-0005-0000-0000-0000049B0000}"/>
    <cellStyle name="Percent 3 7 5 3 2" xfId="8336" xr:uid="{00000000-0005-0000-0000-0000059B0000}"/>
    <cellStyle name="Percent 3 7 5 3 2 2" xfId="17366" xr:uid="{00000000-0005-0000-0000-0000069B0000}"/>
    <cellStyle name="Percent 3 7 5 3 2 2 2" xfId="37418" xr:uid="{00000000-0005-0000-0000-0000079B0000}"/>
    <cellStyle name="Percent 3 7 5 3 2 3" xfId="28388" xr:uid="{00000000-0005-0000-0000-0000089B0000}"/>
    <cellStyle name="Percent 3 7 5 3 3" xfId="12884" xr:uid="{00000000-0005-0000-0000-0000099B0000}"/>
    <cellStyle name="Percent 3 7 5 3 3 2" xfId="32936" xr:uid="{00000000-0005-0000-0000-00000A9B0000}"/>
    <cellStyle name="Percent 3 7 5 3 4" xfId="23906" xr:uid="{00000000-0005-0000-0000-00000B9B0000}"/>
    <cellStyle name="Percent 3 7 5 4" xfId="5348" xr:uid="{00000000-0005-0000-0000-00000C9B0000}"/>
    <cellStyle name="Percent 3 7 5 4 2" xfId="14378" xr:uid="{00000000-0005-0000-0000-00000D9B0000}"/>
    <cellStyle name="Percent 3 7 5 4 2 2" xfId="34430" xr:uid="{00000000-0005-0000-0000-00000E9B0000}"/>
    <cellStyle name="Percent 3 7 5 4 3" xfId="25400" xr:uid="{00000000-0005-0000-0000-00000F9B0000}"/>
    <cellStyle name="Percent 3 7 5 5" xfId="9896" xr:uid="{00000000-0005-0000-0000-0000109B0000}"/>
    <cellStyle name="Percent 3 7 5 5 2" xfId="29948" xr:uid="{00000000-0005-0000-0000-0000119B0000}"/>
    <cellStyle name="Percent 3 7 5 6" xfId="20918" xr:uid="{00000000-0005-0000-0000-0000129B0000}"/>
    <cellStyle name="Percent 3 7 6" xfId="1615" xr:uid="{00000000-0005-0000-0000-0000139B0000}"/>
    <cellStyle name="Percent 3 7 6 2" xfId="6097" xr:uid="{00000000-0005-0000-0000-0000149B0000}"/>
    <cellStyle name="Percent 3 7 6 2 2" xfId="15127" xr:uid="{00000000-0005-0000-0000-0000159B0000}"/>
    <cellStyle name="Percent 3 7 6 2 2 2" xfId="35179" xr:uid="{00000000-0005-0000-0000-0000169B0000}"/>
    <cellStyle name="Percent 3 7 6 2 3" xfId="26149" xr:uid="{00000000-0005-0000-0000-0000179B0000}"/>
    <cellStyle name="Percent 3 7 6 3" xfId="10645" xr:uid="{00000000-0005-0000-0000-0000189B0000}"/>
    <cellStyle name="Percent 3 7 6 3 2" xfId="30697" xr:uid="{00000000-0005-0000-0000-0000199B0000}"/>
    <cellStyle name="Percent 3 7 6 4" xfId="21667" xr:uid="{00000000-0005-0000-0000-00001A9B0000}"/>
    <cellStyle name="Percent 3 7 7" xfId="3109" xr:uid="{00000000-0005-0000-0000-00001B9B0000}"/>
    <cellStyle name="Percent 3 7 7 2" xfId="7591" xr:uid="{00000000-0005-0000-0000-00001C9B0000}"/>
    <cellStyle name="Percent 3 7 7 2 2" xfId="16621" xr:uid="{00000000-0005-0000-0000-00001D9B0000}"/>
    <cellStyle name="Percent 3 7 7 2 2 2" xfId="36673" xr:uid="{00000000-0005-0000-0000-00001E9B0000}"/>
    <cellStyle name="Percent 3 7 7 2 3" xfId="27643" xr:uid="{00000000-0005-0000-0000-00001F9B0000}"/>
    <cellStyle name="Percent 3 7 7 3" xfId="12139" xr:uid="{00000000-0005-0000-0000-0000209B0000}"/>
    <cellStyle name="Percent 3 7 7 3 2" xfId="32191" xr:uid="{00000000-0005-0000-0000-0000219B0000}"/>
    <cellStyle name="Percent 3 7 7 4" xfId="23161" xr:uid="{00000000-0005-0000-0000-0000229B0000}"/>
    <cellStyle name="Percent 3 7 8" xfId="4603" xr:uid="{00000000-0005-0000-0000-0000239B0000}"/>
    <cellStyle name="Percent 3 7 8 2" xfId="13633" xr:uid="{00000000-0005-0000-0000-0000249B0000}"/>
    <cellStyle name="Percent 3 7 8 2 2" xfId="33685" xr:uid="{00000000-0005-0000-0000-0000259B0000}"/>
    <cellStyle name="Percent 3 7 8 3" xfId="24655" xr:uid="{00000000-0005-0000-0000-0000269B0000}"/>
    <cellStyle name="Percent 3 7 9" xfId="9151" xr:uid="{00000000-0005-0000-0000-0000279B0000}"/>
    <cellStyle name="Percent 3 7 9 2" xfId="29203" xr:uid="{00000000-0005-0000-0000-0000289B0000}"/>
    <cellStyle name="Percent 3 8" xfId="126" xr:uid="{00000000-0005-0000-0000-0000299B0000}"/>
    <cellStyle name="Percent 3 8 10" xfId="20178" xr:uid="{00000000-0005-0000-0000-00002A9B0000}"/>
    <cellStyle name="Percent 3 8 2" xfId="312" xr:uid="{00000000-0005-0000-0000-00002B9B0000}"/>
    <cellStyle name="Percent 3 8 2 2" xfId="1055" xr:uid="{00000000-0005-0000-0000-00002C9B0000}"/>
    <cellStyle name="Percent 3 8 2 2 2" xfId="2549" xr:uid="{00000000-0005-0000-0000-00002D9B0000}"/>
    <cellStyle name="Percent 3 8 2 2 2 2" xfId="7031" xr:uid="{00000000-0005-0000-0000-00002E9B0000}"/>
    <cellStyle name="Percent 3 8 2 2 2 2 2" xfId="16061" xr:uid="{00000000-0005-0000-0000-00002F9B0000}"/>
    <cellStyle name="Percent 3 8 2 2 2 2 2 2" xfId="36113" xr:uid="{00000000-0005-0000-0000-0000309B0000}"/>
    <cellStyle name="Percent 3 8 2 2 2 2 3" xfId="27083" xr:uid="{00000000-0005-0000-0000-0000319B0000}"/>
    <cellStyle name="Percent 3 8 2 2 2 3" xfId="11579" xr:uid="{00000000-0005-0000-0000-0000329B0000}"/>
    <cellStyle name="Percent 3 8 2 2 2 3 2" xfId="31631" xr:uid="{00000000-0005-0000-0000-0000339B0000}"/>
    <cellStyle name="Percent 3 8 2 2 2 4" xfId="22601" xr:uid="{00000000-0005-0000-0000-0000349B0000}"/>
    <cellStyle name="Percent 3 8 2 2 3" xfId="4043" xr:uid="{00000000-0005-0000-0000-0000359B0000}"/>
    <cellStyle name="Percent 3 8 2 2 3 2" xfId="8525" xr:uid="{00000000-0005-0000-0000-0000369B0000}"/>
    <cellStyle name="Percent 3 8 2 2 3 2 2" xfId="17555" xr:uid="{00000000-0005-0000-0000-0000379B0000}"/>
    <cellStyle name="Percent 3 8 2 2 3 2 2 2" xfId="37607" xr:uid="{00000000-0005-0000-0000-0000389B0000}"/>
    <cellStyle name="Percent 3 8 2 2 3 2 3" xfId="28577" xr:uid="{00000000-0005-0000-0000-0000399B0000}"/>
    <cellStyle name="Percent 3 8 2 2 3 3" xfId="13073" xr:uid="{00000000-0005-0000-0000-00003A9B0000}"/>
    <cellStyle name="Percent 3 8 2 2 3 3 2" xfId="33125" xr:uid="{00000000-0005-0000-0000-00003B9B0000}"/>
    <cellStyle name="Percent 3 8 2 2 3 4" xfId="24095" xr:uid="{00000000-0005-0000-0000-00003C9B0000}"/>
    <cellStyle name="Percent 3 8 2 2 4" xfId="5537" xr:uid="{00000000-0005-0000-0000-00003D9B0000}"/>
    <cellStyle name="Percent 3 8 2 2 4 2" xfId="14567" xr:uid="{00000000-0005-0000-0000-00003E9B0000}"/>
    <cellStyle name="Percent 3 8 2 2 4 2 2" xfId="34619" xr:uid="{00000000-0005-0000-0000-00003F9B0000}"/>
    <cellStyle name="Percent 3 8 2 2 4 3" xfId="25589" xr:uid="{00000000-0005-0000-0000-0000409B0000}"/>
    <cellStyle name="Percent 3 8 2 2 5" xfId="10085" xr:uid="{00000000-0005-0000-0000-0000419B0000}"/>
    <cellStyle name="Percent 3 8 2 2 5 2" xfId="30137" xr:uid="{00000000-0005-0000-0000-0000429B0000}"/>
    <cellStyle name="Percent 3 8 2 2 6" xfId="21107" xr:uid="{00000000-0005-0000-0000-0000439B0000}"/>
    <cellStyle name="Percent 3 8 2 3" xfId="1806" xr:uid="{00000000-0005-0000-0000-0000449B0000}"/>
    <cellStyle name="Percent 3 8 2 3 2" xfId="6288" xr:uid="{00000000-0005-0000-0000-0000459B0000}"/>
    <cellStyle name="Percent 3 8 2 3 2 2" xfId="15318" xr:uid="{00000000-0005-0000-0000-0000469B0000}"/>
    <cellStyle name="Percent 3 8 2 3 2 2 2" xfId="35370" xr:uid="{00000000-0005-0000-0000-0000479B0000}"/>
    <cellStyle name="Percent 3 8 2 3 2 3" xfId="26340" xr:uid="{00000000-0005-0000-0000-0000489B0000}"/>
    <cellStyle name="Percent 3 8 2 3 3" xfId="10836" xr:uid="{00000000-0005-0000-0000-0000499B0000}"/>
    <cellStyle name="Percent 3 8 2 3 3 2" xfId="30888" xr:uid="{00000000-0005-0000-0000-00004A9B0000}"/>
    <cellStyle name="Percent 3 8 2 3 4" xfId="21858" xr:uid="{00000000-0005-0000-0000-00004B9B0000}"/>
    <cellStyle name="Percent 3 8 2 4" xfId="3300" xr:uid="{00000000-0005-0000-0000-00004C9B0000}"/>
    <cellStyle name="Percent 3 8 2 4 2" xfId="7782" xr:uid="{00000000-0005-0000-0000-00004D9B0000}"/>
    <cellStyle name="Percent 3 8 2 4 2 2" xfId="16812" xr:uid="{00000000-0005-0000-0000-00004E9B0000}"/>
    <cellStyle name="Percent 3 8 2 4 2 2 2" xfId="36864" xr:uid="{00000000-0005-0000-0000-00004F9B0000}"/>
    <cellStyle name="Percent 3 8 2 4 2 3" xfId="27834" xr:uid="{00000000-0005-0000-0000-0000509B0000}"/>
    <cellStyle name="Percent 3 8 2 4 3" xfId="12330" xr:uid="{00000000-0005-0000-0000-0000519B0000}"/>
    <cellStyle name="Percent 3 8 2 4 3 2" xfId="32382" xr:uid="{00000000-0005-0000-0000-0000529B0000}"/>
    <cellStyle name="Percent 3 8 2 4 4" xfId="23352" xr:uid="{00000000-0005-0000-0000-0000539B0000}"/>
    <cellStyle name="Percent 3 8 2 5" xfId="4794" xr:uid="{00000000-0005-0000-0000-0000549B0000}"/>
    <cellStyle name="Percent 3 8 2 5 2" xfId="13824" xr:uid="{00000000-0005-0000-0000-0000559B0000}"/>
    <cellStyle name="Percent 3 8 2 5 2 2" xfId="33876" xr:uid="{00000000-0005-0000-0000-0000569B0000}"/>
    <cellStyle name="Percent 3 8 2 5 3" xfId="24846" xr:uid="{00000000-0005-0000-0000-0000579B0000}"/>
    <cellStyle name="Percent 3 8 2 6" xfId="9342" xr:uid="{00000000-0005-0000-0000-0000589B0000}"/>
    <cellStyle name="Percent 3 8 2 6 2" xfId="29394" xr:uid="{00000000-0005-0000-0000-0000599B0000}"/>
    <cellStyle name="Percent 3 8 2 7" xfId="20364" xr:uid="{00000000-0005-0000-0000-00005A9B0000}"/>
    <cellStyle name="Percent 3 8 3" xfId="498" xr:uid="{00000000-0005-0000-0000-00005B9B0000}"/>
    <cellStyle name="Percent 3 8 3 2" xfId="1245" xr:uid="{00000000-0005-0000-0000-00005C9B0000}"/>
    <cellStyle name="Percent 3 8 3 2 2" xfId="2739" xr:uid="{00000000-0005-0000-0000-00005D9B0000}"/>
    <cellStyle name="Percent 3 8 3 2 2 2" xfId="7221" xr:uid="{00000000-0005-0000-0000-00005E9B0000}"/>
    <cellStyle name="Percent 3 8 3 2 2 2 2" xfId="16251" xr:uid="{00000000-0005-0000-0000-00005F9B0000}"/>
    <cellStyle name="Percent 3 8 3 2 2 2 2 2" xfId="36303" xr:uid="{00000000-0005-0000-0000-0000609B0000}"/>
    <cellStyle name="Percent 3 8 3 2 2 2 3" xfId="27273" xr:uid="{00000000-0005-0000-0000-0000619B0000}"/>
    <cellStyle name="Percent 3 8 3 2 2 3" xfId="11769" xr:uid="{00000000-0005-0000-0000-0000629B0000}"/>
    <cellStyle name="Percent 3 8 3 2 2 3 2" xfId="31821" xr:uid="{00000000-0005-0000-0000-0000639B0000}"/>
    <cellStyle name="Percent 3 8 3 2 2 4" xfId="22791" xr:uid="{00000000-0005-0000-0000-0000649B0000}"/>
    <cellStyle name="Percent 3 8 3 2 3" xfId="4233" xr:uid="{00000000-0005-0000-0000-0000659B0000}"/>
    <cellStyle name="Percent 3 8 3 2 3 2" xfId="8715" xr:uid="{00000000-0005-0000-0000-0000669B0000}"/>
    <cellStyle name="Percent 3 8 3 2 3 2 2" xfId="17745" xr:uid="{00000000-0005-0000-0000-0000679B0000}"/>
    <cellStyle name="Percent 3 8 3 2 3 2 2 2" xfId="37797" xr:uid="{00000000-0005-0000-0000-0000689B0000}"/>
    <cellStyle name="Percent 3 8 3 2 3 2 3" xfId="28767" xr:uid="{00000000-0005-0000-0000-0000699B0000}"/>
    <cellStyle name="Percent 3 8 3 2 3 3" xfId="13263" xr:uid="{00000000-0005-0000-0000-00006A9B0000}"/>
    <cellStyle name="Percent 3 8 3 2 3 3 2" xfId="33315" xr:uid="{00000000-0005-0000-0000-00006B9B0000}"/>
    <cellStyle name="Percent 3 8 3 2 3 4" xfId="24285" xr:uid="{00000000-0005-0000-0000-00006C9B0000}"/>
    <cellStyle name="Percent 3 8 3 2 4" xfId="5727" xr:uid="{00000000-0005-0000-0000-00006D9B0000}"/>
    <cellStyle name="Percent 3 8 3 2 4 2" xfId="14757" xr:uid="{00000000-0005-0000-0000-00006E9B0000}"/>
    <cellStyle name="Percent 3 8 3 2 4 2 2" xfId="34809" xr:uid="{00000000-0005-0000-0000-00006F9B0000}"/>
    <cellStyle name="Percent 3 8 3 2 4 3" xfId="25779" xr:uid="{00000000-0005-0000-0000-0000709B0000}"/>
    <cellStyle name="Percent 3 8 3 2 5" xfId="10275" xr:uid="{00000000-0005-0000-0000-0000719B0000}"/>
    <cellStyle name="Percent 3 8 3 2 5 2" xfId="30327" xr:uid="{00000000-0005-0000-0000-0000729B0000}"/>
    <cellStyle name="Percent 3 8 3 2 6" xfId="21297" xr:uid="{00000000-0005-0000-0000-0000739B0000}"/>
    <cellStyle name="Percent 3 8 3 3" xfId="1992" xr:uid="{00000000-0005-0000-0000-0000749B0000}"/>
    <cellStyle name="Percent 3 8 3 3 2" xfId="6474" xr:uid="{00000000-0005-0000-0000-0000759B0000}"/>
    <cellStyle name="Percent 3 8 3 3 2 2" xfId="15504" xr:uid="{00000000-0005-0000-0000-0000769B0000}"/>
    <cellStyle name="Percent 3 8 3 3 2 2 2" xfId="35556" xr:uid="{00000000-0005-0000-0000-0000779B0000}"/>
    <cellStyle name="Percent 3 8 3 3 2 3" xfId="26526" xr:uid="{00000000-0005-0000-0000-0000789B0000}"/>
    <cellStyle name="Percent 3 8 3 3 3" xfId="11022" xr:uid="{00000000-0005-0000-0000-0000799B0000}"/>
    <cellStyle name="Percent 3 8 3 3 3 2" xfId="31074" xr:uid="{00000000-0005-0000-0000-00007A9B0000}"/>
    <cellStyle name="Percent 3 8 3 3 4" xfId="22044" xr:uid="{00000000-0005-0000-0000-00007B9B0000}"/>
    <cellStyle name="Percent 3 8 3 4" xfId="3486" xr:uid="{00000000-0005-0000-0000-00007C9B0000}"/>
    <cellStyle name="Percent 3 8 3 4 2" xfId="7968" xr:uid="{00000000-0005-0000-0000-00007D9B0000}"/>
    <cellStyle name="Percent 3 8 3 4 2 2" xfId="16998" xr:uid="{00000000-0005-0000-0000-00007E9B0000}"/>
    <cellStyle name="Percent 3 8 3 4 2 2 2" xfId="37050" xr:uid="{00000000-0005-0000-0000-00007F9B0000}"/>
    <cellStyle name="Percent 3 8 3 4 2 3" xfId="28020" xr:uid="{00000000-0005-0000-0000-0000809B0000}"/>
    <cellStyle name="Percent 3 8 3 4 3" xfId="12516" xr:uid="{00000000-0005-0000-0000-0000819B0000}"/>
    <cellStyle name="Percent 3 8 3 4 3 2" xfId="32568" xr:uid="{00000000-0005-0000-0000-0000829B0000}"/>
    <cellStyle name="Percent 3 8 3 4 4" xfId="23538" xr:uid="{00000000-0005-0000-0000-0000839B0000}"/>
    <cellStyle name="Percent 3 8 3 5" xfId="4980" xr:uid="{00000000-0005-0000-0000-0000849B0000}"/>
    <cellStyle name="Percent 3 8 3 5 2" xfId="14010" xr:uid="{00000000-0005-0000-0000-0000859B0000}"/>
    <cellStyle name="Percent 3 8 3 5 2 2" xfId="34062" xr:uid="{00000000-0005-0000-0000-0000869B0000}"/>
    <cellStyle name="Percent 3 8 3 5 3" xfId="25032" xr:uid="{00000000-0005-0000-0000-0000879B0000}"/>
    <cellStyle name="Percent 3 8 3 6" xfId="9528" xr:uid="{00000000-0005-0000-0000-0000889B0000}"/>
    <cellStyle name="Percent 3 8 3 6 2" xfId="29580" xr:uid="{00000000-0005-0000-0000-0000899B0000}"/>
    <cellStyle name="Percent 3 8 3 7" xfId="20550" xr:uid="{00000000-0005-0000-0000-00008A9B0000}"/>
    <cellStyle name="Percent 3 8 4" xfId="684" xr:uid="{00000000-0005-0000-0000-00008B9B0000}"/>
    <cellStyle name="Percent 3 8 4 2" xfId="1431" xr:uid="{00000000-0005-0000-0000-00008C9B0000}"/>
    <cellStyle name="Percent 3 8 4 2 2" xfId="2925" xr:uid="{00000000-0005-0000-0000-00008D9B0000}"/>
    <cellStyle name="Percent 3 8 4 2 2 2" xfId="7407" xr:uid="{00000000-0005-0000-0000-00008E9B0000}"/>
    <cellStyle name="Percent 3 8 4 2 2 2 2" xfId="16437" xr:uid="{00000000-0005-0000-0000-00008F9B0000}"/>
    <cellStyle name="Percent 3 8 4 2 2 2 2 2" xfId="36489" xr:uid="{00000000-0005-0000-0000-0000909B0000}"/>
    <cellStyle name="Percent 3 8 4 2 2 2 3" xfId="27459" xr:uid="{00000000-0005-0000-0000-0000919B0000}"/>
    <cellStyle name="Percent 3 8 4 2 2 3" xfId="11955" xr:uid="{00000000-0005-0000-0000-0000929B0000}"/>
    <cellStyle name="Percent 3 8 4 2 2 3 2" xfId="32007" xr:uid="{00000000-0005-0000-0000-0000939B0000}"/>
    <cellStyle name="Percent 3 8 4 2 2 4" xfId="22977" xr:uid="{00000000-0005-0000-0000-0000949B0000}"/>
    <cellStyle name="Percent 3 8 4 2 3" xfId="4419" xr:uid="{00000000-0005-0000-0000-0000959B0000}"/>
    <cellStyle name="Percent 3 8 4 2 3 2" xfId="8901" xr:uid="{00000000-0005-0000-0000-0000969B0000}"/>
    <cellStyle name="Percent 3 8 4 2 3 2 2" xfId="17931" xr:uid="{00000000-0005-0000-0000-0000979B0000}"/>
    <cellStyle name="Percent 3 8 4 2 3 2 2 2" xfId="37983" xr:uid="{00000000-0005-0000-0000-0000989B0000}"/>
    <cellStyle name="Percent 3 8 4 2 3 2 3" xfId="28953" xr:uid="{00000000-0005-0000-0000-0000999B0000}"/>
    <cellStyle name="Percent 3 8 4 2 3 3" xfId="13449" xr:uid="{00000000-0005-0000-0000-00009A9B0000}"/>
    <cellStyle name="Percent 3 8 4 2 3 3 2" xfId="33501" xr:uid="{00000000-0005-0000-0000-00009B9B0000}"/>
    <cellStyle name="Percent 3 8 4 2 3 4" xfId="24471" xr:uid="{00000000-0005-0000-0000-00009C9B0000}"/>
    <cellStyle name="Percent 3 8 4 2 4" xfId="5913" xr:uid="{00000000-0005-0000-0000-00009D9B0000}"/>
    <cellStyle name="Percent 3 8 4 2 4 2" xfId="14943" xr:uid="{00000000-0005-0000-0000-00009E9B0000}"/>
    <cellStyle name="Percent 3 8 4 2 4 2 2" xfId="34995" xr:uid="{00000000-0005-0000-0000-00009F9B0000}"/>
    <cellStyle name="Percent 3 8 4 2 4 3" xfId="25965" xr:uid="{00000000-0005-0000-0000-0000A09B0000}"/>
    <cellStyle name="Percent 3 8 4 2 5" xfId="10461" xr:uid="{00000000-0005-0000-0000-0000A19B0000}"/>
    <cellStyle name="Percent 3 8 4 2 5 2" xfId="30513" xr:uid="{00000000-0005-0000-0000-0000A29B0000}"/>
    <cellStyle name="Percent 3 8 4 2 6" xfId="21483" xr:uid="{00000000-0005-0000-0000-0000A39B0000}"/>
    <cellStyle name="Percent 3 8 4 3" xfId="2178" xr:uid="{00000000-0005-0000-0000-0000A49B0000}"/>
    <cellStyle name="Percent 3 8 4 3 2" xfId="6660" xr:uid="{00000000-0005-0000-0000-0000A59B0000}"/>
    <cellStyle name="Percent 3 8 4 3 2 2" xfId="15690" xr:uid="{00000000-0005-0000-0000-0000A69B0000}"/>
    <cellStyle name="Percent 3 8 4 3 2 2 2" xfId="35742" xr:uid="{00000000-0005-0000-0000-0000A79B0000}"/>
    <cellStyle name="Percent 3 8 4 3 2 3" xfId="26712" xr:uid="{00000000-0005-0000-0000-0000A89B0000}"/>
    <cellStyle name="Percent 3 8 4 3 3" xfId="11208" xr:uid="{00000000-0005-0000-0000-0000A99B0000}"/>
    <cellStyle name="Percent 3 8 4 3 3 2" xfId="31260" xr:uid="{00000000-0005-0000-0000-0000AA9B0000}"/>
    <cellStyle name="Percent 3 8 4 3 4" xfId="22230" xr:uid="{00000000-0005-0000-0000-0000AB9B0000}"/>
    <cellStyle name="Percent 3 8 4 4" xfId="3672" xr:uid="{00000000-0005-0000-0000-0000AC9B0000}"/>
    <cellStyle name="Percent 3 8 4 4 2" xfId="8154" xr:uid="{00000000-0005-0000-0000-0000AD9B0000}"/>
    <cellStyle name="Percent 3 8 4 4 2 2" xfId="17184" xr:uid="{00000000-0005-0000-0000-0000AE9B0000}"/>
    <cellStyle name="Percent 3 8 4 4 2 2 2" xfId="37236" xr:uid="{00000000-0005-0000-0000-0000AF9B0000}"/>
    <cellStyle name="Percent 3 8 4 4 2 3" xfId="28206" xr:uid="{00000000-0005-0000-0000-0000B09B0000}"/>
    <cellStyle name="Percent 3 8 4 4 3" xfId="12702" xr:uid="{00000000-0005-0000-0000-0000B19B0000}"/>
    <cellStyle name="Percent 3 8 4 4 3 2" xfId="32754" xr:uid="{00000000-0005-0000-0000-0000B29B0000}"/>
    <cellStyle name="Percent 3 8 4 4 4" xfId="23724" xr:uid="{00000000-0005-0000-0000-0000B39B0000}"/>
    <cellStyle name="Percent 3 8 4 5" xfId="5166" xr:uid="{00000000-0005-0000-0000-0000B49B0000}"/>
    <cellStyle name="Percent 3 8 4 5 2" xfId="14196" xr:uid="{00000000-0005-0000-0000-0000B59B0000}"/>
    <cellStyle name="Percent 3 8 4 5 2 2" xfId="34248" xr:uid="{00000000-0005-0000-0000-0000B69B0000}"/>
    <cellStyle name="Percent 3 8 4 5 3" xfId="25218" xr:uid="{00000000-0005-0000-0000-0000B79B0000}"/>
    <cellStyle name="Percent 3 8 4 6" xfId="9714" xr:uid="{00000000-0005-0000-0000-0000B89B0000}"/>
    <cellStyle name="Percent 3 8 4 6 2" xfId="29766" xr:uid="{00000000-0005-0000-0000-0000B99B0000}"/>
    <cellStyle name="Percent 3 8 4 7" xfId="20736" xr:uid="{00000000-0005-0000-0000-0000BA9B0000}"/>
    <cellStyle name="Percent 3 8 5" xfId="871" xr:uid="{00000000-0005-0000-0000-0000BB9B0000}"/>
    <cellStyle name="Percent 3 8 5 2" xfId="2365" xr:uid="{00000000-0005-0000-0000-0000BC9B0000}"/>
    <cellStyle name="Percent 3 8 5 2 2" xfId="6847" xr:uid="{00000000-0005-0000-0000-0000BD9B0000}"/>
    <cellStyle name="Percent 3 8 5 2 2 2" xfId="15877" xr:uid="{00000000-0005-0000-0000-0000BE9B0000}"/>
    <cellStyle name="Percent 3 8 5 2 2 2 2" xfId="35929" xr:uid="{00000000-0005-0000-0000-0000BF9B0000}"/>
    <cellStyle name="Percent 3 8 5 2 2 3" xfId="26899" xr:uid="{00000000-0005-0000-0000-0000C09B0000}"/>
    <cellStyle name="Percent 3 8 5 2 3" xfId="11395" xr:uid="{00000000-0005-0000-0000-0000C19B0000}"/>
    <cellStyle name="Percent 3 8 5 2 3 2" xfId="31447" xr:uid="{00000000-0005-0000-0000-0000C29B0000}"/>
    <cellStyle name="Percent 3 8 5 2 4" xfId="22417" xr:uid="{00000000-0005-0000-0000-0000C39B0000}"/>
    <cellStyle name="Percent 3 8 5 3" xfId="3859" xr:uid="{00000000-0005-0000-0000-0000C49B0000}"/>
    <cellStyle name="Percent 3 8 5 3 2" xfId="8341" xr:uid="{00000000-0005-0000-0000-0000C59B0000}"/>
    <cellStyle name="Percent 3 8 5 3 2 2" xfId="17371" xr:uid="{00000000-0005-0000-0000-0000C69B0000}"/>
    <cellStyle name="Percent 3 8 5 3 2 2 2" xfId="37423" xr:uid="{00000000-0005-0000-0000-0000C79B0000}"/>
    <cellStyle name="Percent 3 8 5 3 2 3" xfId="28393" xr:uid="{00000000-0005-0000-0000-0000C89B0000}"/>
    <cellStyle name="Percent 3 8 5 3 3" xfId="12889" xr:uid="{00000000-0005-0000-0000-0000C99B0000}"/>
    <cellStyle name="Percent 3 8 5 3 3 2" xfId="32941" xr:uid="{00000000-0005-0000-0000-0000CA9B0000}"/>
    <cellStyle name="Percent 3 8 5 3 4" xfId="23911" xr:uid="{00000000-0005-0000-0000-0000CB9B0000}"/>
    <cellStyle name="Percent 3 8 5 4" xfId="5353" xr:uid="{00000000-0005-0000-0000-0000CC9B0000}"/>
    <cellStyle name="Percent 3 8 5 4 2" xfId="14383" xr:uid="{00000000-0005-0000-0000-0000CD9B0000}"/>
    <cellStyle name="Percent 3 8 5 4 2 2" xfId="34435" xr:uid="{00000000-0005-0000-0000-0000CE9B0000}"/>
    <cellStyle name="Percent 3 8 5 4 3" xfId="25405" xr:uid="{00000000-0005-0000-0000-0000CF9B0000}"/>
    <cellStyle name="Percent 3 8 5 5" xfId="9901" xr:uid="{00000000-0005-0000-0000-0000D09B0000}"/>
    <cellStyle name="Percent 3 8 5 5 2" xfId="29953" xr:uid="{00000000-0005-0000-0000-0000D19B0000}"/>
    <cellStyle name="Percent 3 8 5 6" xfId="20923" xr:uid="{00000000-0005-0000-0000-0000D29B0000}"/>
    <cellStyle name="Percent 3 8 6" xfId="1620" xr:uid="{00000000-0005-0000-0000-0000D39B0000}"/>
    <cellStyle name="Percent 3 8 6 2" xfId="6102" xr:uid="{00000000-0005-0000-0000-0000D49B0000}"/>
    <cellStyle name="Percent 3 8 6 2 2" xfId="15132" xr:uid="{00000000-0005-0000-0000-0000D59B0000}"/>
    <cellStyle name="Percent 3 8 6 2 2 2" xfId="35184" xr:uid="{00000000-0005-0000-0000-0000D69B0000}"/>
    <cellStyle name="Percent 3 8 6 2 3" xfId="26154" xr:uid="{00000000-0005-0000-0000-0000D79B0000}"/>
    <cellStyle name="Percent 3 8 6 3" xfId="10650" xr:uid="{00000000-0005-0000-0000-0000D89B0000}"/>
    <cellStyle name="Percent 3 8 6 3 2" xfId="30702" xr:uid="{00000000-0005-0000-0000-0000D99B0000}"/>
    <cellStyle name="Percent 3 8 6 4" xfId="21672" xr:uid="{00000000-0005-0000-0000-0000DA9B0000}"/>
    <cellStyle name="Percent 3 8 7" xfId="3114" xr:uid="{00000000-0005-0000-0000-0000DB9B0000}"/>
    <cellStyle name="Percent 3 8 7 2" xfId="7596" xr:uid="{00000000-0005-0000-0000-0000DC9B0000}"/>
    <cellStyle name="Percent 3 8 7 2 2" xfId="16626" xr:uid="{00000000-0005-0000-0000-0000DD9B0000}"/>
    <cellStyle name="Percent 3 8 7 2 2 2" xfId="36678" xr:uid="{00000000-0005-0000-0000-0000DE9B0000}"/>
    <cellStyle name="Percent 3 8 7 2 3" xfId="27648" xr:uid="{00000000-0005-0000-0000-0000DF9B0000}"/>
    <cellStyle name="Percent 3 8 7 3" xfId="12144" xr:uid="{00000000-0005-0000-0000-0000E09B0000}"/>
    <cellStyle name="Percent 3 8 7 3 2" xfId="32196" xr:uid="{00000000-0005-0000-0000-0000E19B0000}"/>
    <cellStyle name="Percent 3 8 7 4" xfId="23166" xr:uid="{00000000-0005-0000-0000-0000E29B0000}"/>
    <cellStyle name="Percent 3 8 8" xfId="4608" xr:uid="{00000000-0005-0000-0000-0000E39B0000}"/>
    <cellStyle name="Percent 3 8 8 2" xfId="13638" xr:uid="{00000000-0005-0000-0000-0000E49B0000}"/>
    <cellStyle name="Percent 3 8 8 2 2" xfId="33690" xr:uid="{00000000-0005-0000-0000-0000E59B0000}"/>
    <cellStyle name="Percent 3 8 8 3" xfId="24660" xr:uid="{00000000-0005-0000-0000-0000E69B0000}"/>
    <cellStyle name="Percent 3 8 9" xfId="9156" xr:uid="{00000000-0005-0000-0000-0000E79B0000}"/>
    <cellStyle name="Percent 3 8 9 2" xfId="29208" xr:uid="{00000000-0005-0000-0000-0000E89B0000}"/>
    <cellStyle name="Percent 3 9" xfId="149" xr:uid="{00000000-0005-0000-0000-0000E99B0000}"/>
    <cellStyle name="Percent 3 9 10" xfId="20201" xr:uid="{00000000-0005-0000-0000-0000EA9B0000}"/>
    <cellStyle name="Percent 3 9 2" xfId="335" xr:uid="{00000000-0005-0000-0000-0000EB9B0000}"/>
    <cellStyle name="Percent 3 9 2 2" xfId="1078" xr:uid="{00000000-0005-0000-0000-0000EC9B0000}"/>
    <cellStyle name="Percent 3 9 2 2 2" xfId="2572" xr:uid="{00000000-0005-0000-0000-0000ED9B0000}"/>
    <cellStyle name="Percent 3 9 2 2 2 2" xfId="7054" xr:uid="{00000000-0005-0000-0000-0000EE9B0000}"/>
    <cellStyle name="Percent 3 9 2 2 2 2 2" xfId="16084" xr:uid="{00000000-0005-0000-0000-0000EF9B0000}"/>
    <cellStyle name="Percent 3 9 2 2 2 2 2 2" xfId="36136" xr:uid="{00000000-0005-0000-0000-0000F09B0000}"/>
    <cellStyle name="Percent 3 9 2 2 2 2 3" xfId="27106" xr:uid="{00000000-0005-0000-0000-0000F19B0000}"/>
    <cellStyle name="Percent 3 9 2 2 2 3" xfId="11602" xr:uid="{00000000-0005-0000-0000-0000F29B0000}"/>
    <cellStyle name="Percent 3 9 2 2 2 3 2" xfId="31654" xr:uid="{00000000-0005-0000-0000-0000F39B0000}"/>
    <cellStyle name="Percent 3 9 2 2 2 4" xfId="22624" xr:uid="{00000000-0005-0000-0000-0000F49B0000}"/>
    <cellStyle name="Percent 3 9 2 2 3" xfId="4066" xr:uid="{00000000-0005-0000-0000-0000F59B0000}"/>
    <cellStyle name="Percent 3 9 2 2 3 2" xfId="8548" xr:uid="{00000000-0005-0000-0000-0000F69B0000}"/>
    <cellStyle name="Percent 3 9 2 2 3 2 2" xfId="17578" xr:uid="{00000000-0005-0000-0000-0000F79B0000}"/>
    <cellStyle name="Percent 3 9 2 2 3 2 2 2" xfId="37630" xr:uid="{00000000-0005-0000-0000-0000F89B0000}"/>
    <cellStyle name="Percent 3 9 2 2 3 2 3" xfId="28600" xr:uid="{00000000-0005-0000-0000-0000F99B0000}"/>
    <cellStyle name="Percent 3 9 2 2 3 3" xfId="13096" xr:uid="{00000000-0005-0000-0000-0000FA9B0000}"/>
    <cellStyle name="Percent 3 9 2 2 3 3 2" xfId="33148" xr:uid="{00000000-0005-0000-0000-0000FB9B0000}"/>
    <cellStyle name="Percent 3 9 2 2 3 4" xfId="24118" xr:uid="{00000000-0005-0000-0000-0000FC9B0000}"/>
    <cellStyle name="Percent 3 9 2 2 4" xfId="5560" xr:uid="{00000000-0005-0000-0000-0000FD9B0000}"/>
    <cellStyle name="Percent 3 9 2 2 4 2" xfId="14590" xr:uid="{00000000-0005-0000-0000-0000FE9B0000}"/>
    <cellStyle name="Percent 3 9 2 2 4 2 2" xfId="34642" xr:uid="{00000000-0005-0000-0000-0000FF9B0000}"/>
    <cellStyle name="Percent 3 9 2 2 4 3" xfId="25612" xr:uid="{00000000-0005-0000-0000-0000009C0000}"/>
    <cellStyle name="Percent 3 9 2 2 5" xfId="10108" xr:uid="{00000000-0005-0000-0000-0000019C0000}"/>
    <cellStyle name="Percent 3 9 2 2 5 2" xfId="30160" xr:uid="{00000000-0005-0000-0000-0000029C0000}"/>
    <cellStyle name="Percent 3 9 2 2 6" xfId="21130" xr:uid="{00000000-0005-0000-0000-0000039C0000}"/>
    <cellStyle name="Percent 3 9 2 3" xfId="1829" xr:uid="{00000000-0005-0000-0000-0000049C0000}"/>
    <cellStyle name="Percent 3 9 2 3 2" xfId="6311" xr:uid="{00000000-0005-0000-0000-0000059C0000}"/>
    <cellStyle name="Percent 3 9 2 3 2 2" xfId="15341" xr:uid="{00000000-0005-0000-0000-0000069C0000}"/>
    <cellStyle name="Percent 3 9 2 3 2 2 2" xfId="35393" xr:uid="{00000000-0005-0000-0000-0000079C0000}"/>
    <cellStyle name="Percent 3 9 2 3 2 3" xfId="26363" xr:uid="{00000000-0005-0000-0000-0000089C0000}"/>
    <cellStyle name="Percent 3 9 2 3 3" xfId="10859" xr:uid="{00000000-0005-0000-0000-0000099C0000}"/>
    <cellStyle name="Percent 3 9 2 3 3 2" xfId="30911" xr:uid="{00000000-0005-0000-0000-00000A9C0000}"/>
    <cellStyle name="Percent 3 9 2 3 4" xfId="21881" xr:uid="{00000000-0005-0000-0000-00000B9C0000}"/>
    <cellStyle name="Percent 3 9 2 4" xfId="3323" xr:uid="{00000000-0005-0000-0000-00000C9C0000}"/>
    <cellStyle name="Percent 3 9 2 4 2" xfId="7805" xr:uid="{00000000-0005-0000-0000-00000D9C0000}"/>
    <cellStyle name="Percent 3 9 2 4 2 2" xfId="16835" xr:uid="{00000000-0005-0000-0000-00000E9C0000}"/>
    <cellStyle name="Percent 3 9 2 4 2 2 2" xfId="36887" xr:uid="{00000000-0005-0000-0000-00000F9C0000}"/>
    <cellStyle name="Percent 3 9 2 4 2 3" xfId="27857" xr:uid="{00000000-0005-0000-0000-0000109C0000}"/>
    <cellStyle name="Percent 3 9 2 4 3" xfId="12353" xr:uid="{00000000-0005-0000-0000-0000119C0000}"/>
    <cellStyle name="Percent 3 9 2 4 3 2" xfId="32405" xr:uid="{00000000-0005-0000-0000-0000129C0000}"/>
    <cellStyle name="Percent 3 9 2 4 4" xfId="23375" xr:uid="{00000000-0005-0000-0000-0000139C0000}"/>
    <cellStyle name="Percent 3 9 2 5" xfId="4817" xr:uid="{00000000-0005-0000-0000-0000149C0000}"/>
    <cellStyle name="Percent 3 9 2 5 2" xfId="13847" xr:uid="{00000000-0005-0000-0000-0000159C0000}"/>
    <cellStyle name="Percent 3 9 2 5 2 2" xfId="33899" xr:uid="{00000000-0005-0000-0000-0000169C0000}"/>
    <cellStyle name="Percent 3 9 2 5 3" xfId="24869" xr:uid="{00000000-0005-0000-0000-0000179C0000}"/>
    <cellStyle name="Percent 3 9 2 6" xfId="9365" xr:uid="{00000000-0005-0000-0000-0000189C0000}"/>
    <cellStyle name="Percent 3 9 2 6 2" xfId="29417" xr:uid="{00000000-0005-0000-0000-0000199C0000}"/>
    <cellStyle name="Percent 3 9 2 7" xfId="20387" xr:uid="{00000000-0005-0000-0000-00001A9C0000}"/>
    <cellStyle name="Percent 3 9 3" xfId="521" xr:uid="{00000000-0005-0000-0000-00001B9C0000}"/>
    <cellStyle name="Percent 3 9 3 2" xfId="1268" xr:uid="{00000000-0005-0000-0000-00001C9C0000}"/>
    <cellStyle name="Percent 3 9 3 2 2" xfId="2762" xr:uid="{00000000-0005-0000-0000-00001D9C0000}"/>
    <cellStyle name="Percent 3 9 3 2 2 2" xfId="7244" xr:uid="{00000000-0005-0000-0000-00001E9C0000}"/>
    <cellStyle name="Percent 3 9 3 2 2 2 2" xfId="16274" xr:uid="{00000000-0005-0000-0000-00001F9C0000}"/>
    <cellStyle name="Percent 3 9 3 2 2 2 2 2" xfId="36326" xr:uid="{00000000-0005-0000-0000-0000209C0000}"/>
    <cellStyle name="Percent 3 9 3 2 2 2 3" xfId="27296" xr:uid="{00000000-0005-0000-0000-0000219C0000}"/>
    <cellStyle name="Percent 3 9 3 2 2 3" xfId="11792" xr:uid="{00000000-0005-0000-0000-0000229C0000}"/>
    <cellStyle name="Percent 3 9 3 2 2 3 2" xfId="31844" xr:uid="{00000000-0005-0000-0000-0000239C0000}"/>
    <cellStyle name="Percent 3 9 3 2 2 4" xfId="22814" xr:uid="{00000000-0005-0000-0000-0000249C0000}"/>
    <cellStyle name="Percent 3 9 3 2 3" xfId="4256" xr:uid="{00000000-0005-0000-0000-0000259C0000}"/>
    <cellStyle name="Percent 3 9 3 2 3 2" xfId="8738" xr:uid="{00000000-0005-0000-0000-0000269C0000}"/>
    <cellStyle name="Percent 3 9 3 2 3 2 2" xfId="17768" xr:uid="{00000000-0005-0000-0000-0000279C0000}"/>
    <cellStyle name="Percent 3 9 3 2 3 2 2 2" xfId="37820" xr:uid="{00000000-0005-0000-0000-0000289C0000}"/>
    <cellStyle name="Percent 3 9 3 2 3 2 3" xfId="28790" xr:uid="{00000000-0005-0000-0000-0000299C0000}"/>
    <cellStyle name="Percent 3 9 3 2 3 3" xfId="13286" xr:uid="{00000000-0005-0000-0000-00002A9C0000}"/>
    <cellStyle name="Percent 3 9 3 2 3 3 2" xfId="33338" xr:uid="{00000000-0005-0000-0000-00002B9C0000}"/>
    <cellStyle name="Percent 3 9 3 2 3 4" xfId="24308" xr:uid="{00000000-0005-0000-0000-00002C9C0000}"/>
    <cellStyle name="Percent 3 9 3 2 4" xfId="5750" xr:uid="{00000000-0005-0000-0000-00002D9C0000}"/>
    <cellStyle name="Percent 3 9 3 2 4 2" xfId="14780" xr:uid="{00000000-0005-0000-0000-00002E9C0000}"/>
    <cellStyle name="Percent 3 9 3 2 4 2 2" xfId="34832" xr:uid="{00000000-0005-0000-0000-00002F9C0000}"/>
    <cellStyle name="Percent 3 9 3 2 4 3" xfId="25802" xr:uid="{00000000-0005-0000-0000-0000309C0000}"/>
    <cellStyle name="Percent 3 9 3 2 5" xfId="10298" xr:uid="{00000000-0005-0000-0000-0000319C0000}"/>
    <cellStyle name="Percent 3 9 3 2 5 2" xfId="30350" xr:uid="{00000000-0005-0000-0000-0000329C0000}"/>
    <cellStyle name="Percent 3 9 3 2 6" xfId="21320" xr:uid="{00000000-0005-0000-0000-0000339C0000}"/>
    <cellStyle name="Percent 3 9 3 3" xfId="2015" xr:uid="{00000000-0005-0000-0000-0000349C0000}"/>
    <cellStyle name="Percent 3 9 3 3 2" xfId="6497" xr:uid="{00000000-0005-0000-0000-0000359C0000}"/>
    <cellStyle name="Percent 3 9 3 3 2 2" xfId="15527" xr:uid="{00000000-0005-0000-0000-0000369C0000}"/>
    <cellStyle name="Percent 3 9 3 3 2 2 2" xfId="35579" xr:uid="{00000000-0005-0000-0000-0000379C0000}"/>
    <cellStyle name="Percent 3 9 3 3 2 3" xfId="26549" xr:uid="{00000000-0005-0000-0000-0000389C0000}"/>
    <cellStyle name="Percent 3 9 3 3 3" xfId="11045" xr:uid="{00000000-0005-0000-0000-0000399C0000}"/>
    <cellStyle name="Percent 3 9 3 3 3 2" xfId="31097" xr:uid="{00000000-0005-0000-0000-00003A9C0000}"/>
    <cellStyle name="Percent 3 9 3 3 4" xfId="22067" xr:uid="{00000000-0005-0000-0000-00003B9C0000}"/>
    <cellStyle name="Percent 3 9 3 4" xfId="3509" xr:uid="{00000000-0005-0000-0000-00003C9C0000}"/>
    <cellStyle name="Percent 3 9 3 4 2" xfId="7991" xr:uid="{00000000-0005-0000-0000-00003D9C0000}"/>
    <cellStyle name="Percent 3 9 3 4 2 2" xfId="17021" xr:uid="{00000000-0005-0000-0000-00003E9C0000}"/>
    <cellStyle name="Percent 3 9 3 4 2 2 2" xfId="37073" xr:uid="{00000000-0005-0000-0000-00003F9C0000}"/>
    <cellStyle name="Percent 3 9 3 4 2 3" xfId="28043" xr:uid="{00000000-0005-0000-0000-0000409C0000}"/>
    <cellStyle name="Percent 3 9 3 4 3" xfId="12539" xr:uid="{00000000-0005-0000-0000-0000419C0000}"/>
    <cellStyle name="Percent 3 9 3 4 3 2" xfId="32591" xr:uid="{00000000-0005-0000-0000-0000429C0000}"/>
    <cellStyle name="Percent 3 9 3 4 4" xfId="23561" xr:uid="{00000000-0005-0000-0000-0000439C0000}"/>
    <cellStyle name="Percent 3 9 3 5" xfId="5003" xr:uid="{00000000-0005-0000-0000-0000449C0000}"/>
    <cellStyle name="Percent 3 9 3 5 2" xfId="14033" xr:uid="{00000000-0005-0000-0000-0000459C0000}"/>
    <cellStyle name="Percent 3 9 3 5 2 2" xfId="34085" xr:uid="{00000000-0005-0000-0000-0000469C0000}"/>
    <cellStyle name="Percent 3 9 3 5 3" xfId="25055" xr:uid="{00000000-0005-0000-0000-0000479C0000}"/>
    <cellStyle name="Percent 3 9 3 6" xfId="9551" xr:uid="{00000000-0005-0000-0000-0000489C0000}"/>
    <cellStyle name="Percent 3 9 3 6 2" xfId="29603" xr:uid="{00000000-0005-0000-0000-0000499C0000}"/>
    <cellStyle name="Percent 3 9 3 7" xfId="20573" xr:uid="{00000000-0005-0000-0000-00004A9C0000}"/>
    <cellStyle name="Percent 3 9 4" xfId="707" xr:uid="{00000000-0005-0000-0000-00004B9C0000}"/>
    <cellStyle name="Percent 3 9 4 2" xfId="1454" xr:uid="{00000000-0005-0000-0000-00004C9C0000}"/>
    <cellStyle name="Percent 3 9 4 2 2" xfId="2948" xr:uid="{00000000-0005-0000-0000-00004D9C0000}"/>
    <cellStyle name="Percent 3 9 4 2 2 2" xfId="7430" xr:uid="{00000000-0005-0000-0000-00004E9C0000}"/>
    <cellStyle name="Percent 3 9 4 2 2 2 2" xfId="16460" xr:uid="{00000000-0005-0000-0000-00004F9C0000}"/>
    <cellStyle name="Percent 3 9 4 2 2 2 2 2" xfId="36512" xr:uid="{00000000-0005-0000-0000-0000509C0000}"/>
    <cellStyle name="Percent 3 9 4 2 2 2 3" xfId="27482" xr:uid="{00000000-0005-0000-0000-0000519C0000}"/>
    <cellStyle name="Percent 3 9 4 2 2 3" xfId="11978" xr:uid="{00000000-0005-0000-0000-0000529C0000}"/>
    <cellStyle name="Percent 3 9 4 2 2 3 2" xfId="32030" xr:uid="{00000000-0005-0000-0000-0000539C0000}"/>
    <cellStyle name="Percent 3 9 4 2 2 4" xfId="23000" xr:uid="{00000000-0005-0000-0000-0000549C0000}"/>
    <cellStyle name="Percent 3 9 4 2 3" xfId="4442" xr:uid="{00000000-0005-0000-0000-0000559C0000}"/>
    <cellStyle name="Percent 3 9 4 2 3 2" xfId="8924" xr:uid="{00000000-0005-0000-0000-0000569C0000}"/>
    <cellStyle name="Percent 3 9 4 2 3 2 2" xfId="17954" xr:uid="{00000000-0005-0000-0000-0000579C0000}"/>
    <cellStyle name="Percent 3 9 4 2 3 2 2 2" xfId="38006" xr:uid="{00000000-0005-0000-0000-0000589C0000}"/>
    <cellStyle name="Percent 3 9 4 2 3 2 3" xfId="28976" xr:uid="{00000000-0005-0000-0000-0000599C0000}"/>
    <cellStyle name="Percent 3 9 4 2 3 3" xfId="13472" xr:uid="{00000000-0005-0000-0000-00005A9C0000}"/>
    <cellStyle name="Percent 3 9 4 2 3 3 2" xfId="33524" xr:uid="{00000000-0005-0000-0000-00005B9C0000}"/>
    <cellStyle name="Percent 3 9 4 2 3 4" xfId="24494" xr:uid="{00000000-0005-0000-0000-00005C9C0000}"/>
    <cellStyle name="Percent 3 9 4 2 4" xfId="5936" xr:uid="{00000000-0005-0000-0000-00005D9C0000}"/>
    <cellStyle name="Percent 3 9 4 2 4 2" xfId="14966" xr:uid="{00000000-0005-0000-0000-00005E9C0000}"/>
    <cellStyle name="Percent 3 9 4 2 4 2 2" xfId="35018" xr:uid="{00000000-0005-0000-0000-00005F9C0000}"/>
    <cellStyle name="Percent 3 9 4 2 4 3" xfId="25988" xr:uid="{00000000-0005-0000-0000-0000609C0000}"/>
    <cellStyle name="Percent 3 9 4 2 5" xfId="10484" xr:uid="{00000000-0005-0000-0000-0000619C0000}"/>
    <cellStyle name="Percent 3 9 4 2 5 2" xfId="30536" xr:uid="{00000000-0005-0000-0000-0000629C0000}"/>
    <cellStyle name="Percent 3 9 4 2 6" xfId="21506" xr:uid="{00000000-0005-0000-0000-0000639C0000}"/>
    <cellStyle name="Percent 3 9 4 3" xfId="2201" xr:uid="{00000000-0005-0000-0000-0000649C0000}"/>
    <cellStyle name="Percent 3 9 4 3 2" xfId="6683" xr:uid="{00000000-0005-0000-0000-0000659C0000}"/>
    <cellStyle name="Percent 3 9 4 3 2 2" xfId="15713" xr:uid="{00000000-0005-0000-0000-0000669C0000}"/>
    <cellStyle name="Percent 3 9 4 3 2 2 2" xfId="35765" xr:uid="{00000000-0005-0000-0000-0000679C0000}"/>
    <cellStyle name="Percent 3 9 4 3 2 3" xfId="26735" xr:uid="{00000000-0005-0000-0000-0000689C0000}"/>
    <cellStyle name="Percent 3 9 4 3 3" xfId="11231" xr:uid="{00000000-0005-0000-0000-0000699C0000}"/>
    <cellStyle name="Percent 3 9 4 3 3 2" xfId="31283" xr:uid="{00000000-0005-0000-0000-00006A9C0000}"/>
    <cellStyle name="Percent 3 9 4 3 4" xfId="22253" xr:uid="{00000000-0005-0000-0000-00006B9C0000}"/>
    <cellStyle name="Percent 3 9 4 4" xfId="3695" xr:uid="{00000000-0005-0000-0000-00006C9C0000}"/>
    <cellStyle name="Percent 3 9 4 4 2" xfId="8177" xr:uid="{00000000-0005-0000-0000-00006D9C0000}"/>
    <cellStyle name="Percent 3 9 4 4 2 2" xfId="17207" xr:uid="{00000000-0005-0000-0000-00006E9C0000}"/>
    <cellStyle name="Percent 3 9 4 4 2 2 2" xfId="37259" xr:uid="{00000000-0005-0000-0000-00006F9C0000}"/>
    <cellStyle name="Percent 3 9 4 4 2 3" xfId="28229" xr:uid="{00000000-0005-0000-0000-0000709C0000}"/>
    <cellStyle name="Percent 3 9 4 4 3" xfId="12725" xr:uid="{00000000-0005-0000-0000-0000719C0000}"/>
    <cellStyle name="Percent 3 9 4 4 3 2" xfId="32777" xr:uid="{00000000-0005-0000-0000-0000729C0000}"/>
    <cellStyle name="Percent 3 9 4 4 4" xfId="23747" xr:uid="{00000000-0005-0000-0000-0000739C0000}"/>
    <cellStyle name="Percent 3 9 4 5" xfId="5189" xr:uid="{00000000-0005-0000-0000-0000749C0000}"/>
    <cellStyle name="Percent 3 9 4 5 2" xfId="14219" xr:uid="{00000000-0005-0000-0000-0000759C0000}"/>
    <cellStyle name="Percent 3 9 4 5 2 2" xfId="34271" xr:uid="{00000000-0005-0000-0000-0000769C0000}"/>
    <cellStyle name="Percent 3 9 4 5 3" xfId="25241" xr:uid="{00000000-0005-0000-0000-0000779C0000}"/>
    <cellStyle name="Percent 3 9 4 6" xfId="9737" xr:uid="{00000000-0005-0000-0000-0000789C0000}"/>
    <cellStyle name="Percent 3 9 4 6 2" xfId="29789" xr:uid="{00000000-0005-0000-0000-0000799C0000}"/>
    <cellStyle name="Percent 3 9 4 7" xfId="20759" xr:uid="{00000000-0005-0000-0000-00007A9C0000}"/>
    <cellStyle name="Percent 3 9 5" xfId="894" xr:uid="{00000000-0005-0000-0000-00007B9C0000}"/>
    <cellStyle name="Percent 3 9 5 2" xfId="2388" xr:uid="{00000000-0005-0000-0000-00007C9C0000}"/>
    <cellStyle name="Percent 3 9 5 2 2" xfId="6870" xr:uid="{00000000-0005-0000-0000-00007D9C0000}"/>
    <cellStyle name="Percent 3 9 5 2 2 2" xfId="15900" xr:uid="{00000000-0005-0000-0000-00007E9C0000}"/>
    <cellStyle name="Percent 3 9 5 2 2 2 2" xfId="35952" xr:uid="{00000000-0005-0000-0000-00007F9C0000}"/>
    <cellStyle name="Percent 3 9 5 2 2 3" xfId="26922" xr:uid="{00000000-0005-0000-0000-0000809C0000}"/>
    <cellStyle name="Percent 3 9 5 2 3" xfId="11418" xr:uid="{00000000-0005-0000-0000-0000819C0000}"/>
    <cellStyle name="Percent 3 9 5 2 3 2" xfId="31470" xr:uid="{00000000-0005-0000-0000-0000829C0000}"/>
    <cellStyle name="Percent 3 9 5 2 4" xfId="22440" xr:uid="{00000000-0005-0000-0000-0000839C0000}"/>
    <cellStyle name="Percent 3 9 5 3" xfId="3882" xr:uid="{00000000-0005-0000-0000-0000849C0000}"/>
    <cellStyle name="Percent 3 9 5 3 2" xfId="8364" xr:uid="{00000000-0005-0000-0000-0000859C0000}"/>
    <cellStyle name="Percent 3 9 5 3 2 2" xfId="17394" xr:uid="{00000000-0005-0000-0000-0000869C0000}"/>
    <cellStyle name="Percent 3 9 5 3 2 2 2" xfId="37446" xr:uid="{00000000-0005-0000-0000-0000879C0000}"/>
    <cellStyle name="Percent 3 9 5 3 2 3" xfId="28416" xr:uid="{00000000-0005-0000-0000-0000889C0000}"/>
    <cellStyle name="Percent 3 9 5 3 3" xfId="12912" xr:uid="{00000000-0005-0000-0000-0000899C0000}"/>
    <cellStyle name="Percent 3 9 5 3 3 2" xfId="32964" xr:uid="{00000000-0005-0000-0000-00008A9C0000}"/>
    <cellStyle name="Percent 3 9 5 3 4" xfId="23934" xr:uid="{00000000-0005-0000-0000-00008B9C0000}"/>
    <cellStyle name="Percent 3 9 5 4" xfId="5376" xr:uid="{00000000-0005-0000-0000-00008C9C0000}"/>
    <cellStyle name="Percent 3 9 5 4 2" xfId="14406" xr:uid="{00000000-0005-0000-0000-00008D9C0000}"/>
    <cellStyle name="Percent 3 9 5 4 2 2" xfId="34458" xr:uid="{00000000-0005-0000-0000-00008E9C0000}"/>
    <cellStyle name="Percent 3 9 5 4 3" xfId="25428" xr:uid="{00000000-0005-0000-0000-00008F9C0000}"/>
    <cellStyle name="Percent 3 9 5 5" xfId="9924" xr:uid="{00000000-0005-0000-0000-0000909C0000}"/>
    <cellStyle name="Percent 3 9 5 5 2" xfId="29976" xr:uid="{00000000-0005-0000-0000-0000919C0000}"/>
    <cellStyle name="Percent 3 9 5 6" xfId="20946" xr:uid="{00000000-0005-0000-0000-0000929C0000}"/>
    <cellStyle name="Percent 3 9 6" xfId="1643" xr:uid="{00000000-0005-0000-0000-0000939C0000}"/>
    <cellStyle name="Percent 3 9 6 2" xfId="6125" xr:uid="{00000000-0005-0000-0000-0000949C0000}"/>
    <cellStyle name="Percent 3 9 6 2 2" xfId="15155" xr:uid="{00000000-0005-0000-0000-0000959C0000}"/>
    <cellStyle name="Percent 3 9 6 2 2 2" xfId="35207" xr:uid="{00000000-0005-0000-0000-0000969C0000}"/>
    <cellStyle name="Percent 3 9 6 2 3" xfId="26177" xr:uid="{00000000-0005-0000-0000-0000979C0000}"/>
    <cellStyle name="Percent 3 9 6 3" xfId="10673" xr:uid="{00000000-0005-0000-0000-0000989C0000}"/>
    <cellStyle name="Percent 3 9 6 3 2" xfId="30725" xr:uid="{00000000-0005-0000-0000-0000999C0000}"/>
    <cellStyle name="Percent 3 9 6 4" xfId="21695" xr:uid="{00000000-0005-0000-0000-00009A9C0000}"/>
    <cellStyle name="Percent 3 9 7" xfId="3137" xr:uid="{00000000-0005-0000-0000-00009B9C0000}"/>
    <cellStyle name="Percent 3 9 7 2" xfId="7619" xr:uid="{00000000-0005-0000-0000-00009C9C0000}"/>
    <cellStyle name="Percent 3 9 7 2 2" xfId="16649" xr:uid="{00000000-0005-0000-0000-00009D9C0000}"/>
    <cellStyle name="Percent 3 9 7 2 2 2" xfId="36701" xr:uid="{00000000-0005-0000-0000-00009E9C0000}"/>
    <cellStyle name="Percent 3 9 7 2 3" xfId="27671" xr:uid="{00000000-0005-0000-0000-00009F9C0000}"/>
    <cellStyle name="Percent 3 9 7 3" xfId="12167" xr:uid="{00000000-0005-0000-0000-0000A09C0000}"/>
    <cellStyle name="Percent 3 9 7 3 2" xfId="32219" xr:uid="{00000000-0005-0000-0000-0000A19C0000}"/>
    <cellStyle name="Percent 3 9 7 4" xfId="23189" xr:uid="{00000000-0005-0000-0000-0000A29C0000}"/>
    <cellStyle name="Percent 3 9 8" xfId="4631" xr:uid="{00000000-0005-0000-0000-0000A39C0000}"/>
    <cellStyle name="Percent 3 9 8 2" xfId="13661" xr:uid="{00000000-0005-0000-0000-0000A49C0000}"/>
    <cellStyle name="Percent 3 9 8 2 2" xfId="33713" xr:uid="{00000000-0005-0000-0000-0000A59C0000}"/>
    <cellStyle name="Percent 3 9 8 3" xfId="24683" xr:uid="{00000000-0005-0000-0000-0000A69C0000}"/>
    <cellStyle name="Percent 3 9 9" xfId="9179" xr:uid="{00000000-0005-0000-0000-0000A79C0000}"/>
    <cellStyle name="Percent 3 9 9 2" xfId="29231" xr:uid="{00000000-0005-0000-0000-0000A89C0000}"/>
    <cellStyle name="Percent 4" xfId="7" xr:uid="{00000000-0005-0000-0000-0000A99C0000}"/>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2744719437261"/>
          <c:y val="5.1064464472036004E-2"/>
          <c:w val="0.75564714606698413"/>
          <c:h val="0.78895321497701887"/>
        </c:manualLayout>
      </c:layout>
      <c:barChart>
        <c:barDir val="bar"/>
        <c:grouping val="clustered"/>
        <c:varyColors val="0"/>
        <c:ser>
          <c:idx val="3"/>
          <c:order val="0"/>
          <c:tx>
            <c:strRef>
              <c:f>Grafiks!$I$4</c:f>
              <c:strCache>
                <c:ptCount val="1"/>
                <c:pt idx="0">
                  <c:v>Maksājumu apjoms</c:v>
                </c:pt>
              </c:strCache>
            </c:strRef>
          </c:tx>
          <c:spPr>
            <a:solidFill>
              <a:srgbClr val="92D050"/>
            </a:solidFill>
            <a:ln>
              <a:noFill/>
            </a:ln>
            <a:effectLst/>
          </c:spPr>
          <c:invertIfNegative val="0"/>
          <c:dLbls>
            <c:dLbl>
              <c:idx val="0"/>
              <c:layout>
                <c:manualLayout>
                  <c:x val="-2.6005641073270406E-3"/>
                  <c:y val="8.9438165970765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B54-4644-B480-F39BD6E264A3}"/>
                </c:ext>
              </c:extLst>
            </c:dLbl>
            <c:dLbl>
              <c:idx val="1"/>
              <c:layout>
                <c:manualLayout>
                  <c:x val="1.493887504123559E-3"/>
                  <c:y val="8.317087997574291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B54-4644-B480-F39BD6E264A3}"/>
                </c:ext>
              </c:extLst>
            </c:dLbl>
            <c:dLbl>
              <c:idx val="2"/>
              <c:layout>
                <c:manualLayout>
                  <c:x val="-2.3792584126160242E-3"/>
                  <c:y val="3.33272919839807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B54-4644-B480-F39BD6E264A3}"/>
                </c:ext>
              </c:extLst>
            </c:dLbl>
            <c:dLbl>
              <c:idx val="3"/>
              <c:layout>
                <c:manualLayout>
                  <c:x val="-3.9452085327408353E-4"/>
                  <c:y val="4.3010745405003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B54-4644-B480-F39BD6E264A3}"/>
                </c:ext>
              </c:extLst>
            </c:dLbl>
            <c:dLbl>
              <c:idx val="4"/>
              <c:layout>
                <c:manualLayout>
                  <c:x val="1.6605333585746255E-4"/>
                  <c:y val="4.15854399878714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B54-4644-B480-F39BD6E264A3}"/>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Grafiks!$A$5:$A$11</c:f>
              <c:strCache>
                <c:ptCount val="7"/>
                <c:pt idx="0">
                  <c:v>REACT EU ESF</c:v>
                </c:pt>
                <c:pt idx="1">
                  <c:v>REACT EU ERAF</c:v>
                </c:pt>
                <c:pt idx="2">
                  <c:v>JNI </c:v>
                </c:pt>
                <c:pt idx="3">
                  <c:v>ESF </c:v>
                </c:pt>
                <c:pt idx="4">
                  <c:v>KF</c:v>
                </c:pt>
                <c:pt idx="5">
                  <c:v>ERAF</c:v>
                </c:pt>
                <c:pt idx="6">
                  <c:v>Kopā visi fondi </c:v>
                </c:pt>
              </c:strCache>
            </c:strRef>
          </c:cat>
          <c:val>
            <c:numRef>
              <c:f>Grafiks!$I$5:$I$11</c:f>
              <c:numCache>
                <c:formatCode>#,##0</c:formatCode>
                <c:ptCount val="7"/>
                <c:pt idx="0">
                  <c:v>21128869.52</c:v>
                </c:pt>
                <c:pt idx="1">
                  <c:v>170583248.70000002</c:v>
                </c:pt>
                <c:pt idx="2">
                  <c:v>28810403.620000001</c:v>
                </c:pt>
                <c:pt idx="3">
                  <c:v>666918626.21000016</c:v>
                </c:pt>
                <c:pt idx="4">
                  <c:v>1294530264.4199998</c:v>
                </c:pt>
                <c:pt idx="5">
                  <c:v>2328229938.21</c:v>
                </c:pt>
                <c:pt idx="6">
                  <c:v>4510201350.6800003</c:v>
                </c:pt>
              </c:numCache>
            </c:numRef>
          </c:val>
          <c:extLst>
            <c:ext xmlns:c16="http://schemas.microsoft.com/office/drawing/2014/chart" uri="{C3380CC4-5D6E-409C-BE32-E72D297353CC}">
              <c16:uniqueId val="{00000013-FB54-4644-B480-F39BD6E264A3}"/>
            </c:ext>
          </c:extLst>
        </c:ser>
        <c:ser>
          <c:idx val="2"/>
          <c:order val="1"/>
          <c:tx>
            <c:strRef>
              <c:f>Grafiks!$G$3</c:f>
              <c:strCache>
                <c:ptCount val="1"/>
                <c:pt idx="0">
                  <c:v>Noslēgtie līgumi </c:v>
                </c:pt>
              </c:strCache>
            </c:strRef>
          </c:tx>
          <c:spPr>
            <a:solidFill>
              <a:srgbClr val="00B0F0"/>
            </a:solidFill>
            <a:ln>
              <a:noFill/>
            </a:ln>
            <a:effectLst/>
          </c:spPr>
          <c:invertIfNegative val="0"/>
          <c:dLbls>
            <c:dLbl>
              <c:idx val="0"/>
              <c:layout>
                <c:manualLayout>
                  <c:x val="-2.4085880829994121E-4"/>
                  <c:y val="4.05900089834373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54-4644-B480-F39BD6E264A3}"/>
                </c:ext>
              </c:extLst>
            </c:dLbl>
            <c:dLbl>
              <c:idx val="1"/>
              <c:layout>
                <c:manualLayout>
                  <c:x val="-5.4335436329951683E-3"/>
                  <c:y val="1.10230885964701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54-4644-B480-F39BD6E264A3}"/>
                </c:ext>
              </c:extLst>
            </c:dLbl>
            <c:dLbl>
              <c:idx val="2"/>
              <c:layout>
                <c:manualLayout>
                  <c:x val="1.1066766032034813E-3"/>
                  <c:y val="7.49127319718522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54-4644-B480-F39BD6E264A3}"/>
                </c:ext>
              </c:extLst>
            </c:dLbl>
            <c:dLbl>
              <c:idx val="3"/>
              <c:layout>
                <c:manualLayout>
                  <c:x val="4.88827839719679E-6"/>
                  <c:y val="-2.976469681022047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54-4644-B480-F39BD6E264A3}"/>
                </c:ext>
              </c:extLst>
            </c:dLbl>
            <c:dLbl>
              <c:idx val="4"/>
              <c:layout>
                <c:manualLayout>
                  <c:x val="5.7163231317918883E-4"/>
                  <c:y val="3.5187176229107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54-4644-B480-F39BD6E264A3}"/>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Grafiks!$A$5:$A$11</c:f>
              <c:strCache>
                <c:ptCount val="7"/>
                <c:pt idx="0">
                  <c:v>REACT EU ESF</c:v>
                </c:pt>
                <c:pt idx="1">
                  <c:v>REACT EU ERAF</c:v>
                </c:pt>
                <c:pt idx="2">
                  <c:v>JNI </c:v>
                </c:pt>
                <c:pt idx="3">
                  <c:v>ESF </c:v>
                </c:pt>
                <c:pt idx="4">
                  <c:v>KF</c:v>
                </c:pt>
                <c:pt idx="5">
                  <c:v>ERAF</c:v>
                </c:pt>
                <c:pt idx="6">
                  <c:v>Kopā visi fondi </c:v>
                </c:pt>
              </c:strCache>
            </c:strRef>
          </c:cat>
          <c:val>
            <c:numRef>
              <c:f>Grafiks!$G$5:$G$11</c:f>
              <c:numCache>
                <c:formatCode>#,##0</c:formatCode>
                <c:ptCount val="7"/>
                <c:pt idx="0">
                  <c:v>21467834.219999999</c:v>
                </c:pt>
                <c:pt idx="1">
                  <c:v>172648849.45000002</c:v>
                </c:pt>
                <c:pt idx="2">
                  <c:v>28810403.620000001</c:v>
                </c:pt>
                <c:pt idx="3">
                  <c:v>667741575.72000027</c:v>
                </c:pt>
                <c:pt idx="4">
                  <c:v>1291746455.01</c:v>
                </c:pt>
                <c:pt idx="5">
                  <c:v>2353252208.1399999</c:v>
                </c:pt>
                <c:pt idx="6">
                  <c:v>4535667326.1599998</c:v>
                </c:pt>
              </c:numCache>
            </c:numRef>
          </c:val>
          <c:extLst>
            <c:ext xmlns:c16="http://schemas.microsoft.com/office/drawing/2014/chart" uri="{C3380CC4-5D6E-409C-BE32-E72D297353CC}">
              <c16:uniqueId val="{0000000D-FB54-4644-B480-F39BD6E264A3}"/>
            </c:ext>
          </c:extLst>
        </c:ser>
        <c:ser>
          <c:idx val="1"/>
          <c:order val="2"/>
          <c:tx>
            <c:strRef>
              <c:f>Grafiks!$E$3</c:f>
              <c:strCache>
                <c:ptCount val="1"/>
                <c:pt idx="0">
                  <c:v>Apstiprinātie projekti </c:v>
                </c:pt>
              </c:strCache>
            </c:strRef>
          </c:tx>
          <c:spPr>
            <a:solidFill>
              <a:schemeClr val="tx2"/>
            </a:solidFill>
            <a:ln>
              <a:noFill/>
            </a:ln>
            <a:effectLst/>
          </c:spPr>
          <c:invertIfNegative val="0"/>
          <c:dLbls>
            <c:dLbl>
              <c:idx val="0"/>
              <c:layout>
                <c:manualLayout>
                  <c:x val="-6.0288766899185774E-5"/>
                  <c:y val="3.54409456463564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54-4644-B480-F39BD6E264A3}"/>
                </c:ext>
              </c:extLst>
            </c:dLbl>
            <c:dLbl>
              <c:idx val="1"/>
              <c:layout>
                <c:manualLayout>
                  <c:x val="-1.5421777695022682E-3"/>
                  <c:y val="1.0508018540557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54-4644-B480-F39BD6E264A3}"/>
                </c:ext>
              </c:extLst>
            </c:dLbl>
            <c:dLbl>
              <c:idx val="2"/>
              <c:layout>
                <c:manualLayout>
                  <c:x val="0"/>
                  <c:y val="5.4120011977916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54-4644-B480-F39BD6E264A3}"/>
                </c:ext>
              </c:extLst>
            </c:dLbl>
            <c:dLbl>
              <c:idx val="3"/>
              <c:layout>
                <c:manualLayout>
                  <c:x val="-1.8427328261077911E-4"/>
                  <c:y val="6.53546296628288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54-4644-B480-F39BD6E264A3}"/>
                </c:ext>
              </c:extLst>
            </c:dLbl>
            <c:dLbl>
              <c:idx val="4"/>
              <c:layout>
                <c:manualLayout>
                  <c:x val="-2.9270418524027296E-4"/>
                  <c:y val="2.383140411273452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54-4644-B480-F39BD6E264A3}"/>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Grafiks!$A$5:$A$11</c:f>
              <c:strCache>
                <c:ptCount val="7"/>
                <c:pt idx="0">
                  <c:v>REACT EU ESF</c:v>
                </c:pt>
                <c:pt idx="1">
                  <c:v>REACT EU ERAF</c:v>
                </c:pt>
                <c:pt idx="2">
                  <c:v>JNI </c:v>
                </c:pt>
                <c:pt idx="3">
                  <c:v>ESF </c:v>
                </c:pt>
                <c:pt idx="4">
                  <c:v>KF</c:v>
                </c:pt>
                <c:pt idx="5">
                  <c:v>ERAF</c:v>
                </c:pt>
                <c:pt idx="6">
                  <c:v>Kopā visi fondi </c:v>
                </c:pt>
              </c:strCache>
            </c:strRef>
          </c:cat>
          <c:val>
            <c:numRef>
              <c:f>Grafiks!$E$5:$E$11</c:f>
              <c:numCache>
                <c:formatCode>#,##0</c:formatCode>
                <c:ptCount val="7"/>
                <c:pt idx="0">
                  <c:v>21467834.219999999</c:v>
                </c:pt>
                <c:pt idx="1">
                  <c:v>172648849.45000002</c:v>
                </c:pt>
                <c:pt idx="2">
                  <c:v>28810403.620000001</c:v>
                </c:pt>
                <c:pt idx="3">
                  <c:v>667741575.72000027</c:v>
                </c:pt>
                <c:pt idx="4">
                  <c:v>1291746455.01</c:v>
                </c:pt>
                <c:pt idx="5">
                  <c:v>2353252208.1399999</c:v>
                </c:pt>
                <c:pt idx="6">
                  <c:v>4535667326.1599998</c:v>
                </c:pt>
              </c:numCache>
            </c:numRef>
          </c:val>
          <c:extLst>
            <c:ext xmlns:c16="http://schemas.microsoft.com/office/drawing/2014/chart" uri="{C3380CC4-5D6E-409C-BE32-E72D297353CC}">
              <c16:uniqueId val="{00000007-FB54-4644-B480-F39BD6E264A3}"/>
            </c:ext>
          </c:extLst>
        </c:ser>
        <c:ser>
          <c:idx val="0"/>
          <c:order val="3"/>
          <c:tx>
            <c:strRef>
              <c:f>Grafiks!$B$3</c:f>
              <c:strCache>
                <c:ptCount val="1"/>
                <c:pt idx="0">
                  <c:v>Pieejamais ES fondu finansējums</c:v>
                </c:pt>
              </c:strCache>
            </c:strRef>
          </c:tx>
          <c:spPr>
            <a:pattFill prst="wdUpDiag">
              <a:fgClr>
                <a:schemeClr val="accent1">
                  <a:lumMod val="60000"/>
                  <a:lumOff val="40000"/>
                </a:schemeClr>
              </a:fgClr>
              <a:bgClr>
                <a:schemeClr val="bg1"/>
              </a:bgClr>
            </a:pattFill>
            <a:ln>
              <a:solidFill>
                <a:schemeClr val="accent1"/>
              </a:solidFill>
            </a:ln>
            <a:effectLst/>
          </c:spPr>
          <c:invertIfNegative val="0"/>
          <c:dLbls>
            <c:dLbl>
              <c:idx val="4"/>
              <c:layout>
                <c:manualLayout>
                  <c:x val="-1.3524883554133819E-6"/>
                  <c:y val="1.275590335180707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10779467441480196"/>
                      <c:h val="3.6956390321498549E-2"/>
                    </c:manualLayout>
                  </c15:layout>
                </c:ext>
                <c:ext xmlns:c16="http://schemas.microsoft.com/office/drawing/2014/chart" uri="{C3380CC4-5D6E-409C-BE32-E72D297353CC}">
                  <c16:uniqueId val="{00000000-FB54-4644-B480-F39BD6E264A3}"/>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Grafiks!$A$5:$A$11</c:f>
              <c:strCache>
                <c:ptCount val="7"/>
                <c:pt idx="0">
                  <c:v>REACT EU ESF</c:v>
                </c:pt>
                <c:pt idx="1">
                  <c:v>REACT EU ERAF</c:v>
                </c:pt>
                <c:pt idx="2">
                  <c:v>JNI </c:v>
                </c:pt>
                <c:pt idx="3">
                  <c:v>ESF </c:v>
                </c:pt>
                <c:pt idx="4">
                  <c:v>KF</c:v>
                </c:pt>
                <c:pt idx="5">
                  <c:v>ERAF</c:v>
                </c:pt>
                <c:pt idx="6">
                  <c:v>Kopā visi fondi </c:v>
                </c:pt>
              </c:strCache>
            </c:strRef>
          </c:cat>
          <c:val>
            <c:numRef>
              <c:f>Grafiks!$B$5:$B$11</c:f>
              <c:numCache>
                <c:formatCode>#,##0</c:formatCode>
                <c:ptCount val="7"/>
                <c:pt idx="0">
                  <c:v>22489087</c:v>
                </c:pt>
                <c:pt idx="1">
                  <c:v>199954500</c:v>
                </c:pt>
                <c:pt idx="2">
                  <c:v>29010639</c:v>
                </c:pt>
                <c:pt idx="3">
                  <c:v>675925610</c:v>
                </c:pt>
                <c:pt idx="4">
                  <c:v>1238174873</c:v>
                </c:pt>
                <c:pt idx="5">
                  <c:v>2465883158</c:v>
                </c:pt>
                <c:pt idx="6">
                  <c:v>4640676789</c:v>
                </c:pt>
              </c:numCache>
            </c:numRef>
          </c:val>
          <c:extLst>
            <c:ext xmlns:c16="http://schemas.microsoft.com/office/drawing/2014/chart" uri="{C3380CC4-5D6E-409C-BE32-E72D297353CC}">
              <c16:uniqueId val="{00000001-FB54-4644-B480-F39BD6E264A3}"/>
            </c:ext>
          </c:extLst>
        </c:ser>
        <c:dLbls>
          <c:dLblPos val="outEnd"/>
          <c:showLegendKey val="0"/>
          <c:showVal val="1"/>
          <c:showCatName val="0"/>
          <c:showSerName val="0"/>
          <c:showPercent val="0"/>
          <c:showBubbleSize val="0"/>
        </c:dLbls>
        <c:gapWidth val="0"/>
        <c:overlap val="23"/>
        <c:axId val="165026624"/>
        <c:axId val="165948680"/>
      </c:barChart>
      <c:catAx>
        <c:axId val="165026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crossAx val="165948680"/>
        <c:crosses val="autoZero"/>
        <c:auto val="1"/>
        <c:lblAlgn val="ctr"/>
        <c:lblOffset val="100"/>
        <c:noMultiLvlLbl val="0"/>
      </c:catAx>
      <c:valAx>
        <c:axId val="165948680"/>
        <c:scaling>
          <c:orientation val="minMax"/>
        </c:scaling>
        <c:delete val="0"/>
        <c:axPos val="b"/>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crossAx val="165026624"/>
        <c:crosses val="autoZero"/>
        <c:crossBetween val="between"/>
        <c:dispUnits>
          <c:builtInUnit val="millions"/>
        </c:dispUnits>
      </c:valAx>
      <c:spPr>
        <a:noFill/>
        <a:ln>
          <a:noFill/>
        </a:ln>
        <a:effectLst/>
      </c:spPr>
    </c:plotArea>
    <c:legend>
      <c:legendPos val="b"/>
      <c:layout>
        <c:manualLayout>
          <c:xMode val="edge"/>
          <c:yMode val="edge"/>
          <c:x val="7.2888302449937992E-3"/>
          <c:y val="0.90741547584193116"/>
          <c:w val="0.97168092257017702"/>
          <c:h val="7.968130053656750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lv-LV"/>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2033795404011"/>
          <c:y val="6.5443592887223484E-2"/>
          <c:w val="0.55638118117900848"/>
          <c:h val="0.90592904400680652"/>
        </c:manualLayout>
      </c:layout>
      <c:barChart>
        <c:barDir val="bar"/>
        <c:grouping val="stacked"/>
        <c:varyColors val="0"/>
        <c:ser>
          <c:idx val="2"/>
          <c:order val="1"/>
          <c:tx>
            <c:strRef>
              <c:f>Grafiks_brīvais_fin_pa_AI!$H$3</c:f>
              <c:strCache>
                <c:ptCount val="1"/>
                <c:pt idx="0">
                  <c:v>Maksājumu apjoms (4510 milj. €)</c:v>
                </c:pt>
              </c:strCache>
            </c:strRef>
          </c:tx>
          <c:spPr>
            <a:solidFill>
              <a:schemeClr val="accent5">
                <a:lumMod val="50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BF-4463-803D-BED34E5E6876}"/>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BF-4463-803D-BED34E5E6876}"/>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15:layout>
                    <c:manualLayout>
                      <c:w val="3.219120986852219E-2"/>
                      <c:h val="3.8336797987011291E-2"/>
                    </c:manualLayout>
                  </c15:layout>
                </c:ext>
                <c:ext xmlns:c16="http://schemas.microsoft.com/office/drawing/2014/chart" uri="{C3380CC4-5D6E-409C-BE32-E72D297353CC}">
                  <c16:uniqueId val="{00000002-30BF-4463-803D-BED34E5E687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lv-LV"/>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Grafiks_brīvais_fin_pa_AI!$H$5:$H$15</c:f>
              <c:numCache>
                <c:formatCode>#,##0.00</c:formatCode>
                <c:ptCount val="11"/>
                <c:pt idx="0">
                  <c:v>8501012.1500000004</c:v>
                </c:pt>
                <c:pt idx="1">
                  <c:v>17479673.399999999</c:v>
                </c:pt>
                <c:pt idx="2">
                  <c:v>36460624.530000001</c:v>
                </c:pt>
                <c:pt idx="3">
                  <c:v>100806240.3</c:v>
                </c:pt>
                <c:pt idx="4">
                  <c:v>127031938.24000001</c:v>
                </c:pt>
                <c:pt idx="5">
                  <c:v>328499391.27999997</c:v>
                </c:pt>
                <c:pt idx="6">
                  <c:v>385198321.14999998</c:v>
                </c:pt>
                <c:pt idx="7">
                  <c:v>736807876.96000004</c:v>
                </c:pt>
                <c:pt idx="8">
                  <c:v>809390465.46999979</c:v>
                </c:pt>
                <c:pt idx="9">
                  <c:v>845650621.65999985</c:v>
                </c:pt>
                <c:pt idx="10">
                  <c:v>1114375185.5400002</c:v>
                </c:pt>
              </c:numCache>
            </c:numRef>
          </c:val>
          <c:extLst xmlns:c15="http://schemas.microsoft.com/office/drawing/2012/chart">
            <c:ext xmlns:c16="http://schemas.microsoft.com/office/drawing/2014/chart" uri="{C3380CC4-5D6E-409C-BE32-E72D297353CC}">
              <c16:uniqueId val="{00000005-30BF-4463-803D-BED34E5E6876}"/>
            </c:ext>
          </c:extLst>
        </c:ser>
        <c:dLbls>
          <c:showLegendKey val="0"/>
          <c:showVal val="0"/>
          <c:showCatName val="0"/>
          <c:showSerName val="0"/>
          <c:showPercent val="0"/>
          <c:showBubbleSize val="0"/>
        </c:dLbls>
        <c:gapWidth val="123"/>
        <c:overlap val="100"/>
        <c:axId val="676862152"/>
        <c:axId val="676860840"/>
      </c:barChart>
      <c:barChart>
        <c:barDir val="bar"/>
        <c:grouping val="stacked"/>
        <c:varyColors val="0"/>
        <c:ser>
          <c:idx val="4"/>
          <c:order val="3"/>
          <c:tx>
            <c:strRef>
              <c:f>Grafiks_brīvais_fin_pa_AI!$J$3</c:f>
              <c:strCache>
                <c:ptCount val="1"/>
                <c:pt idx="0">
                  <c:v>Projektu līgumi, tai skaitā no virssaistībām (4536 milj. €)</c:v>
                </c:pt>
              </c:strCache>
            </c:strRef>
          </c:tx>
          <c:spPr>
            <a:solidFill>
              <a:srgbClr val="0070C0">
                <a:alpha val="61000"/>
              </a:srgbClr>
            </a:solidFill>
            <a:ln>
              <a:noFill/>
            </a:ln>
            <a:effectLst/>
          </c:spPr>
          <c:invertIfNegative val="0"/>
          <c:dLbls>
            <c:dLbl>
              <c:idx val="0"/>
              <c:layout>
                <c:manualLayout>
                  <c:x val="1.3913931573464676E-2"/>
                  <c:y val="-2.260243266994772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BF-4463-803D-BED34E5E6876}"/>
                </c:ext>
              </c:extLst>
            </c:dLbl>
            <c:dLbl>
              <c:idx val="1"/>
              <c:layout>
                <c:manualLayout>
                  <c:x val="2.1042815789852672E-2"/>
                  <c:y val="-1.90336275115349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BF-4463-803D-BED34E5E6876}"/>
                </c:ext>
              </c:extLst>
            </c:dLbl>
            <c:dLbl>
              <c:idx val="2"/>
              <c:layout>
                <c:manualLayout>
                  <c:x val="2.4311726217050439E-2"/>
                  <c:y val="-2.260243266994772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BF-4463-803D-BED34E5E6876}"/>
                </c:ext>
              </c:extLst>
            </c:dLbl>
            <c:dLbl>
              <c:idx val="3"/>
              <c:layout>
                <c:manualLayout>
                  <c:x val="3.2837432165511798E-2"/>
                  <c:y val="-1.898823388655627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BF-4463-803D-BED34E5E6876}"/>
                </c:ext>
              </c:extLst>
            </c:dLbl>
            <c:dLbl>
              <c:idx val="4"/>
              <c:layout>
                <c:manualLayout>
                  <c:x val="2.0496877265242835E-2"/>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BF-4463-803D-BED34E5E6876}"/>
                </c:ext>
              </c:extLst>
            </c:dLbl>
            <c:dLbl>
              <c:idx val="6"/>
              <c:layout>
                <c:manualLayout>
                  <c:x val="6.78639568643716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BF-4463-803D-BED34E5E6876}"/>
                </c:ext>
              </c:extLst>
            </c:dLbl>
            <c:dLbl>
              <c:idx val="8"/>
              <c:layout>
                <c:manualLayout>
                  <c:x val="0.15010461956127655"/>
                  <c:y val="-2.5237135603803141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0BF-4463-803D-BED34E5E687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lv-LV"/>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Grafiks_brīvais_fin_pa_AI!$J$5:$J$15</c:f>
              <c:numCache>
                <c:formatCode>#,##0.00</c:formatCode>
                <c:ptCount val="11"/>
                <c:pt idx="0">
                  <c:v>8501012.1500000004</c:v>
                </c:pt>
                <c:pt idx="1">
                  <c:v>17479673.399999999</c:v>
                </c:pt>
                <c:pt idx="2">
                  <c:v>36460624.560000002</c:v>
                </c:pt>
                <c:pt idx="3">
                  <c:v>100806405.58</c:v>
                </c:pt>
                <c:pt idx="4">
                  <c:v>130290148.34</c:v>
                </c:pt>
                <c:pt idx="5">
                  <c:v>329439163.95000005</c:v>
                </c:pt>
                <c:pt idx="6">
                  <c:v>386011400.57999998</c:v>
                </c:pt>
                <c:pt idx="7">
                  <c:v>737125548.18000007</c:v>
                </c:pt>
                <c:pt idx="8">
                  <c:v>816500954.24999964</c:v>
                </c:pt>
                <c:pt idx="9">
                  <c:v>859785882.42000008</c:v>
                </c:pt>
                <c:pt idx="10">
                  <c:v>1113266512.7500002</c:v>
                </c:pt>
              </c:numCache>
            </c:numRef>
          </c:val>
          <c:extLst>
            <c:ext xmlns:c16="http://schemas.microsoft.com/office/drawing/2014/chart" uri="{C3380CC4-5D6E-409C-BE32-E72D297353CC}">
              <c16:uniqueId val="{0000000D-30BF-4463-803D-BED34E5E6876}"/>
            </c:ext>
          </c:extLst>
        </c:ser>
        <c:ser>
          <c:idx val="5"/>
          <c:order val="4"/>
          <c:tx>
            <c:strRef>
              <c:f>Grafiks_brīvais_fin_pa_AI!$L$3</c:f>
              <c:strCache>
                <c:ptCount val="1"/>
                <c:pt idx="0">
                  <c:v>Nav noslēgti līgumi par fondu finansējumu un virss. (317 milj. €)</c:v>
                </c:pt>
              </c:strCache>
            </c:strRef>
          </c:tx>
          <c:spPr>
            <a:solidFill>
              <a:schemeClr val="bg1">
                <a:lumMod val="75000"/>
                <a:alpha val="79000"/>
              </a:schemeClr>
            </a:solidFill>
            <a:ln>
              <a:noFill/>
            </a:ln>
            <a:effectLst/>
          </c:spPr>
          <c:invertIfNegative val="0"/>
          <c:dLbls>
            <c:dLbl>
              <c:idx val="0"/>
              <c:layout>
                <c:manualLayout>
                  <c:x val="1.6811641282815069E-2"/>
                  <c:y val="2.4976819223593544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0BF-4463-803D-BED34E5E6876}"/>
                </c:ext>
              </c:extLst>
            </c:dLbl>
            <c:dLbl>
              <c:idx val="1"/>
              <c:layout>
                <c:manualLayout>
                  <c:x val="1.7548357905056371E-2"/>
                  <c:y val="2.61638993056983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0BF-4463-803D-BED34E5E6876}"/>
                </c:ext>
              </c:extLst>
            </c:dLbl>
            <c:dLbl>
              <c:idx val="2"/>
              <c:layout>
                <c:manualLayout>
                  <c:x val="1.1654624927125963E-2"/>
                  <c:y val="2.616389930569827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0BF-4463-803D-BED34E5E6876}"/>
                </c:ext>
              </c:extLst>
            </c:dLbl>
            <c:dLbl>
              <c:idx val="3"/>
              <c:layout>
                <c:manualLayout>
                  <c:x val="2.4915524127469377E-2"/>
                  <c:y val="4.8137499392352277E-5"/>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0BF-4463-803D-BED34E5E6876}"/>
                </c:ext>
              </c:extLst>
            </c:dLbl>
            <c:dLbl>
              <c:idx val="4"/>
              <c:layout>
                <c:manualLayout>
                  <c:x val="2.4915524127469377E-2"/>
                  <c:y val="4.8137499392352277E-5"/>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0BF-4463-803D-BED34E5E6876}"/>
                </c:ext>
              </c:extLst>
            </c:dLbl>
            <c:dLbl>
              <c:idx val="5"/>
              <c:layout>
                <c:manualLayout>
                  <c:x val="4.2596723061260597E-2"/>
                  <c:y val="1.3106018402545399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0BF-4463-803D-BED34E5E6876}"/>
                </c:ext>
              </c:extLst>
            </c:dLbl>
            <c:dLbl>
              <c:idx val="6"/>
              <c:layout>
                <c:manualLayout>
                  <c:x val="2.1231941016262874E-2"/>
                  <c:y val="1.7854338730964658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0BF-4463-803D-BED34E5E6876}"/>
                </c:ext>
              </c:extLst>
            </c:dLbl>
            <c:dLbl>
              <c:idx val="7"/>
              <c:layout>
                <c:manualLayout>
                  <c:x val="2.0773088379891077E-3"/>
                  <c:y val="2.42229766360206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0BF-4463-803D-BED34E5E6876}"/>
                </c:ext>
              </c:extLst>
            </c:dLbl>
            <c:dLbl>
              <c:idx val="8"/>
              <c:layout>
                <c:manualLayout>
                  <c:x val="4.7017022794708402E-2"/>
                  <c:y val="1.78543387309646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0BF-4463-803D-BED34E5E6876}"/>
                </c:ext>
              </c:extLst>
            </c:dLbl>
            <c:dLbl>
              <c:idx val="9"/>
              <c:layout>
                <c:manualLayout>
                  <c:x val="6.0410763023786555E-2"/>
                  <c:y val="1.5432041067362588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0BF-4463-803D-BED34E5E6876}"/>
                </c:ext>
              </c:extLst>
            </c:dLbl>
            <c:dLbl>
              <c:idx val="10"/>
              <c:layout>
                <c:manualLayout>
                  <c:x val="2.4915516070664171E-2"/>
                  <c:y val="4.818305736579179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0BF-4463-803D-BED34E5E6876}"/>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Grafiks_brīvais_fin_pa_AI!$L$5:$L$15</c:f>
              <c:numCache>
                <c:formatCode>#,##0.00</c:formatCode>
                <c:ptCount val="11"/>
                <c:pt idx="0">
                  <c:v>68360.849999999627</c:v>
                </c:pt>
                <c:pt idx="1">
                  <c:v>10849.60000000149</c:v>
                </c:pt>
                <c:pt idx="2">
                  <c:v>420891.43999999762</c:v>
                </c:pt>
                <c:pt idx="3">
                  <c:v>509897.42000000179</c:v>
                </c:pt>
                <c:pt idx="4">
                  <c:v>5878595.6599999964</c:v>
                </c:pt>
                <c:pt idx="5">
                  <c:v>31242161.049999952</c:v>
                </c:pt>
                <c:pt idx="6">
                  <c:v>7298002.4200000167</c:v>
                </c:pt>
                <c:pt idx="7">
                  <c:v>55030219.819999933</c:v>
                </c:pt>
                <c:pt idx="8">
                  <c:v>23772044.750000358</c:v>
                </c:pt>
                <c:pt idx="9">
                  <c:v>90828467.579999924</c:v>
                </c:pt>
                <c:pt idx="10">
                  <c:v>102380098.24999976</c:v>
                </c:pt>
              </c:numCache>
            </c:numRef>
          </c:val>
          <c:extLst>
            <c:ext xmlns:c16="http://schemas.microsoft.com/office/drawing/2014/chart" uri="{C3380CC4-5D6E-409C-BE32-E72D297353CC}">
              <c16:uniqueId val="{00000019-30BF-4463-803D-BED34E5E6876}"/>
            </c:ext>
          </c:extLst>
        </c:ser>
        <c:ser>
          <c:idx val="1"/>
          <c:order val="5"/>
          <c:tx>
            <c:strRef>
              <c:f>Grafiks_brīvais_fin_pa_AI!$E$3</c:f>
              <c:strCache>
                <c:ptCount val="1"/>
                <c:pt idx="0">
                  <c:v>MK noteikumos nesadalītais finansējums (12 milj. €)</c:v>
                </c:pt>
              </c:strCache>
            </c:strRef>
          </c:tx>
          <c:spPr>
            <a:solidFill>
              <a:srgbClr val="C00000">
                <a:alpha val="41000"/>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A-30BF-4463-803D-BED34E5E6876}"/>
                </c:ext>
              </c:extLst>
            </c:dLbl>
            <c:dLbl>
              <c:idx val="1"/>
              <c:delete val="1"/>
              <c:extLst>
                <c:ext xmlns:c15="http://schemas.microsoft.com/office/drawing/2012/chart" uri="{CE6537A1-D6FC-4f65-9D91-7224C49458BB}"/>
                <c:ext xmlns:c16="http://schemas.microsoft.com/office/drawing/2014/chart" uri="{C3380CC4-5D6E-409C-BE32-E72D297353CC}">
                  <c16:uniqueId val="{0000001B-30BF-4463-803D-BED34E5E6876}"/>
                </c:ext>
              </c:extLst>
            </c:dLbl>
            <c:dLbl>
              <c:idx val="2"/>
              <c:delete val="1"/>
              <c:extLst>
                <c:ext xmlns:c15="http://schemas.microsoft.com/office/drawing/2012/chart" uri="{CE6537A1-D6FC-4f65-9D91-7224C49458BB}"/>
                <c:ext xmlns:c16="http://schemas.microsoft.com/office/drawing/2014/chart" uri="{C3380CC4-5D6E-409C-BE32-E72D297353CC}">
                  <c16:uniqueId val="{0000001C-30BF-4463-803D-BED34E5E6876}"/>
                </c:ext>
              </c:extLst>
            </c:dLbl>
            <c:dLbl>
              <c:idx val="3"/>
              <c:delete val="1"/>
              <c:extLst>
                <c:ext xmlns:c15="http://schemas.microsoft.com/office/drawing/2012/chart" uri="{CE6537A1-D6FC-4f65-9D91-7224C49458BB}"/>
                <c:ext xmlns:c16="http://schemas.microsoft.com/office/drawing/2014/chart" uri="{C3380CC4-5D6E-409C-BE32-E72D297353CC}">
                  <c16:uniqueId val="{0000001D-30BF-4463-803D-BED34E5E6876}"/>
                </c:ext>
              </c:extLst>
            </c:dLbl>
            <c:dLbl>
              <c:idx val="4"/>
              <c:layout>
                <c:manualLayout>
                  <c:x val="2.7424102235383888E-2"/>
                  <c:y val="-2.320545271682438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1E-30BF-4463-803D-BED34E5E6876}"/>
                </c:ext>
              </c:extLst>
            </c:dLbl>
            <c:dLbl>
              <c:idx val="5"/>
              <c:layout>
                <c:manualLayout>
                  <c:x val="3.3317835213314266E-2"/>
                  <c:y val="-1.8457132388405212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1F-30BF-4463-803D-BED34E5E6876}"/>
                </c:ext>
              </c:extLst>
            </c:dLbl>
            <c:dLbl>
              <c:idx val="6"/>
              <c:layout>
                <c:manualLayout>
                  <c:x val="2.2267085879694757E-2"/>
                  <c:y val="-1.252173197788105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20-30BF-4463-803D-BED34E5E6876}"/>
                </c:ext>
              </c:extLst>
            </c:dLbl>
            <c:dLbl>
              <c:idx val="7"/>
              <c:delete val="1"/>
              <c:extLst>
                <c:ext xmlns:c15="http://schemas.microsoft.com/office/drawing/2012/chart" uri="{CE6537A1-D6FC-4f65-9D91-7224C49458BB}"/>
                <c:ext xmlns:c16="http://schemas.microsoft.com/office/drawing/2014/chart" uri="{C3380CC4-5D6E-409C-BE32-E72D297353CC}">
                  <c16:uniqueId val="{00000021-30BF-4463-803D-BED34E5E6876}"/>
                </c:ext>
              </c:extLst>
            </c:dLbl>
            <c:dLbl>
              <c:idx val="8"/>
              <c:layout>
                <c:manualLayout>
                  <c:x val="3.8474851569003377E-2"/>
                  <c:y val="-1.964421247050998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90795392911E-2"/>
                      <c:h val="2.7257788927814313E-2"/>
                    </c:manualLayout>
                  </c15:layout>
                </c:ext>
                <c:ext xmlns:c16="http://schemas.microsoft.com/office/drawing/2014/chart" uri="{C3380CC4-5D6E-409C-BE32-E72D297353CC}">
                  <c16:uniqueId val="{00000022-30BF-4463-803D-BED34E5E6876}"/>
                </c:ext>
              </c:extLst>
            </c:dLbl>
            <c:dLbl>
              <c:idx val="9"/>
              <c:layout>
                <c:manualLayout>
                  <c:x val="4.363186792469248E-2"/>
                  <c:y val="-1.9644212470509962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23-30BF-4463-803D-BED34E5E6876}"/>
                </c:ext>
              </c:extLst>
            </c:dLbl>
            <c:dLbl>
              <c:idx val="10"/>
              <c:layout>
                <c:manualLayout>
                  <c:x val="3.2581118591072968E-2"/>
                  <c:y val="-1.9644212470509941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24-30BF-4463-803D-BED34E5E6876}"/>
                </c:ext>
              </c:extLst>
            </c:dLbl>
            <c:numFmt formatCode="#,##0" sourceLinked="0"/>
            <c:spPr>
              <a:noFill/>
              <a:ln>
                <a:noFill/>
              </a:ln>
              <a:effectLst/>
            </c:spPr>
            <c:txPr>
              <a:bodyPr rot="0" spcFirstLastPara="1" vertOverflow="ellipsis" vert="horz" wrap="square" lIns="38100" tIns="19050" rIns="38100" bIns="19050" anchor="ctr" anchorCtr="1">
                <a:no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Grafiks_brīvais_fin_pa_AI!$E$5:$E$15</c:f>
              <c:numCache>
                <c:formatCode>#,##0.00</c:formatCode>
                <c:ptCount val="11"/>
                <c:pt idx="0">
                  <c:v>0</c:v>
                </c:pt>
                <c:pt idx="1">
                  <c:v>0</c:v>
                </c:pt>
                <c:pt idx="2">
                  <c:v>0</c:v>
                </c:pt>
                <c:pt idx="3">
                  <c:v>0</c:v>
                </c:pt>
                <c:pt idx="4">
                  <c:v>0</c:v>
                </c:pt>
                <c:pt idx="5">
                  <c:v>0</c:v>
                </c:pt>
                <c:pt idx="6">
                  <c:v>0</c:v>
                </c:pt>
                <c:pt idx="7">
                  <c:v>1059959</c:v>
                </c:pt>
                <c:pt idx="8">
                  <c:v>3303845</c:v>
                </c:pt>
                <c:pt idx="9">
                  <c:v>7399760</c:v>
                </c:pt>
                <c:pt idx="10">
                  <c:v>0</c:v>
                </c:pt>
              </c:numCache>
            </c:numRef>
          </c:val>
          <c:extLst>
            <c:ext xmlns:c16="http://schemas.microsoft.com/office/drawing/2014/chart" uri="{C3380CC4-5D6E-409C-BE32-E72D297353CC}">
              <c16:uniqueId val="{00000025-30BF-4463-803D-BED34E5E6876}"/>
            </c:ext>
          </c:extLst>
        </c:ser>
        <c:dLbls>
          <c:showLegendKey val="0"/>
          <c:showVal val="0"/>
          <c:showCatName val="0"/>
          <c:showSerName val="0"/>
          <c:showPercent val="0"/>
          <c:showBubbleSize val="0"/>
        </c:dLbls>
        <c:gapWidth val="16"/>
        <c:overlap val="100"/>
        <c:axId val="337727928"/>
        <c:axId val="337720712"/>
        <c:extLst>
          <c:ext xmlns:c15="http://schemas.microsoft.com/office/drawing/2012/chart" uri="{02D57815-91ED-43cb-92C2-25804820EDAC}">
            <c15:filteredBarSeries>
              <c15:ser>
                <c:idx val="0"/>
                <c:order val="0"/>
                <c:tx>
                  <c:strRef>
                    <c:extLst>
                      <c:ext uri="{02D57815-91ED-43cb-92C2-25804820EDAC}">
                        <c15:formulaRef>
                          <c15:sqref>Grafiks_brīvais_fin_pa_AI!$D$3</c15:sqref>
                        </c15:formulaRef>
                      </c:ext>
                    </c:extLst>
                    <c:strCache>
                      <c:ptCount val="1"/>
                      <c:pt idx="0">
                        <c:v>Piešķirtais ES fondu finansējums*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c:ext uri="{02D57815-91ED-43cb-92C2-25804820EDAC}">
                        <c15:formulaRef>
                          <c15:sqref>Grafiks_brīvais_fin_pa_AI!$D$5:$D$15</c15:sqref>
                        </c15:formulaRef>
                      </c:ext>
                    </c:extLst>
                    <c:numCache>
                      <c:formatCode>#,##0.00</c:formatCode>
                      <c:ptCount val="11"/>
                      <c:pt idx="0">
                        <c:v>8569373</c:v>
                      </c:pt>
                      <c:pt idx="1">
                        <c:v>17490523</c:v>
                      </c:pt>
                      <c:pt idx="2">
                        <c:v>36881516</c:v>
                      </c:pt>
                      <c:pt idx="3">
                        <c:v>101316303</c:v>
                      </c:pt>
                      <c:pt idx="4">
                        <c:v>136168744</c:v>
                      </c:pt>
                      <c:pt idx="5">
                        <c:v>360681325</c:v>
                      </c:pt>
                      <c:pt idx="6">
                        <c:v>393309403</c:v>
                      </c:pt>
                      <c:pt idx="7">
                        <c:v>792155768</c:v>
                      </c:pt>
                      <c:pt idx="8">
                        <c:v>840272999</c:v>
                      </c:pt>
                      <c:pt idx="9">
                        <c:v>950614350</c:v>
                      </c:pt>
                      <c:pt idx="10">
                        <c:v>1215646611</c:v>
                      </c:pt>
                    </c:numCache>
                  </c:numRef>
                </c:val>
                <c:extLst>
                  <c:ext xmlns:c16="http://schemas.microsoft.com/office/drawing/2014/chart" uri="{C3380CC4-5D6E-409C-BE32-E72D297353CC}">
                    <c16:uniqueId val="{00000026-30BF-4463-803D-BED34E5E6876}"/>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Grafiks_brīvais_fin_pa_AI!$I$3</c15:sqref>
                        </c15:formulaRef>
                      </c:ext>
                    </c:extLst>
                    <c:strCache>
                      <c:ptCount val="1"/>
                      <c:pt idx="0">
                        <c:v>Līgumos plānotie, bet vēl neveiktie maksājumi (343 milj.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Grafiks_brīvais_fin_pa_AI!$I$5:$I$15</c15:sqref>
                        </c15:formulaRef>
                      </c:ext>
                    </c:extLst>
                    <c:numCache>
                      <c:formatCode>#,##0.00</c:formatCode>
                      <c:ptCount val="11"/>
                      <c:pt idx="0">
                        <c:v>68360.849999999627</c:v>
                      </c:pt>
                      <c:pt idx="1">
                        <c:v>10849.60000000149</c:v>
                      </c:pt>
                      <c:pt idx="2">
                        <c:v>420891.46999999881</c:v>
                      </c:pt>
                      <c:pt idx="3">
                        <c:v>510062.70000000298</c:v>
                      </c:pt>
                      <c:pt idx="4">
                        <c:v>9136805.7599999905</c:v>
                      </c:pt>
                      <c:pt idx="5">
                        <c:v>32181933.720000029</c:v>
                      </c:pt>
                      <c:pt idx="6">
                        <c:v>8111081.8500000238</c:v>
                      </c:pt>
                      <c:pt idx="7">
                        <c:v>55347891.039999962</c:v>
                      </c:pt>
                      <c:pt idx="8">
                        <c:v>30882533.53000021</c:v>
                      </c:pt>
                      <c:pt idx="9">
                        <c:v>104963728.34000015</c:v>
                      </c:pt>
                      <c:pt idx="10">
                        <c:v>101271425.4599998</c:v>
                      </c:pt>
                    </c:numCache>
                  </c:numRef>
                </c:val>
                <c:extLst xmlns:c15="http://schemas.microsoft.com/office/drawing/2012/chart">
                  <c:ext xmlns:c16="http://schemas.microsoft.com/office/drawing/2014/chart" uri="{C3380CC4-5D6E-409C-BE32-E72D297353CC}">
                    <c16:uniqueId val="{00000027-30BF-4463-803D-BED34E5E687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Grafiks_brīvais_fin_pa_AI!$M$3</c15:sqref>
                        </c15:formulaRef>
                      </c:ext>
                    </c:extLst>
                    <c:strCache>
                      <c:ptCount val="1"/>
                      <c:pt idx="0">
                        <c:v>Līgumi uz valsts budžeta virssaistību rēķina (0 milj. €)</c:v>
                      </c:pt>
                    </c:strCache>
                  </c:strRef>
                </c:tx>
                <c:spPr>
                  <a:solidFill>
                    <a:srgbClr val="92D050">
                      <a:alpha val="62000"/>
                    </a:srgb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8-30BF-4463-803D-BED34E5E6876}"/>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9-30BF-4463-803D-BED34E5E6876}"/>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A-30BF-4463-803D-BED34E5E6876}"/>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B-30BF-4463-803D-BED34E5E6876}"/>
                      </c:ext>
                    </c:extLst>
                  </c:dLbl>
                  <c:dLbl>
                    <c:idx val="4"/>
                    <c:layout>
                      <c:manualLayout>
                        <c:x val="2.6101770386015955E-2"/>
                        <c:y val="2.251980950440996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rgbClr val="92D050"/>
                            </a:solidFill>
                            <a:latin typeface="+mn-lt"/>
                            <a:ea typeface="+mn-ea"/>
                            <a:cs typeface="+mn-cs"/>
                          </a:defRPr>
                        </a:pPr>
                        <a:endParaRPr lang="lv-LV"/>
                      </a:p>
                    </c:txPr>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C-30BF-4463-803D-BED34E5E6876}"/>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D-30BF-4463-803D-BED34E5E6876}"/>
                      </c:ext>
                    </c:extLst>
                  </c:dLbl>
                  <c:dLbl>
                    <c:idx val="6"/>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E-30BF-4463-803D-BED34E5E6876}"/>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F-30BF-4463-803D-BED34E5E6876}"/>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30-30BF-4463-803D-BED34E5E6876}"/>
                      </c:ext>
                    </c:extLst>
                  </c:dLbl>
                  <c:dLbl>
                    <c:idx val="9"/>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31-30BF-4463-803D-BED34E5E6876}"/>
                      </c:ext>
                    </c:extLst>
                  </c:dLbl>
                  <c:dLbl>
                    <c:idx val="1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32-30BF-4463-803D-BED34E5E687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rgbClr val="92D050"/>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Grafiks_brīvais_fin_pa_AI!$M$5:$M$15</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33-30BF-4463-803D-BED34E5E687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Grafiks_brīvais_fin_pa_AI!$F$3</c15:sqref>
                        </c15:formulaRef>
                      </c:ext>
                    </c:extLst>
                    <c:strCache>
                      <c:ptCount val="1"/>
                      <c:pt idx="0">
                        <c:v>Virssaistības  atbilstoši apst. MK </c:v>
                      </c:pt>
                    </c:strCache>
                  </c:strRef>
                </c:tx>
                <c:spPr>
                  <a:solidFill>
                    <a:srgbClr val="C00000">
                      <a:alpha val="56000"/>
                    </a:srgbClr>
                  </a:solidFill>
                  <a:ln>
                    <a:noFill/>
                  </a:ln>
                  <a:effectLst/>
                </c:spPr>
                <c:invertIfNegative val="0"/>
                <c:dLbls>
                  <c:dLbl>
                    <c:idx val="4"/>
                    <c:layout>
                      <c:manualLayout>
                        <c:x val="4.0881263321093535E-2"/>
                        <c:y val="1.3099877084490806E-2"/>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4-30BF-4463-803D-BED34E5E6876}"/>
                      </c:ext>
                    </c:extLst>
                  </c:dLbl>
                  <c:dLbl>
                    <c:idx val="7"/>
                    <c:layout>
                      <c:manualLayout>
                        <c:x val="4.1674485532298813E-2"/>
                        <c:y val="-3.8109151597643504E-17"/>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5-30BF-4463-803D-BED34E5E6876}"/>
                      </c:ext>
                    </c:extLst>
                  </c:dLbl>
                  <c:dLbl>
                    <c:idx val="8"/>
                    <c:layout>
                      <c:manualLayout>
                        <c:x val="3.8480154558146004E-2"/>
                        <c:y val="2.0787050093353113E-3"/>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6-30BF-4463-803D-BED34E5E6876}"/>
                      </c:ext>
                    </c:extLst>
                  </c:dLbl>
                  <c:dLbl>
                    <c:idx val="9"/>
                    <c:layout>
                      <c:manualLayout>
                        <c:x val="2.5371775110577196E-2"/>
                        <c:y val="0"/>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7-30BF-4463-803D-BED34E5E68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Grafiks_brīvais_fin_pa_AI!$F$5:$F$15</c15:sqref>
                        </c15:formulaRef>
                      </c:ext>
                    </c:extLst>
                    <c:numCache>
                      <c:formatCode>#,##0.00</c:formatCode>
                      <c:ptCount val="11"/>
                      <c:pt idx="0">
                        <c:v>0</c:v>
                      </c:pt>
                      <c:pt idx="1">
                        <c:v>0</c:v>
                      </c:pt>
                      <c:pt idx="2">
                        <c:v>36881516</c:v>
                      </c:pt>
                      <c:pt idx="3">
                        <c:v>0</c:v>
                      </c:pt>
                      <c:pt idx="4">
                        <c:v>0</c:v>
                      </c:pt>
                      <c:pt idx="5">
                        <c:v>14530393</c:v>
                      </c:pt>
                      <c:pt idx="6">
                        <c:v>782851</c:v>
                      </c:pt>
                      <c:pt idx="7">
                        <c:v>46914125</c:v>
                      </c:pt>
                      <c:pt idx="8">
                        <c:v>8534803</c:v>
                      </c:pt>
                      <c:pt idx="9">
                        <c:v>116550001</c:v>
                      </c:pt>
                      <c:pt idx="10">
                        <c:v>0</c:v>
                      </c:pt>
                    </c:numCache>
                  </c:numRef>
                </c:val>
                <c:extLst xmlns:c15="http://schemas.microsoft.com/office/drawing/2012/chart">
                  <c:ext xmlns:c16="http://schemas.microsoft.com/office/drawing/2014/chart" uri="{C3380CC4-5D6E-409C-BE32-E72D297353CC}">
                    <c16:uniqueId val="{00000038-30BF-4463-803D-BED34E5E687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Grafiks_brīvais_fin_pa_AI!$O$3</c15:sqref>
                        </c15:formulaRef>
                      </c:ext>
                    </c:extLst>
                    <c:strCache>
                      <c:ptCount val="1"/>
                      <c:pt idx="0">
                        <c:v>React EU (264 milj. €)</c:v>
                      </c:pt>
                    </c:strCache>
                  </c:strRef>
                </c:tx>
                <c:spPr>
                  <a:solidFill>
                    <a:schemeClr val="accent3">
                      <a:lumMod val="60000"/>
                    </a:schemeClr>
                  </a:solidFill>
                  <a:ln>
                    <a:noFill/>
                  </a:ln>
                  <a:effectLst/>
                </c:spPr>
                <c:invertIfNegative val="0"/>
                <c:dLbls>
                  <c:dLbl>
                    <c:idx val="4"/>
                    <c:layout>
                      <c:manualLayout>
                        <c:x val="1.1069682284429096E-2"/>
                        <c:y val="3.568805158412798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9-30BF-4463-803D-BED34E5E6876}"/>
                      </c:ext>
                    </c:extLst>
                  </c:dLbl>
                  <c:dLbl>
                    <c:idx val="5"/>
                    <c:layout>
                      <c:manualLayout>
                        <c:x val="1.106968228442907E-2"/>
                        <c:y val="2.260243266994772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A-30BF-4463-803D-BED34E5E6876}"/>
                      </c:ext>
                    </c:extLst>
                  </c:dLbl>
                  <c:dLbl>
                    <c:idx val="6"/>
                    <c:layout>
                      <c:manualLayout>
                        <c:x val="3.247106803432543E-2"/>
                        <c:y val="1.189601719470932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B-30BF-4463-803D-BED34E5E6876}"/>
                      </c:ext>
                    </c:extLst>
                  </c:dLbl>
                  <c:dLbl>
                    <c:idx val="7"/>
                    <c:layout>
                      <c:manualLayout>
                        <c:x val="1.2545639922353007E-2"/>
                        <c:y val="1.189601719470932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C-30BF-4463-803D-BED34E5E6876}"/>
                      </c:ext>
                    </c:extLst>
                  </c:dLbl>
                  <c:dLbl>
                    <c:idx val="8"/>
                    <c:layout>
                      <c:manualLayout>
                        <c:x val="2.5091279844706015E-2"/>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D-30BF-4463-803D-BED34E5E6876}"/>
                      </c:ext>
                    </c:extLst>
                  </c:dLbl>
                  <c:dLbl>
                    <c:idx val="9"/>
                    <c:layout>
                      <c:manualLayout>
                        <c:x val="5.9038305516955327E-3"/>
                        <c:y val="3.330884814518611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E-30BF-4463-803D-BED34E5E687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Grafiks_brīvais_fin_pa_AI!$O$5:$O$15</c15:sqref>
                        </c15:formulaRef>
                      </c:ext>
                    </c:extLst>
                    <c:numCache>
                      <c:formatCode>#,##0.00</c:formatCode>
                      <c:ptCount val="11"/>
                      <c:pt idx="4">
                        <c:v>0</c:v>
                      </c:pt>
                      <c:pt idx="5">
                        <c:v>0</c:v>
                      </c:pt>
                      <c:pt idx="6">
                        <c:v>0</c:v>
                      </c:pt>
                      <c:pt idx="7">
                        <c:v>0</c:v>
                      </c:pt>
                      <c:pt idx="8">
                        <c:v>2524642</c:v>
                      </c:pt>
                      <c:pt idx="9">
                        <c:v>0</c:v>
                      </c:pt>
                    </c:numCache>
                  </c:numRef>
                </c:val>
                <c:extLst xmlns:c15="http://schemas.microsoft.com/office/drawing/2012/chart">
                  <c:ext xmlns:c16="http://schemas.microsoft.com/office/drawing/2014/chart" uri="{C3380CC4-5D6E-409C-BE32-E72D297353CC}">
                    <c16:uniqueId val="{0000003F-30BF-4463-803D-BED34E5E6876}"/>
                  </c:ext>
                </c:extLst>
              </c15:ser>
            </c15:filteredBarSeries>
          </c:ext>
        </c:extLst>
      </c:barChart>
      <c:catAx>
        <c:axId val="676862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crossAx val="676860840"/>
        <c:crosses val="autoZero"/>
        <c:auto val="1"/>
        <c:lblAlgn val="ctr"/>
        <c:lblOffset val="100"/>
        <c:noMultiLvlLbl val="0"/>
      </c:catAx>
      <c:valAx>
        <c:axId val="676860840"/>
        <c:scaling>
          <c:orientation val="minMax"/>
          <c:max val="1400000000"/>
        </c:scaling>
        <c:delete val="0"/>
        <c:axPos val="b"/>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lv-LV"/>
          </a:p>
        </c:txPr>
        <c:crossAx val="676862152"/>
        <c:crosses val="autoZero"/>
        <c:crossBetween val="between"/>
        <c:dispUnits>
          <c:builtInUnit val="millions"/>
        </c:dispUnits>
      </c:valAx>
      <c:valAx>
        <c:axId val="337720712"/>
        <c:scaling>
          <c:orientation val="minMax"/>
          <c:min val="0"/>
        </c:scaling>
        <c:delete val="0"/>
        <c:axPos val="t"/>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lv-LV"/>
          </a:p>
        </c:txPr>
        <c:crossAx val="337727928"/>
        <c:crosses val="max"/>
        <c:crossBetween val="between"/>
        <c:dispUnits>
          <c:builtInUnit val="millions"/>
        </c:dispUnits>
      </c:valAx>
      <c:catAx>
        <c:axId val="337727928"/>
        <c:scaling>
          <c:orientation val="minMax"/>
        </c:scaling>
        <c:delete val="1"/>
        <c:axPos val="l"/>
        <c:numFmt formatCode="General" sourceLinked="1"/>
        <c:majorTickMark val="out"/>
        <c:minorTickMark val="none"/>
        <c:tickLblPos val="nextTo"/>
        <c:crossAx val="337720712"/>
        <c:crosses val="autoZero"/>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legendEntry>
      <c:layout>
        <c:manualLayout>
          <c:xMode val="edge"/>
          <c:yMode val="edge"/>
          <c:x val="0.21287380392316108"/>
          <c:y val="0.70750916949260267"/>
          <c:w val="0.59443032073856039"/>
          <c:h val="0.20640320454349179"/>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legend>
    <c:plotVisOnly val="1"/>
    <c:dispBlanksAs val="gap"/>
    <c:showDLblsOverMax val="0"/>
  </c:chart>
  <c:spPr>
    <a:noFill/>
    <a:ln w="9525" cap="flat" cmpd="sng" algn="ctr">
      <a:noFill/>
      <a:round/>
    </a:ln>
    <a:effectLst/>
  </c:spPr>
  <c:txPr>
    <a:bodyPr/>
    <a:lstStyle/>
    <a:p>
      <a:pPr>
        <a:defRPr/>
      </a:pPr>
      <a:endParaRPr lang="lv-LV"/>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2033795404011"/>
          <c:y val="6.5443592887223484E-2"/>
          <c:w val="0.55638118117900848"/>
          <c:h val="0.90592904400680652"/>
        </c:manualLayout>
      </c:layout>
      <c:barChart>
        <c:barDir val="bar"/>
        <c:grouping val="stacked"/>
        <c:varyColors val="0"/>
        <c:ser>
          <c:idx val="2"/>
          <c:order val="1"/>
          <c:tx>
            <c:strRef>
              <c:f>Grafiks_brīvais_fin_pa_AI!$H$3</c:f>
              <c:strCache>
                <c:ptCount val="1"/>
                <c:pt idx="0">
                  <c:v>Maksājumu apjoms (4510 milj. €)</c:v>
                </c:pt>
              </c:strCache>
            </c:strRef>
          </c:tx>
          <c:spPr>
            <a:solidFill>
              <a:schemeClr val="accent5">
                <a:lumMod val="50000"/>
              </a:schemeClr>
            </a:solidFill>
            <a:ln>
              <a:noFill/>
            </a:ln>
            <a:effectLst/>
          </c:spPr>
          <c:invertIfNegative val="0"/>
          <c:dLbls>
            <c:dLbl>
              <c:idx val="0"/>
              <c:layout>
                <c:manualLayout>
                  <c:x val="1.9580819063803639E-2"/>
                  <c:y val="-1.225664448762155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8A-4762-AA58-01B64C2102BA}"/>
                </c:ext>
              </c:extLst>
            </c:dLbl>
            <c:dLbl>
              <c:idx val="1"/>
              <c:layout>
                <c:manualLayout>
                  <c:x val="2.8056667674774736E-2"/>
                  <c:y val="1.8155008288805827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8A-4762-AA58-01B64C2102BA}"/>
                </c:ext>
              </c:extLst>
            </c:dLbl>
            <c:dLbl>
              <c:idx val="2"/>
              <c:layout>
                <c:manualLayout>
                  <c:x val="1.740449513157933E-2"/>
                  <c:y val="1.8153912877669931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15:layout>
                    <c:manualLayout>
                      <c:w val="3.219120986852219E-2"/>
                      <c:h val="3.8336797987011291E-2"/>
                    </c:manualLayout>
                  </c15:layout>
                </c:ext>
                <c:ext xmlns:c16="http://schemas.microsoft.com/office/drawing/2014/chart" uri="{C3380CC4-5D6E-409C-BE32-E72D297353CC}">
                  <c16:uniqueId val="{00000002-6F8A-4762-AA58-01B64C2102BA}"/>
                </c:ext>
              </c:extLst>
            </c:dLbl>
            <c:dLbl>
              <c:idx val="3"/>
              <c:layout>
                <c:manualLayout>
                  <c:x val="3.572373380080143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8A-4762-AA58-01B64C2102BA}"/>
                </c:ext>
              </c:extLst>
            </c:dLbl>
            <c:dLbl>
              <c:idx val="4"/>
              <c:layout>
                <c:manualLayout>
                  <c:x val="2.270998621454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8A-4762-AA58-01B64C2102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Grafiks_brīvais_fin_pa_AI!$H$5:$H$15</c:f>
              <c:numCache>
                <c:formatCode>#,##0.00</c:formatCode>
                <c:ptCount val="11"/>
                <c:pt idx="0">
                  <c:v>8501012.1500000004</c:v>
                </c:pt>
                <c:pt idx="1">
                  <c:v>17479673.399999999</c:v>
                </c:pt>
                <c:pt idx="2">
                  <c:v>36460624.530000001</c:v>
                </c:pt>
                <c:pt idx="3">
                  <c:v>100806240.3</c:v>
                </c:pt>
                <c:pt idx="4">
                  <c:v>127031938.24000001</c:v>
                </c:pt>
                <c:pt idx="5">
                  <c:v>328499391.27999997</c:v>
                </c:pt>
                <c:pt idx="6">
                  <c:v>385198321.14999998</c:v>
                </c:pt>
                <c:pt idx="7">
                  <c:v>736807876.96000004</c:v>
                </c:pt>
                <c:pt idx="8">
                  <c:v>809390465.46999979</c:v>
                </c:pt>
                <c:pt idx="9">
                  <c:v>845650621.65999985</c:v>
                </c:pt>
                <c:pt idx="10">
                  <c:v>1114375185.5400002</c:v>
                </c:pt>
              </c:numCache>
            </c:numRef>
          </c:val>
          <c:extLst xmlns:c15="http://schemas.microsoft.com/office/drawing/2012/chart">
            <c:ext xmlns:c16="http://schemas.microsoft.com/office/drawing/2014/chart" uri="{C3380CC4-5D6E-409C-BE32-E72D297353CC}">
              <c16:uniqueId val="{00000005-6F8A-4762-AA58-01B64C2102BA}"/>
            </c:ext>
          </c:extLst>
        </c:ser>
        <c:dLbls>
          <c:showLegendKey val="0"/>
          <c:showVal val="0"/>
          <c:showCatName val="0"/>
          <c:showSerName val="0"/>
          <c:showPercent val="0"/>
          <c:showBubbleSize val="0"/>
        </c:dLbls>
        <c:gapWidth val="123"/>
        <c:overlap val="100"/>
        <c:axId val="676862152"/>
        <c:axId val="676860840"/>
      </c:barChart>
      <c:barChart>
        <c:barDir val="bar"/>
        <c:grouping val="stacked"/>
        <c:varyColors val="0"/>
        <c:ser>
          <c:idx val="4"/>
          <c:order val="3"/>
          <c:tx>
            <c:strRef>
              <c:f>Grafiks_brīvais_fin_pa_AI!$J$3</c:f>
              <c:strCache>
                <c:ptCount val="1"/>
                <c:pt idx="0">
                  <c:v>Projektu līgumi, tai skaitā no virssaistībām (4536 milj. €)</c:v>
                </c:pt>
              </c:strCache>
            </c:strRef>
          </c:tx>
          <c:spPr>
            <a:solidFill>
              <a:srgbClr val="0070C0">
                <a:alpha val="61000"/>
              </a:srgbClr>
            </a:solidFill>
            <a:ln>
              <a:noFill/>
            </a:ln>
            <a:effectLst/>
          </c:spPr>
          <c:invertIfNegative val="0"/>
          <c:dLbls>
            <c:dLbl>
              <c:idx val="0"/>
              <c:layout>
                <c:manualLayout>
                  <c:x val="1.3913931573464676E-2"/>
                  <c:y val="-2.260243266994772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8A-4762-AA58-01B64C2102BA}"/>
                </c:ext>
              </c:extLst>
            </c:dLbl>
            <c:dLbl>
              <c:idx val="1"/>
              <c:layout>
                <c:manualLayout>
                  <c:x val="2.1042815789852672E-2"/>
                  <c:y val="-1.90336275115349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8A-4762-AA58-01B64C2102BA}"/>
                </c:ext>
              </c:extLst>
            </c:dLbl>
            <c:dLbl>
              <c:idx val="2"/>
              <c:layout>
                <c:manualLayout>
                  <c:x val="2.4311726217050439E-2"/>
                  <c:y val="-2.260243266994772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8A-4762-AA58-01B64C2102BA}"/>
                </c:ext>
              </c:extLst>
            </c:dLbl>
            <c:dLbl>
              <c:idx val="3"/>
              <c:layout>
                <c:manualLayout>
                  <c:x val="3.2837432165511798E-2"/>
                  <c:y val="-1.898823388655627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8A-4762-AA58-01B64C2102BA}"/>
                </c:ext>
              </c:extLst>
            </c:dLbl>
            <c:dLbl>
              <c:idx val="4"/>
              <c:layout>
                <c:manualLayout>
                  <c:x val="2.0496877265242835E-2"/>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8A-4762-AA58-01B64C2102BA}"/>
                </c:ext>
              </c:extLst>
            </c:dLbl>
            <c:dLbl>
              <c:idx val="6"/>
              <c:layout>
                <c:manualLayout>
                  <c:x val="6.78639568643716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E6-4A2C-84EE-012EE0AD00EA}"/>
                </c:ext>
              </c:extLst>
            </c:dLbl>
            <c:dLbl>
              <c:idx val="8"/>
              <c:layout>
                <c:manualLayout>
                  <c:x val="0.15010461956127655"/>
                  <c:y val="-2.5237135603803141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A-4762-AA58-01B64C2102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lv-LV"/>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Grafiks_brīvais_fin_pa_AI!$J$5:$J$15</c:f>
              <c:numCache>
                <c:formatCode>#,##0.00</c:formatCode>
                <c:ptCount val="11"/>
                <c:pt idx="0">
                  <c:v>8501012.1500000004</c:v>
                </c:pt>
                <c:pt idx="1">
                  <c:v>17479673.399999999</c:v>
                </c:pt>
                <c:pt idx="2">
                  <c:v>36460624.560000002</c:v>
                </c:pt>
                <c:pt idx="3">
                  <c:v>100806405.58</c:v>
                </c:pt>
                <c:pt idx="4">
                  <c:v>130290148.34</c:v>
                </c:pt>
                <c:pt idx="5">
                  <c:v>329439163.95000005</c:v>
                </c:pt>
                <c:pt idx="6">
                  <c:v>386011400.57999998</c:v>
                </c:pt>
                <c:pt idx="7">
                  <c:v>737125548.18000007</c:v>
                </c:pt>
                <c:pt idx="8">
                  <c:v>816500954.24999964</c:v>
                </c:pt>
                <c:pt idx="9">
                  <c:v>859785882.42000008</c:v>
                </c:pt>
                <c:pt idx="10">
                  <c:v>1113266512.7500002</c:v>
                </c:pt>
              </c:numCache>
            </c:numRef>
          </c:val>
          <c:extLst>
            <c:ext xmlns:c16="http://schemas.microsoft.com/office/drawing/2014/chart" uri="{C3380CC4-5D6E-409C-BE32-E72D297353CC}">
              <c16:uniqueId val="{0000000C-6F8A-4762-AA58-01B64C2102BA}"/>
            </c:ext>
          </c:extLst>
        </c:ser>
        <c:ser>
          <c:idx val="5"/>
          <c:order val="4"/>
          <c:tx>
            <c:strRef>
              <c:f>Grafiks_brīvais_fin_pa_AI!$L$3</c:f>
              <c:strCache>
                <c:ptCount val="1"/>
                <c:pt idx="0">
                  <c:v>Nav noslēgti līgumi par fondu finansējumu un virss. (317 milj. €)</c:v>
                </c:pt>
              </c:strCache>
            </c:strRef>
          </c:tx>
          <c:spPr>
            <a:solidFill>
              <a:schemeClr val="bg1">
                <a:lumMod val="75000"/>
                <a:alpha val="79000"/>
              </a:schemeClr>
            </a:solidFill>
            <a:ln>
              <a:noFill/>
            </a:ln>
            <a:effectLst/>
          </c:spPr>
          <c:invertIfNegative val="0"/>
          <c:dLbls>
            <c:dLbl>
              <c:idx val="0"/>
              <c:layout>
                <c:manualLayout>
                  <c:x val="1.6811641282815069E-2"/>
                  <c:y val="2.4976819223593544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A-4762-AA58-01B64C2102BA}"/>
                </c:ext>
              </c:extLst>
            </c:dLbl>
            <c:dLbl>
              <c:idx val="1"/>
              <c:layout>
                <c:manualLayout>
                  <c:x val="1.7548357905056371E-2"/>
                  <c:y val="2.61638993056983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A-4762-AA58-01B64C2102BA}"/>
                </c:ext>
              </c:extLst>
            </c:dLbl>
            <c:dLbl>
              <c:idx val="2"/>
              <c:layout>
                <c:manualLayout>
                  <c:x val="1.1654624927125963E-2"/>
                  <c:y val="2.616389930569827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A-4762-AA58-01B64C2102BA}"/>
                </c:ext>
              </c:extLst>
            </c:dLbl>
            <c:dLbl>
              <c:idx val="3"/>
              <c:layout>
                <c:manualLayout>
                  <c:x val="2.4915524127469377E-2"/>
                  <c:y val="4.8137499392352277E-5"/>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A-4762-AA58-01B64C2102BA}"/>
                </c:ext>
              </c:extLst>
            </c:dLbl>
            <c:dLbl>
              <c:idx val="4"/>
              <c:layout>
                <c:manualLayout>
                  <c:x val="2.4915524127469377E-2"/>
                  <c:y val="4.8137499392352277E-5"/>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F8A-4762-AA58-01B64C2102BA}"/>
                </c:ext>
              </c:extLst>
            </c:dLbl>
            <c:dLbl>
              <c:idx val="5"/>
              <c:layout>
                <c:manualLayout>
                  <c:x val="4.2596723061260597E-2"/>
                  <c:y val="1.3106018402545399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F8A-4762-AA58-01B64C2102BA}"/>
                </c:ext>
              </c:extLst>
            </c:dLbl>
            <c:dLbl>
              <c:idx val="6"/>
              <c:layout>
                <c:manualLayout>
                  <c:x val="2.1231941016262874E-2"/>
                  <c:y val="1.7854338730964658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F8A-4762-AA58-01B64C2102BA}"/>
                </c:ext>
              </c:extLst>
            </c:dLbl>
            <c:dLbl>
              <c:idx val="7"/>
              <c:layout>
                <c:manualLayout>
                  <c:x val="2.0773088379891077E-3"/>
                  <c:y val="2.42229766360206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F8A-4762-AA58-01B64C2102BA}"/>
                </c:ext>
              </c:extLst>
            </c:dLbl>
            <c:dLbl>
              <c:idx val="8"/>
              <c:layout>
                <c:manualLayout>
                  <c:x val="4.7017022794708402E-2"/>
                  <c:y val="1.78543387309646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F8A-4762-AA58-01B64C2102BA}"/>
                </c:ext>
              </c:extLst>
            </c:dLbl>
            <c:dLbl>
              <c:idx val="9"/>
              <c:layout>
                <c:manualLayout>
                  <c:x val="6.0410763023786555E-2"/>
                  <c:y val="1.5432041067362588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F8A-4762-AA58-01B64C2102BA}"/>
                </c:ext>
              </c:extLst>
            </c:dLbl>
            <c:dLbl>
              <c:idx val="10"/>
              <c:layout>
                <c:manualLayout>
                  <c:x val="2.4915516070664171E-2"/>
                  <c:y val="4.818305736579179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51-4D21-BEF9-8E92D6B7EA0E}"/>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Grafiks_brīvais_fin_pa_AI!$L$5:$L$15</c:f>
              <c:numCache>
                <c:formatCode>#,##0.00</c:formatCode>
                <c:ptCount val="11"/>
                <c:pt idx="0">
                  <c:v>68360.849999999627</c:v>
                </c:pt>
                <c:pt idx="1">
                  <c:v>10849.60000000149</c:v>
                </c:pt>
                <c:pt idx="2">
                  <c:v>420891.43999999762</c:v>
                </c:pt>
                <c:pt idx="3">
                  <c:v>509897.42000000179</c:v>
                </c:pt>
                <c:pt idx="4">
                  <c:v>5878595.6599999964</c:v>
                </c:pt>
                <c:pt idx="5">
                  <c:v>31242161.049999952</c:v>
                </c:pt>
                <c:pt idx="6">
                  <c:v>7298002.4200000167</c:v>
                </c:pt>
                <c:pt idx="7">
                  <c:v>55030219.819999933</c:v>
                </c:pt>
                <c:pt idx="8">
                  <c:v>23772044.750000358</c:v>
                </c:pt>
                <c:pt idx="9">
                  <c:v>90828467.579999924</c:v>
                </c:pt>
                <c:pt idx="10">
                  <c:v>102380098.24999976</c:v>
                </c:pt>
              </c:numCache>
            </c:numRef>
          </c:val>
          <c:extLst>
            <c:ext xmlns:c16="http://schemas.microsoft.com/office/drawing/2014/chart" uri="{C3380CC4-5D6E-409C-BE32-E72D297353CC}">
              <c16:uniqueId val="{00000017-6F8A-4762-AA58-01B64C2102BA}"/>
            </c:ext>
          </c:extLst>
        </c:ser>
        <c:ser>
          <c:idx val="1"/>
          <c:order val="5"/>
          <c:tx>
            <c:strRef>
              <c:f>Grafiks_brīvais_fin_pa_AI!$E$3</c:f>
              <c:strCache>
                <c:ptCount val="1"/>
                <c:pt idx="0">
                  <c:v>MK noteikumos nesadalītais finansējums (12 milj. €)</c:v>
                </c:pt>
              </c:strCache>
            </c:strRef>
          </c:tx>
          <c:spPr>
            <a:solidFill>
              <a:srgbClr val="C00000">
                <a:alpha val="41000"/>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8-6F8A-4762-AA58-01B64C2102BA}"/>
                </c:ext>
              </c:extLst>
            </c:dLbl>
            <c:dLbl>
              <c:idx val="1"/>
              <c:delete val="1"/>
              <c:extLst>
                <c:ext xmlns:c15="http://schemas.microsoft.com/office/drawing/2012/chart" uri="{CE6537A1-D6FC-4f65-9D91-7224C49458BB}"/>
                <c:ext xmlns:c16="http://schemas.microsoft.com/office/drawing/2014/chart" uri="{C3380CC4-5D6E-409C-BE32-E72D297353CC}">
                  <c16:uniqueId val="{00000019-6F8A-4762-AA58-01B64C2102BA}"/>
                </c:ext>
              </c:extLst>
            </c:dLbl>
            <c:dLbl>
              <c:idx val="2"/>
              <c:delete val="1"/>
              <c:extLst>
                <c:ext xmlns:c15="http://schemas.microsoft.com/office/drawing/2012/chart" uri="{CE6537A1-D6FC-4f65-9D91-7224C49458BB}"/>
                <c:ext xmlns:c16="http://schemas.microsoft.com/office/drawing/2014/chart" uri="{C3380CC4-5D6E-409C-BE32-E72D297353CC}">
                  <c16:uniqueId val="{0000001A-6F8A-4762-AA58-01B64C2102BA}"/>
                </c:ext>
              </c:extLst>
            </c:dLbl>
            <c:dLbl>
              <c:idx val="3"/>
              <c:delete val="1"/>
              <c:extLst>
                <c:ext xmlns:c15="http://schemas.microsoft.com/office/drawing/2012/chart" uri="{CE6537A1-D6FC-4f65-9D91-7224C49458BB}"/>
                <c:ext xmlns:c16="http://schemas.microsoft.com/office/drawing/2014/chart" uri="{C3380CC4-5D6E-409C-BE32-E72D297353CC}">
                  <c16:uniqueId val="{0000001B-6F8A-4762-AA58-01B64C2102BA}"/>
                </c:ext>
              </c:extLst>
            </c:dLbl>
            <c:dLbl>
              <c:idx val="4"/>
              <c:layout>
                <c:manualLayout>
                  <c:x val="2.7424102235383888E-2"/>
                  <c:y val="-2.320545271682438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1C-6F8A-4762-AA58-01B64C2102BA}"/>
                </c:ext>
              </c:extLst>
            </c:dLbl>
            <c:dLbl>
              <c:idx val="5"/>
              <c:layout>
                <c:manualLayout>
                  <c:x val="3.3317835213314266E-2"/>
                  <c:y val="-1.8457132388405212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1D-6F8A-4762-AA58-01B64C2102BA}"/>
                </c:ext>
              </c:extLst>
            </c:dLbl>
            <c:dLbl>
              <c:idx val="6"/>
              <c:layout>
                <c:manualLayout>
                  <c:x val="2.2267085879694757E-2"/>
                  <c:y val="-1.252173197788105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1E-6F8A-4762-AA58-01B64C2102BA}"/>
                </c:ext>
              </c:extLst>
            </c:dLbl>
            <c:dLbl>
              <c:idx val="7"/>
              <c:delete val="1"/>
              <c:extLst>
                <c:ext xmlns:c15="http://schemas.microsoft.com/office/drawing/2012/chart" uri="{CE6537A1-D6FC-4f65-9D91-7224C49458BB}"/>
                <c:ext xmlns:c16="http://schemas.microsoft.com/office/drawing/2014/chart" uri="{C3380CC4-5D6E-409C-BE32-E72D297353CC}">
                  <c16:uniqueId val="{0000001F-6F8A-4762-AA58-01B64C2102BA}"/>
                </c:ext>
              </c:extLst>
            </c:dLbl>
            <c:dLbl>
              <c:idx val="8"/>
              <c:layout>
                <c:manualLayout>
                  <c:x val="3.8474851569003377E-2"/>
                  <c:y val="-1.964421247050998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90795392911E-2"/>
                      <c:h val="2.7257788927814313E-2"/>
                    </c:manualLayout>
                  </c15:layout>
                </c:ext>
                <c:ext xmlns:c16="http://schemas.microsoft.com/office/drawing/2014/chart" uri="{C3380CC4-5D6E-409C-BE32-E72D297353CC}">
                  <c16:uniqueId val="{00000020-6F8A-4762-AA58-01B64C2102BA}"/>
                </c:ext>
              </c:extLst>
            </c:dLbl>
            <c:dLbl>
              <c:idx val="9"/>
              <c:layout>
                <c:manualLayout>
                  <c:x val="4.363186792469248E-2"/>
                  <c:y val="-1.9644212470509962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21-6F8A-4762-AA58-01B64C2102BA}"/>
                </c:ext>
              </c:extLst>
            </c:dLbl>
            <c:dLbl>
              <c:idx val="10"/>
              <c:layout>
                <c:manualLayout>
                  <c:x val="3.2581118591072968E-2"/>
                  <c:y val="-1.9644212470509941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00-44F4-49C0-857C-6E468986E2D3}"/>
                </c:ext>
              </c:extLst>
            </c:dLbl>
            <c:numFmt formatCode="#,##0" sourceLinked="0"/>
            <c:spPr>
              <a:noFill/>
              <a:ln>
                <a:noFill/>
              </a:ln>
              <a:effectLst/>
            </c:spPr>
            <c:txPr>
              <a:bodyPr rot="0" spcFirstLastPara="1" vertOverflow="ellipsis" vert="horz" wrap="square" lIns="38100" tIns="19050" rIns="38100" bIns="19050" anchor="ctr" anchorCtr="1">
                <a:no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Grafiks_brīvais_fin_pa_AI!$E$5:$E$15</c:f>
              <c:numCache>
                <c:formatCode>#,##0.00</c:formatCode>
                <c:ptCount val="11"/>
                <c:pt idx="0">
                  <c:v>0</c:v>
                </c:pt>
                <c:pt idx="1">
                  <c:v>0</c:v>
                </c:pt>
                <c:pt idx="2">
                  <c:v>0</c:v>
                </c:pt>
                <c:pt idx="3">
                  <c:v>0</c:v>
                </c:pt>
                <c:pt idx="4">
                  <c:v>0</c:v>
                </c:pt>
                <c:pt idx="5">
                  <c:v>0</c:v>
                </c:pt>
                <c:pt idx="6">
                  <c:v>0</c:v>
                </c:pt>
                <c:pt idx="7">
                  <c:v>1059959</c:v>
                </c:pt>
                <c:pt idx="8">
                  <c:v>3303845</c:v>
                </c:pt>
                <c:pt idx="9">
                  <c:v>7399760</c:v>
                </c:pt>
                <c:pt idx="10">
                  <c:v>0</c:v>
                </c:pt>
              </c:numCache>
            </c:numRef>
          </c:val>
          <c:extLst>
            <c:ext xmlns:c16="http://schemas.microsoft.com/office/drawing/2014/chart" uri="{C3380CC4-5D6E-409C-BE32-E72D297353CC}">
              <c16:uniqueId val="{00000023-6F8A-4762-AA58-01B64C2102BA}"/>
            </c:ext>
          </c:extLst>
        </c:ser>
        <c:dLbls>
          <c:showLegendKey val="0"/>
          <c:showVal val="0"/>
          <c:showCatName val="0"/>
          <c:showSerName val="0"/>
          <c:showPercent val="0"/>
          <c:showBubbleSize val="0"/>
        </c:dLbls>
        <c:gapWidth val="16"/>
        <c:overlap val="100"/>
        <c:axId val="337727928"/>
        <c:axId val="337720712"/>
        <c:extLst>
          <c:ext xmlns:c15="http://schemas.microsoft.com/office/drawing/2012/chart" uri="{02D57815-91ED-43cb-92C2-25804820EDAC}">
            <c15:filteredBarSeries>
              <c15:ser>
                <c:idx val="0"/>
                <c:order val="0"/>
                <c:tx>
                  <c:strRef>
                    <c:extLst>
                      <c:ext uri="{02D57815-91ED-43cb-92C2-25804820EDAC}">
                        <c15:formulaRef>
                          <c15:sqref>Grafiks_brīvais_fin_pa_AI!$D$3</c15:sqref>
                        </c15:formulaRef>
                      </c:ext>
                    </c:extLst>
                    <c:strCache>
                      <c:ptCount val="1"/>
                      <c:pt idx="0">
                        <c:v>Piešķirtais ES fondu finansējums*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c:ext uri="{02D57815-91ED-43cb-92C2-25804820EDAC}">
                        <c15:formulaRef>
                          <c15:sqref>Grafiks_brīvais_fin_pa_AI!$D$5:$D$15</c15:sqref>
                        </c15:formulaRef>
                      </c:ext>
                    </c:extLst>
                    <c:numCache>
                      <c:formatCode>#,##0.00</c:formatCode>
                      <c:ptCount val="11"/>
                      <c:pt idx="0">
                        <c:v>8569373</c:v>
                      </c:pt>
                      <c:pt idx="1">
                        <c:v>17490523</c:v>
                      </c:pt>
                      <c:pt idx="2">
                        <c:v>36881516</c:v>
                      </c:pt>
                      <c:pt idx="3">
                        <c:v>101316303</c:v>
                      </c:pt>
                      <c:pt idx="4">
                        <c:v>136168744</c:v>
                      </c:pt>
                      <c:pt idx="5">
                        <c:v>360681325</c:v>
                      </c:pt>
                      <c:pt idx="6">
                        <c:v>393309403</c:v>
                      </c:pt>
                      <c:pt idx="7">
                        <c:v>792155768</c:v>
                      </c:pt>
                      <c:pt idx="8">
                        <c:v>840272999</c:v>
                      </c:pt>
                      <c:pt idx="9">
                        <c:v>950614350</c:v>
                      </c:pt>
                      <c:pt idx="10">
                        <c:v>1215646611</c:v>
                      </c:pt>
                    </c:numCache>
                  </c:numRef>
                </c:val>
                <c:extLst>
                  <c:ext xmlns:c16="http://schemas.microsoft.com/office/drawing/2014/chart" uri="{C3380CC4-5D6E-409C-BE32-E72D297353CC}">
                    <c16:uniqueId val="{00000024-6F8A-4762-AA58-01B64C2102BA}"/>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Grafiks_brīvais_fin_pa_AI!$I$3</c15:sqref>
                        </c15:formulaRef>
                      </c:ext>
                    </c:extLst>
                    <c:strCache>
                      <c:ptCount val="1"/>
                      <c:pt idx="0">
                        <c:v>Līgumos plānotie, bet vēl neveiktie maksājumi (343 milj.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Grafiks_brīvais_fin_pa_AI!$I$5:$I$15</c15:sqref>
                        </c15:formulaRef>
                      </c:ext>
                    </c:extLst>
                    <c:numCache>
                      <c:formatCode>#,##0.00</c:formatCode>
                      <c:ptCount val="11"/>
                      <c:pt idx="0">
                        <c:v>68360.849999999627</c:v>
                      </c:pt>
                      <c:pt idx="1">
                        <c:v>10849.60000000149</c:v>
                      </c:pt>
                      <c:pt idx="2">
                        <c:v>420891.46999999881</c:v>
                      </c:pt>
                      <c:pt idx="3">
                        <c:v>510062.70000000298</c:v>
                      </c:pt>
                      <c:pt idx="4">
                        <c:v>9136805.7599999905</c:v>
                      </c:pt>
                      <c:pt idx="5">
                        <c:v>32181933.720000029</c:v>
                      </c:pt>
                      <c:pt idx="6">
                        <c:v>8111081.8500000238</c:v>
                      </c:pt>
                      <c:pt idx="7">
                        <c:v>55347891.039999962</c:v>
                      </c:pt>
                      <c:pt idx="8">
                        <c:v>30882533.53000021</c:v>
                      </c:pt>
                      <c:pt idx="9">
                        <c:v>104963728.34000015</c:v>
                      </c:pt>
                      <c:pt idx="10">
                        <c:v>101271425.4599998</c:v>
                      </c:pt>
                    </c:numCache>
                  </c:numRef>
                </c:val>
                <c:extLst xmlns:c15="http://schemas.microsoft.com/office/drawing/2012/chart">
                  <c:ext xmlns:c16="http://schemas.microsoft.com/office/drawing/2014/chart" uri="{C3380CC4-5D6E-409C-BE32-E72D297353CC}">
                    <c16:uniqueId val="{00000025-6F8A-4762-AA58-01B64C2102B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Grafiks_brīvais_fin_pa_AI!$M$3</c15:sqref>
                        </c15:formulaRef>
                      </c:ext>
                    </c:extLst>
                    <c:strCache>
                      <c:ptCount val="1"/>
                      <c:pt idx="0">
                        <c:v>Līgumi uz valsts budžeta virssaistību rēķina (0 milj. €)</c:v>
                      </c:pt>
                    </c:strCache>
                  </c:strRef>
                </c:tx>
                <c:spPr>
                  <a:solidFill>
                    <a:srgbClr val="92D050">
                      <a:alpha val="62000"/>
                    </a:srgb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6-6F8A-4762-AA58-01B64C2102BA}"/>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7-6F8A-4762-AA58-01B64C2102BA}"/>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8-6F8A-4762-AA58-01B64C2102BA}"/>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9-6F8A-4762-AA58-01B64C2102BA}"/>
                      </c:ext>
                    </c:extLst>
                  </c:dLbl>
                  <c:dLbl>
                    <c:idx val="4"/>
                    <c:layout>
                      <c:manualLayout>
                        <c:x val="2.6101770386015955E-2"/>
                        <c:y val="2.251980950440996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rgbClr val="92D050"/>
                            </a:solidFill>
                            <a:latin typeface="+mn-lt"/>
                            <a:ea typeface="+mn-ea"/>
                            <a:cs typeface="+mn-cs"/>
                          </a:defRPr>
                        </a:pPr>
                        <a:endParaRPr lang="lv-LV"/>
                      </a:p>
                    </c:txPr>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A-6F8A-4762-AA58-01B64C2102BA}"/>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B-6F8A-4762-AA58-01B64C2102BA}"/>
                      </c:ext>
                    </c:extLst>
                  </c:dLbl>
                  <c:dLbl>
                    <c:idx val="6"/>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C-6F8A-4762-AA58-01B64C2102BA}"/>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D-6F8A-4762-AA58-01B64C2102BA}"/>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E-6F8A-4762-AA58-01B64C2102BA}"/>
                      </c:ext>
                    </c:extLst>
                  </c:dLbl>
                  <c:dLbl>
                    <c:idx val="9"/>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F-6F8A-4762-AA58-01B64C2102BA}"/>
                      </c:ext>
                    </c:extLst>
                  </c:dLbl>
                  <c:dLbl>
                    <c:idx val="1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30-6F8A-4762-AA58-01B64C2102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rgbClr val="92D050"/>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Grafiks_brīvais_fin_pa_AI!$M$5:$M$15</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31-6F8A-4762-AA58-01B64C2102B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Grafiks_brīvais_fin_pa_AI!$F$3</c15:sqref>
                        </c15:formulaRef>
                      </c:ext>
                    </c:extLst>
                    <c:strCache>
                      <c:ptCount val="1"/>
                      <c:pt idx="0">
                        <c:v>Virssaistības  atbilstoši apst. MK </c:v>
                      </c:pt>
                    </c:strCache>
                  </c:strRef>
                </c:tx>
                <c:spPr>
                  <a:solidFill>
                    <a:srgbClr val="C00000">
                      <a:alpha val="56000"/>
                    </a:srgbClr>
                  </a:solidFill>
                  <a:ln>
                    <a:noFill/>
                  </a:ln>
                  <a:effectLst/>
                </c:spPr>
                <c:invertIfNegative val="0"/>
                <c:dLbls>
                  <c:dLbl>
                    <c:idx val="4"/>
                    <c:layout>
                      <c:manualLayout>
                        <c:x val="4.0881263321093535E-2"/>
                        <c:y val="1.3099877084490806E-2"/>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2-6F8A-4762-AA58-01B64C2102BA}"/>
                      </c:ext>
                    </c:extLst>
                  </c:dLbl>
                  <c:dLbl>
                    <c:idx val="7"/>
                    <c:layout>
                      <c:manualLayout>
                        <c:x val="4.1674485532298813E-2"/>
                        <c:y val="-3.8109151597643504E-17"/>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3-6F8A-4762-AA58-01B64C2102BA}"/>
                      </c:ext>
                    </c:extLst>
                  </c:dLbl>
                  <c:dLbl>
                    <c:idx val="8"/>
                    <c:layout>
                      <c:manualLayout>
                        <c:x val="3.8480154558146004E-2"/>
                        <c:y val="2.0787050093353113E-3"/>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4-6F8A-4762-AA58-01B64C2102BA}"/>
                      </c:ext>
                    </c:extLst>
                  </c:dLbl>
                  <c:dLbl>
                    <c:idx val="9"/>
                    <c:layout>
                      <c:manualLayout>
                        <c:x val="2.5371775110577196E-2"/>
                        <c:y val="0"/>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5-6F8A-4762-AA58-01B64C2102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Grafiks_brīvais_fin_pa_AI!$F$5:$F$15</c15:sqref>
                        </c15:formulaRef>
                      </c:ext>
                    </c:extLst>
                    <c:numCache>
                      <c:formatCode>#,##0.00</c:formatCode>
                      <c:ptCount val="11"/>
                      <c:pt idx="0">
                        <c:v>0</c:v>
                      </c:pt>
                      <c:pt idx="1">
                        <c:v>0</c:v>
                      </c:pt>
                      <c:pt idx="2">
                        <c:v>36881516</c:v>
                      </c:pt>
                      <c:pt idx="3">
                        <c:v>0</c:v>
                      </c:pt>
                      <c:pt idx="4">
                        <c:v>0</c:v>
                      </c:pt>
                      <c:pt idx="5">
                        <c:v>14530393</c:v>
                      </c:pt>
                      <c:pt idx="6">
                        <c:v>782851</c:v>
                      </c:pt>
                      <c:pt idx="7">
                        <c:v>46914125</c:v>
                      </c:pt>
                      <c:pt idx="8">
                        <c:v>8534803</c:v>
                      </c:pt>
                      <c:pt idx="9">
                        <c:v>116550001</c:v>
                      </c:pt>
                      <c:pt idx="10">
                        <c:v>0</c:v>
                      </c:pt>
                    </c:numCache>
                  </c:numRef>
                </c:val>
                <c:extLst xmlns:c15="http://schemas.microsoft.com/office/drawing/2012/chart">
                  <c:ext xmlns:c16="http://schemas.microsoft.com/office/drawing/2014/chart" uri="{C3380CC4-5D6E-409C-BE32-E72D297353CC}">
                    <c16:uniqueId val="{00000036-6F8A-4762-AA58-01B64C2102B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Grafiks_brīvais_fin_pa_AI!$O$3</c15:sqref>
                        </c15:formulaRef>
                      </c:ext>
                    </c:extLst>
                    <c:strCache>
                      <c:ptCount val="1"/>
                      <c:pt idx="0">
                        <c:v>React EU (264 milj. €)</c:v>
                      </c:pt>
                    </c:strCache>
                  </c:strRef>
                </c:tx>
                <c:spPr>
                  <a:solidFill>
                    <a:schemeClr val="accent3">
                      <a:lumMod val="60000"/>
                    </a:schemeClr>
                  </a:solidFill>
                  <a:ln>
                    <a:noFill/>
                  </a:ln>
                  <a:effectLst/>
                </c:spPr>
                <c:invertIfNegative val="0"/>
                <c:dLbls>
                  <c:dLbl>
                    <c:idx val="4"/>
                    <c:layout>
                      <c:manualLayout>
                        <c:x val="1.1069682284429096E-2"/>
                        <c:y val="3.568805158412798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F57-429C-A30D-0422D059F9F0}"/>
                      </c:ext>
                    </c:extLst>
                  </c:dLbl>
                  <c:dLbl>
                    <c:idx val="5"/>
                    <c:layout>
                      <c:manualLayout>
                        <c:x val="1.106968228442907E-2"/>
                        <c:y val="2.260243266994772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CF57-429C-A30D-0422D059F9F0}"/>
                      </c:ext>
                    </c:extLst>
                  </c:dLbl>
                  <c:dLbl>
                    <c:idx val="6"/>
                    <c:layout>
                      <c:manualLayout>
                        <c:x val="3.247106803432543E-2"/>
                        <c:y val="1.189601719470932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CF57-429C-A30D-0422D059F9F0}"/>
                      </c:ext>
                    </c:extLst>
                  </c:dLbl>
                  <c:dLbl>
                    <c:idx val="7"/>
                    <c:layout>
                      <c:manualLayout>
                        <c:x val="1.2545639922353007E-2"/>
                        <c:y val="1.189601719470932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CF57-429C-A30D-0422D059F9F0}"/>
                      </c:ext>
                    </c:extLst>
                  </c:dLbl>
                  <c:dLbl>
                    <c:idx val="8"/>
                    <c:layout>
                      <c:manualLayout>
                        <c:x val="2.5091279844706015E-2"/>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CF57-429C-A30D-0422D059F9F0}"/>
                      </c:ext>
                    </c:extLst>
                  </c:dLbl>
                  <c:dLbl>
                    <c:idx val="9"/>
                    <c:layout>
                      <c:manualLayout>
                        <c:x val="5.9038305516955327E-3"/>
                        <c:y val="3.330884814518611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F57-429C-A30D-0422D059F9F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Grafiks_brīvais_fin_pa_AI!$O$5:$O$15</c15:sqref>
                        </c15:formulaRef>
                      </c:ext>
                    </c:extLst>
                    <c:numCache>
                      <c:formatCode>#,##0.00</c:formatCode>
                      <c:ptCount val="11"/>
                      <c:pt idx="4">
                        <c:v>0</c:v>
                      </c:pt>
                      <c:pt idx="5">
                        <c:v>0</c:v>
                      </c:pt>
                      <c:pt idx="6">
                        <c:v>0</c:v>
                      </c:pt>
                      <c:pt idx="7">
                        <c:v>0</c:v>
                      </c:pt>
                      <c:pt idx="8">
                        <c:v>2524642</c:v>
                      </c:pt>
                      <c:pt idx="9">
                        <c:v>0</c:v>
                      </c:pt>
                    </c:numCache>
                  </c:numRef>
                </c:val>
                <c:extLst xmlns:c15="http://schemas.microsoft.com/office/drawing/2012/chart">
                  <c:ext xmlns:c16="http://schemas.microsoft.com/office/drawing/2014/chart" uri="{C3380CC4-5D6E-409C-BE32-E72D297353CC}">
                    <c16:uniqueId val="{00000000-CF57-429C-A30D-0422D059F9F0}"/>
                  </c:ext>
                </c:extLst>
              </c15:ser>
            </c15:filteredBarSeries>
          </c:ext>
        </c:extLst>
      </c:barChart>
      <c:catAx>
        <c:axId val="676862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crossAx val="676860840"/>
        <c:crosses val="autoZero"/>
        <c:auto val="1"/>
        <c:lblAlgn val="ctr"/>
        <c:lblOffset val="100"/>
        <c:noMultiLvlLbl val="0"/>
      </c:catAx>
      <c:valAx>
        <c:axId val="676860840"/>
        <c:scaling>
          <c:orientation val="minMax"/>
          <c:max val="1400000000"/>
        </c:scaling>
        <c:delete val="0"/>
        <c:axPos val="b"/>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lv-LV"/>
          </a:p>
        </c:txPr>
        <c:crossAx val="676862152"/>
        <c:crosses val="autoZero"/>
        <c:crossBetween val="between"/>
        <c:dispUnits>
          <c:builtInUnit val="millions"/>
        </c:dispUnits>
      </c:valAx>
      <c:valAx>
        <c:axId val="337720712"/>
        <c:scaling>
          <c:orientation val="minMax"/>
          <c:min val="0"/>
        </c:scaling>
        <c:delete val="0"/>
        <c:axPos val="t"/>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lv-LV"/>
          </a:p>
        </c:txPr>
        <c:crossAx val="337727928"/>
        <c:crosses val="max"/>
        <c:crossBetween val="between"/>
        <c:dispUnits>
          <c:builtInUnit val="millions"/>
        </c:dispUnits>
      </c:valAx>
      <c:catAx>
        <c:axId val="337727928"/>
        <c:scaling>
          <c:orientation val="minMax"/>
        </c:scaling>
        <c:delete val="1"/>
        <c:axPos val="l"/>
        <c:numFmt formatCode="General" sourceLinked="1"/>
        <c:majorTickMark val="out"/>
        <c:minorTickMark val="none"/>
        <c:tickLblPos val="nextTo"/>
        <c:crossAx val="337720712"/>
        <c:crosses val="autoZero"/>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legendEntry>
      <c:layout>
        <c:manualLayout>
          <c:xMode val="edge"/>
          <c:yMode val="edge"/>
          <c:x val="0.21287380392316108"/>
          <c:y val="0.70750916949260267"/>
          <c:w val="0.59443032073856039"/>
          <c:h val="0.20640320454349179"/>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legend>
    <c:plotVisOnly val="1"/>
    <c:dispBlanksAs val="gap"/>
    <c:showDLblsOverMax val="0"/>
  </c:chart>
  <c:spPr>
    <a:noFill/>
    <a:ln w="9525" cap="flat" cmpd="sng" algn="ctr">
      <a:noFill/>
      <a:round/>
    </a:ln>
    <a:effectLst/>
  </c:spPr>
  <c:txPr>
    <a:bodyPr/>
    <a:lstStyle/>
    <a:p>
      <a:pPr>
        <a:defRPr/>
      </a:pPr>
      <a:endParaRPr lang="lv-LV"/>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238126</xdr:colOff>
      <xdr:row>15</xdr:row>
      <xdr:rowOff>23812</xdr:rowOff>
    </xdr:from>
    <xdr:to>
      <xdr:col>6</xdr:col>
      <xdr:colOff>1309686</xdr:colOff>
      <xdr:row>45</xdr:row>
      <xdr:rowOff>142875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111125</xdr:colOff>
      <xdr:row>6</xdr:row>
      <xdr:rowOff>47625</xdr:rowOff>
    </xdr:from>
    <xdr:to>
      <xdr:col>4</xdr:col>
      <xdr:colOff>368300</xdr:colOff>
      <xdr:row>57</xdr:row>
      <xdr:rowOff>57150</xdr:rowOff>
    </xdr:to>
    <xdr:pic>
      <xdr:nvPicPr>
        <xdr:cNvPr id="2" name="Picture 1">
          <a:extLst>
            <a:ext uri="{FF2B5EF4-FFF2-40B4-BE49-F238E27FC236}">
              <a16:creationId xmlns:a16="http://schemas.microsoft.com/office/drawing/2014/main" id="{1EBA9BF5-9C89-4C99-9EFE-8DB25EC109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1333500"/>
          <a:ext cx="2670175" cy="972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301624</xdr:colOff>
      <xdr:row>1</xdr:row>
      <xdr:rowOff>31749</xdr:rowOff>
    </xdr:from>
    <xdr:to>
      <xdr:col>30</xdr:col>
      <xdr:colOff>174625</xdr:colOff>
      <xdr:row>59</xdr:row>
      <xdr:rowOff>0</xdr:rowOff>
    </xdr:to>
    <xdr:graphicFrame macro="">
      <xdr:nvGraphicFramePr>
        <xdr:cNvPr id="3" name="Chart 2">
          <a:extLst>
            <a:ext uri="{FF2B5EF4-FFF2-40B4-BE49-F238E27FC236}">
              <a16:creationId xmlns:a16="http://schemas.microsoft.com/office/drawing/2014/main" id="{A492C821-4AB4-4D8A-942C-352F23377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0.66209</cdr:x>
      <cdr:y>0</cdr:y>
    </cdr:from>
    <cdr:to>
      <cdr:x>0.99632</cdr:x>
      <cdr:y>0.08022</cdr:y>
    </cdr:to>
    <cdr:sp macro="" textlink="">
      <cdr:nvSpPr>
        <cdr:cNvPr id="13" name="TextBox 12"/>
        <cdr:cNvSpPr txBox="1"/>
      </cdr:nvSpPr>
      <cdr:spPr>
        <a:xfrm xmlns:a="http://schemas.openxmlformats.org/drawingml/2006/main">
          <a:off x="11413476" y="0"/>
          <a:ext cx="5761674" cy="85823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lv-LV" sz="1800" b="1">
              <a:solidFill>
                <a:srgbClr val="002060"/>
              </a:solidFill>
              <a:latin typeface="Verdana" panose="020B0604030504040204" pitchFamily="34" charset="0"/>
              <a:ea typeface="Verdana" panose="020B0604030504040204" pitchFamily="34" charset="0"/>
            </a:rPr>
            <a:t>Fondu</a:t>
          </a:r>
          <a:r>
            <a:rPr lang="lv-LV" sz="1800" b="1" baseline="0">
              <a:solidFill>
                <a:srgbClr val="002060"/>
              </a:solidFill>
              <a:latin typeface="Verdana" panose="020B0604030504040204" pitchFamily="34" charset="0"/>
              <a:ea typeface="Verdana" panose="020B0604030504040204" pitchFamily="34" charset="0"/>
            </a:rPr>
            <a:t> </a:t>
          </a:r>
          <a:r>
            <a:rPr lang="lv-LV" sz="1800" b="1">
              <a:solidFill>
                <a:srgbClr val="002060"/>
              </a:solidFill>
              <a:latin typeface="Verdana" panose="020B0604030504040204" pitchFamily="34" charset="0"/>
              <a:ea typeface="Verdana" panose="020B0604030504040204" pitchFamily="34" charset="0"/>
            </a:rPr>
            <a:t>piešķīrums*         </a:t>
          </a:r>
          <a:r>
            <a:rPr lang="lv-LV" sz="1800" b="1">
              <a:solidFill>
                <a:srgbClr val="C00000"/>
              </a:solidFill>
              <a:latin typeface="Verdana" panose="020B0604030504040204" pitchFamily="34" charset="0"/>
              <a:ea typeface="Verdana" panose="020B0604030504040204" pitchFamily="34" charset="0"/>
            </a:rPr>
            <a:t>Virssaistības*   </a:t>
          </a:r>
        </a:p>
        <a:p xmlns:a="http://schemas.openxmlformats.org/drawingml/2006/main">
          <a:pPr algn="r"/>
          <a:r>
            <a:rPr lang="lv-LV" sz="1800" b="1">
              <a:solidFill>
                <a:srgbClr val="002060"/>
              </a:solidFill>
              <a:latin typeface="Verdana" panose="020B0604030504040204" pitchFamily="34" charset="0"/>
              <a:ea typeface="Verdana" panose="020B0604030504040204" pitchFamily="34" charset="0"/>
            </a:rPr>
            <a:t>(milj. </a:t>
          </a:r>
          <a:r>
            <a:rPr lang="lv-LV" sz="1800" b="1">
              <a:solidFill>
                <a:srgbClr val="002060"/>
              </a:solidFill>
              <a:latin typeface="Verdana" panose="020B0604030504040204" pitchFamily="34" charset="0"/>
              <a:ea typeface="Verdana" panose="020B0604030504040204" pitchFamily="34" charset="0"/>
              <a:cs typeface="Times New Roman" panose="02020603050405020304" pitchFamily="18" charset="0"/>
            </a:rPr>
            <a:t>€)</a:t>
          </a:r>
          <a:r>
            <a:rPr lang="lv-LV" sz="1800" b="1">
              <a:solidFill>
                <a:srgbClr val="FF0000"/>
              </a:solidFill>
              <a:latin typeface="Verdana" panose="020B0604030504040204" pitchFamily="34" charset="0"/>
              <a:ea typeface="Verdana" panose="020B0604030504040204" pitchFamily="34" charset="0"/>
              <a:cs typeface="Times New Roman" panose="02020603050405020304" pitchFamily="18" charset="0"/>
            </a:rPr>
            <a:t> </a:t>
          </a:r>
          <a:r>
            <a:rPr lang="lv-LV" sz="1800" b="1">
              <a:solidFill>
                <a:srgbClr val="C00000"/>
              </a:solidFill>
              <a:latin typeface="Verdana" panose="020B0604030504040204" pitchFamily="34" charset="0"/>
              <a:ea typeface="Verdana" panose="020B0604030504040204" pitchFamily="34" charset="0"/>
              <a:cs typeface="Times New Roman" panose="02020603050405020304" pitchFamily="18" charset="0"/>
            </a:rPr>
            <a:t>(ES fondi indikatīvi</a:t>
          </a:r>
        </a:p>
        <a:p xmlns:a="http://schemas.openxmlformats.org/drawingml/2006/main">
          <a:pPr algn="r"/>
          <a:r>
            <a:rPr lang="lv-LV" sz="1800" b="1" baseline="0">
              <a:solidFill>
                <a:srgbClr val="C00000"/>
              </a:solidFill>
              <a:latin typeface="Verdana" panose="020B0604030504040204" pitchFamily="34" charset="0"/>
              <a:ea typeface="Verdana" panose="020B0604030504040204" pitchFamily="34" charset="0"/>
              <a:cs typeface="Times New Roman" panose="02020603050405020304" pitchFamily="18" charset="0"/>
            </a:rPr>
            <a:t>224 milj. €</a:t>
          </a:r>
          <a:r>
            <a:rPr lang="lv-LV" sz="1800" b="1">
              <a:solidFill>
                <a:srgbClr val="C00000"/>
              </a:solidFill>
              <a:latin typeface="Verdana" panose="020B0604030504040204" pitchFamily="34" charset="0"/>
              <a:ea typeface="Verdana" panose="020B0604030504040204" pitchFamily="34" charset="0"/>
              <a:cs typeface="Times New Roman" panose="02020603050405020304" pitchFamily="18" charset="0"/>
            </a:rPr>
            <a:t>)</a:t>
          </a:r>
          <a:endParaRPr lang="lv-LV" sz="1800" b="1">
            <a:solidFill>
              <a:srgbClr val="002060"/>
            </a:solidFill>
            <a:latin typeface="Verdana" panose="020B0604030504040204" pitchFamily="34" charset="0"/>
            <a:ea typeface="Verdana" panose="020B0604030504040204" pitchFamily="34" charset="0"/>
            <a:cs typeface="Times New Roman" panose="02020603050405020304" pitchFamily="18" charset="0"/>
          </a:endParaRPr>
        </a:p>
      </cdr:txBody>
    </cdr:sp>
  </cdr:relSizeAnchor>
  <cdr:relSizeAnchor xmlns:cdr="http://schemas.openxmlformats.org/drawingml/2006/chartDrawing">
    <cdr:from>
      <cdr:x>0.73847</cdr:x>
      <cdr:y>0.08359</cdr:y>
    </cdr:from>
    <cdr:to>
      <cdr:x>0.82018</cdr:x>
      <cdr:y>0.94547</cdr:y>
    </cdr:to>
    <cdr:grpSp>
      <cdr:nvGrpSpPr>
        <cdr:cNvPr id="2" name="Group 1">
          <a:extLst xmlns:a="http://schemas.openxmlformats.org/drawingml/2006/main">
            <a:ext uri="{FF2B5EF4-FFF2-40B4-BE49-F238E27FC236}">
              <a16:creationId xmlns:a16="http://schemas.microsoft.com/office/drawing/2014/main" id="{8EE125FC-35CB-4B0C-87DC-F0E3C57A7226}"/>
            </a:ext>
          </a:extLst>
        </cdr:cNvPr>
        <cdr:cNvGrpSpPr/>
      </cdr:nvGrpSpPr>
      <cdr:grpSpPr>
        <a:xfrm xmlns:a="http://schemas.openxmlformats.org/drawingml/2006/main">
          <a:off x="13270676" y="920932"/>
          <a:ext cx="1468370" cy="9495548"/>
          <a:chOff x="7434746" y="723638"/>
          <a:chExt cx="947880" cy="7209041"/>
        </a:xfrm>
      </cdr:grpSpPr>
      <cdr:sp macro="" textlink="">
        <cdr:nvSpPr>
          <cdr:cNvPr id="3" name="TextBox 2"/>
          <cdr:cNvSpPr txBox="1"/>
        </cdr:nvSpPr>
        <cdr:spPr>
          <a:xfrm xmlns:a="http://schemas.openxmlformats.org/drawingml/2006/main">
            <a:off x="7434746" y="723638"/>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1 216</a:t>
            </a:r>
          </a:p>
        </cdr:txBody>
      </cdr:sp>
      <cdr:sp macro="" textlink="">
        <cdr:nvSpPr>
          <cdr:cNvPr id="4" name="TextBox 2"/>
          <cdr:cNvSpPr txBox="1"/>
        </cdr:nvSpPr>
        <cdr:spPr>
          <a:xfrm xmlns:a="http://schemas.openxmlformats.org/drawingml/2006/main">
            <a:off x="7490327" y="1418933"/>
            <a:ext cx="850301" cy="307141"/>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841</a:t>
            </a:r>
            <a:endParaRPr lang="lv-LV" sz="2400" b="1">
              <a:solidFill>
                <a:schemeClr val="accent3">
                  <a:lumMod val="75000"/>
                </a:schemeClr>
              </a:solidFill>
            </a:endParaRPr>
          </a:p>
        </cdr:txBody>
      </cdr:sp>
      <cdr:sp macro="" textlink="">
        <cdr:nvSpPr>
          <cdr:cNvPr id="5" name="TextBox 2"/>
          <cdr:cNvSpPr txBox="1"/>
        </cdr:nvSpPr>
        <cdr:spPr>
          <a:xfrm xmlns:a="http://schemas.openxmlformats.org/drawingml/2006/main">
            <a:off x="7520765" y="2104190"/>
            <a:ext cx="850301" cy="30714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835</a:t>
            </a:r>
            <a:r>
              <a:rPr lang="lv-LV" sz="2400" b="1" baseline="0">
                <a:solidFill>
                  <a:schemeClr val="accent5">
                    <a:lumMod val="50000"/>
                  </a:schemeClr>
                </a:solidFill>
              </a:rPr>
              <a:t> </a:t>
            </a:r>
            <a:endParaRPr lang="lv-LV" sz="2400" b="1">
              <a:solidFill>
                <a:schemeClr val="accent3">
                  <a:lumMod val="75000"/>
                </a:schemeClr>
              </a:solidFill>
            </a:endParaRPr>
          </a:p>
        </cdr:txBody>
      </cdr:sp>
      <cdr:sp macro="" textlink="">
        <cdr:nvSpPr>
          <cdr:cNvPr id="6" name="TextBox 2"/>
          <cdr:cNvSpPr txBox="1"/>
        </cdr:nvSpPr>
        <cdr:spPr>
          <a:xfrm xmlns:a="http://schemas.openxmlformats.org/drawingml/2006/main">
            <a:off x="7508346" y="2783275"/>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746</a:t>
            </a:r>
            <a:r>
              <a:rPr lang="lv-LV" sz="2400" b="1" baseline="0">
                <a:solidFill>
                  <a:schemeClr val="accent5">
                    <a:lumMod val="50000"/>
                  </a:schemeClr>
                </a:solidFill>
              </a:rPr>
              <a:t> </a:t>
            </a:r>
            <a:endParaRPr lang="lv-LV" sz="2400" b="1">
              <a:solidFill>
                <a:schemeClr val="accent3">
                  <a:lumMod val="75000"/>
                </a:schemeClr>
              </a:solidFill>
            </a:endParaRPr>
          </a:p>
        </cdr:txBody>
      </cdr:sp>
      <cdr:sp macro="" textlink="">
        <cdr:nvSpPr>
          <cdr:cNvPr id="7" name="TextBox 2"/>
          <cdr:cNvSpPr txBox="1"/>
        </cdr:nvSpPr>
        <cdr:spPr>
          <a:xfrm xmlns:a="http://schemas.openxmlformats.org/drawingml/2006/main">
            <a:off x="7492654" y="3501634"/>
            <a:ext cx="850185"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393</a:t>
            </a:r>
            <a:endParaRPr lang="lv-LV" sz="2400" b="1">
              <a:solidFill>
                <a:schemeClr val="accent3">
                  <a:lumMod val="75000"/>
                </a:schemeClr>
              </a:solidFill>
            </a:endParaRPr>
          </a:p>
        </cdr:txBody>
      </cdr:sp>
      <cdr:sp macro="" textlink="">
        <cdr:nvSpPr>
          <cdr:cNvPr id="8" name="TextBox 2"/>
          <cdr:cNvSpPr txBox="1"/>
        </cdr:nvSpPr>
        <cdr:spPr>
          <a:xfrm xmlns:a="http://schemas.openxmlformats.org/drawingml/2006/main">
            <a:off x="7532325" y="4868385"/>
            <a:ext cx="850301" cy="307141"/>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136</a:t>
            </a:r>
            <a:endParaRPr lang="lv-LV" sz="2400" b="1">
              <a:solidFill>
                <a:schemeClr val="accent3">
                  <a:lumMod val="75000"/>
                </a:schemeClr>
              </a:solidFill>
            </a:endParaRPr>
          </a:p>
        </cdr:txBody>
      </cdr:sp>
      <cdr:sp macro="" textlink="">
        <cdr:nvSpPr>
          <cdr:cNvPr id="9" name="TextBox 2"/>
          <cdr:cNvSpPr txBox="1"/>
        </cdr:nvSpPr>
        <cdr:spPr>
          <a:xfrm xmlns:a="http://schemas.openxmlformats.org/drawingml/2006/main">
            <a:off x="7494025" y="4160027"/>
            <a:ext cx="850185" cy="30714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346</a:t>
            </a:r>
            <a:endParaRPr lang="lv-LV" sz="2400" b="1">
              <a:solidFill>
                <a:schemeClr val="accent3">
                  <a:lumMod val="75000"/>
                </a:schemeClr>
              </a:solidFill>
            </a:endParaRPr>
          </a:p>
        </cdr:txBody>
      </cdr:sp>
      <cdr:sp macro="" textlink="">
        <cdr:nvSpPr>
          <cdr:cNvPr id="10" name="TextBox 2"/>
          <cdr:cNvSpPr txBox="1"/>
        </cdr:nvSpPr>
        <cdr:spPr>
          <a:xfrm xmlns:a="http://schemas.openxmlformats.org/drawingml/2006/main">
            <a:off x="7523748" y="5580974"/>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101</a:t>
            </a:r>
          </a:p>
        </cdr:txBody>
      </cdr:sp>
      <cdr:sp macro="" textlink="">
        <cdr:nvSpPr>
          <cdr:cNvPr id="11" name="TextBox 2"/>
          <cdr:cNvSpPr txBox="1"/>
        </cdr:nvSpPr>
        <cdr:spPr>
          <a:xfrm xmlns:a="http://schemas.openxmlformats.org/drawingml/2006/main">
            <a:off x="7522709" y="6247198"/>
            <a:ext cx="850185" cy="307056"/>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0</a:t>
            </a:r>
          </a:p>
        </cdr:txBody>
      </cdr:sp>
      <cdr:sp macro="" textlink="">
        <cdr:nvSpPr>
          <cdr:cNvPr id="12" name="TextBox 2"/>
          <cdr:cNvSpPr txBox="1"/>
        </cdr:nvSpPr>
        <cdr:spPr>
          <a:xfrm xmlns:a="http://schemas.openxmlformats.org/drawingml/2006/main">
            <a:off x="7521896" y="6897445"/>
            <a:ext cx="850301" cy="307056"/>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17</a:t>
            </a:r>
          </a:p>
        </cdr:txBody>
      </cdr:sp>
      <cdr:sp macro="" textlink="">
        <cdr:nvSpPr>
          <cdr:cNvPr id="74" name="TextBox 2"/>
          <cdr:cNvSpPr txBox="1"/>
        </cdr:nvSpPr>
        <cdr:spPr>
          <a:xfrm xmlns:a="http://schemas.openxmlformats.org/drawingml/2006/main">
            <a:off x="7519245" y="7625622"/>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9</a:t>
            </a:r>
          </a:p>
        </cdr:txBody>
      </cdr:sp>
    </cdr:grpSp>
  </cdr:relSizeAnchor>
  <cdr:relSizeAnchor xmlns:cdr="http://schemas.openxmlformats.org/drawingml/2006/chartDrawing">
    <cdr:from>
      <cdr:x>0.21425</cdr:x>
      <cdr:y>0.95803</cdr:y>
    </cdr:from>
    <cdr:to>
      <cdr:x>0.89314</cdr:x>
      <cdr:y>1</cdr:y>
    </cdr:to>
    <cdr:sp macro="" textlink="">
      <cdr:nvSpPr>
        <cdr:cNvPr id="75" name="TextBox 74"/>
        <cdr:cNvSpPr txBox="1"/>
      </cdr:nvSpPr>
      <cdr:spPr>
        <a:xfrm xmlns:a="http://schemas.openxmlformats.org/drawingml/2006/main">
          <a:off x="1811439" y="7578767"/>
          <a:ext cx="5739741" cy="3320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lv-LV" sz="1100"/>
        </a:p>
      </cdr:txBody>
    </cdr:sp>
  </cdr:relSizeAnchor>
  <cdr:relSizeAnchor xmlns:cdr="http://schemas.openxmlformats.org/drawingml/2006/chartDrawing">
    <cdr:from>
      <cdr:x>0.26802</cdr:x>
      <cdr:y>0.90643</cdr:y>
    </cdr:from>
    <cdr:to>
      <cdr:x>0.64051</cdr:x>
      <cdr:y>0.99216</cdr:y>
    </cdr:to>
    <cdr:sp macro="" textlink="">
      <cdr:nvSpPr>
        <cdr:cNvPr id="76" name="TextBox 75"/>
        <cdr:cNvSpPr txBox="1"/>
      </cdr:nvSpPr>
      <cdr:spPr>
        <a:xfrm xmlns:a="http://schemas.openxmlformats.org/drawingml/2006/main">
          <a:off x="4620303" y="9697410"/>
          <a:ext cx="6421225" cy="9171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lv-LV" sz="1700" b="1" i="1">
              <a:solidFill>
                <a:srgbClr val="002060"/>
              </a:solidFill>
            </a:rPr>
            <a:t>*</a:t>
          </a:r>
          <a:r>
            <a:rPr lang="lv-LV" sz="1700" b="1" i="1" baseline="0">
              <a:solidFill>
                <a:srgbClr val="002060"/>
              </a:solidFill>
            </a:rPr>
            <a:t> t.sk. finasējum</a:t>
          </a:r>
          <a:r>
            <a:rPr lang="lv-LV" sz="1700" b="1" i="1" baseline="0">
              <a:solidFill>
                <a:srgbClr val="002060"/>
              </a:solidFill>
              <a:latin typeface="+mn-lt"/>
              <a:ea typeface="+mn-ea"/>
              <a:cs typeface="+mn-cs"/>
            </a:rPr>
            <a:t>s, par kuru plānots virzīt MK noteikumu grozījumus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lv-LV" sz="1700" b="1" i="1" baseline="0">
              <a:solidFill>
                <a:srgbClr val="002060"/>
              </a:solidFill>
              <a:latin typeface="+mn-lt"/>
              <a:ea typeface="+mn-ea"/>
              <a:cs typeface="+mn-cs"/>
            </a:rPr>
            <a:t>Virssaistības ņemot vērā MK 08.06.2021.32.§ lemto par virssaistību pārcelšanu uz React-EU</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lv-LV" sz="1700" b="1" i="1" baseline="0">
              <a:solidFill>
                <a:srgbClr val="002060"/>
              </a:solidFill>
              <a:latin typeface="+mn-lt"/>
              <a:ea typeface="+mn-ea"/>
              <a:cs typeface="+mn-cs"/>
            </a:rPr>
            <a:t>kā ari EK lēmumu par REACT EU 2.pārskaitījumu un pāreju uz 100% likmi.</a:t>
          </a:r>
        </a:p>
        <a:p xmlns:a="http://schemas.openxmlformats.org/drawingml/2006/main">
          <a:endParaRPr lang="lv-LV" sz="1700" b="1" i="1">
            <a:solidFill>
              <a:srgbClr val="002060"/>
            </a:solidFill>
          </a:endParaRPr>
        </a:p>
      </cdr:txBody>
    </cdr:sp>
  </cdr:relSizeAnchor>
  <cdr:relSizeAnchor xmlns:cdr="http://schemas.openxmlformats.org/drawingml/2006/chartDrawing">
    <cdr:from>
      <cdr:x>0.87947</cdr:x>
      <cdr:y>0.1644</cdr:y>
    </cdr:from>
    <cdr:to>
      <cdr:x>0.95276</cdr:x>
      <cdr:y>0.20112</cdr:y>
    </cdr:to>
    <cdr:sp macro="" textlink="">
      <cdr:nvSpPr>
        <cdr:cNvPr id="19" name="TextBox 2"/>
        <cdr:cNvSpPr txBox="1"/>
      </cdr:nvSpPr>
      <cdr:spPr>
        <a:xfrm xmlns:a="http://schemas.openxmlformats.org/drawingml/2006/main">
          <a:off x="15160891" y="1758818"/>
          <a:ext cx="1263421"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+ 109</a:t>
          </a:r>
        </a:p>
      </cdr:txBody>
    </cdr:sp>
  </cdr:relSizeAnchor>
  <cdr:relSizeAnchor xmlns:cdr="http://schemas.openxmlformats.org/drawingml/2006/chartDrawing">
    <cdr:from>
      <cdr:x>0.87605</cdr:x>
      <cdr:y>0.24748</cdr:y>
    </cdr:from>
    <cdr:to>
      <cdr:x>0.94935</cdr:x>
      <cdr:y>0.2842</cdr:y>
    </cdr:to>
    <cdr:sp macro="" textlink="">
      <cdr:nvSpPr>
        <cdr:cNvPr id="20" name="TextBox 2"/>
        <cdr:cNvSpPr txBox="1"/>
      </cdr:nvSpPr>
      <cdr:spPr>
        <a:xfrm xmlns:a="http://schemas.openxmlformats.org/drawingml/2006/main">
          <a:off x="15101932" y="2647653"/>
          <a:ext cx="1263593"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+ 9</a:t>
          </a:r>
        </a:p>
      </cdr:txBody>
    </cdr:sp>
  </cdr:relSizeAnchor>
  <cdr:relSizeAnchor xmlns:cdr="http://schemas.openxmlformats.org/drawingml/2006/chartDrawing">
    <cdr:from>
      <cdr:x>0.8808</cdr:x>
      <cdr:y>0.33338</cdr:y>
    </cdr:from>
    <cdr:to>
      <cdr:x>0.9541</cdr:x>
      <cdr:y>0.37009</cdr:y>
    </cdr:to>
    <cdr:sp macro="" textlink="">
      <cdr:nvSpPr>
        <cdr:cNvPr id="21" name="TextBox 2"/>
        <cdr:cNvSpPr txBox="1"/>
      </cdr:nvSpPr>
      <cdr:spPr>
        <a:xfrm xmlns:a="http://schemas.openxmlformats.org/drawingml/2006/main">
          <a:off x="15183883" y="3566673"/>
          <a:ext cx="1263593" cy="392742"/>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47</a:t>
          </a:r>
          <a:endParaRPr lang="lv-LV" sz="2400" b="1">
            <a:solidFill>
              <a:srgbClr val="C00000"/>
            </a:solidFill>
          </a:endParaRPr>
        </a:p>
      </cdr:txBody>
    </cdr:sp>
  </cdr:relSizeAnchor>
  <cdr:relSizeAnchor xmlns:cdr="http://schemas.openxmlformats.org/drawingml/2006/chartDrawing">
    <cdr:from>
      <cdr:x>0.88133</cdr:x>
      <cdr:y>0.7427</cdr:y>
    </cdr:from>
    <cdr:to>
      <cdr:x>0.95462</cdr:x>
      <cdr:y>0.77942</cdr:y>
    </cdr:to>
    <cdr:sp macro="" textlink="">
      <cdr:nvSpPr>
        <cdr:cNvPr id="23" name="TextBox 2"/>
        <cdr:cNvSpPr txBox="1"/>
      </cdr:nvSpPr>
      <cdr:spPr>
        <a:xfrm xmlns:a="http://schemas.openxmlformats.org/drawingml/2006/main">
          <a:off x="15192924" y="7945804"/>
          <a:ext cx="1263421" cy="392849"/>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3</a:t>
          </a:r>
          <a:r>
            <a:rPr lang="lv-LV" sz="2400" b="1">
              <a:solidFill>
                <a:srgbClr val="C00000"/>
              </a:solidFill>
            </a:rPr>
            <a:t>7</a:t>
          </a:r>
        </a:p>
      </cdr:txBody>
    </cdr:sp>
  </cdr:relSizeAnchor>
  <cdr:relSizeAnchor xmlns:cdr="http://schemas.openxmlformats.org/drawingml/2006/chartDrawing">
    <cdr:from>
      <cdr:x>0.88026</cdr:x>
      <cdr:y>0.49376</cdr:y>
    </cdr:from>
    <cdr:to>
      <cdr:x>0.95355</cdr:x>
      <cdr:y>0.53048</cdr:y>
    </cdr:to>
    <cdr:sp macro="" textlink="">
      <cdr:nvSpPr>
        <cdr:cNvPr id="24" name="TextBox 2"/>
        <cdr:cNvSpPr txBox="1"/>
      </cdr:nvSpPr>
      <cdr:spPr>
        <a:xfrm xmlns:a="http://schemas.openxmlformats.org/drawingml/2006/main">
          <a:off x="15174417" y="5282501"/>
          <a:ext cx="1263420"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+ 15</a:t>
          </a:r>
        </a:p>
      </cdr:txBody>
    </cdr:sp>
  </cdr:relSizeAnchor>
  <cdr:relSizeAnchor xmlns:cdr="http://schemas.openxmlformats.org/drawingml/2006/chartDrawing">
    <cdr:from>
      <cdr:x>0.87503</cdr:x>
      <cdr:y>0.41429</cdr:y>
    </cdr:from>
    <cdr:to>
      <cdr:x>0.94833</cdr:x>
      <cdr:y>0.451</cdr:y>
    </cdr:to>
    <cdr:sp macro="" textlink="">
      <cdr:nvSpPr>
        <cdr:cNvPr id="22" name="TextBox 2">
          <a:extLst xmlns:a="http://schemas.openxmlformats.org/drawingml/2006/main">
            <a:ext uri="{FF2B5EF4-FFF2-40B4-BE49-F238E27FC236}">
              <a16:creationId xmlns:a16="http://schemas.microsoft.com/office/drawing/2014/main" id="{9038B97E-DBE1-41AA-AEDB-4A431EE4D671}"/>
            </a:ext>
          </a:extLst>
        </cdr:cNvPr>
        <cdr:cNvSpPr txBox="1"/>
      </cdr:nvSpPr>
      <cdr:spPr>
        <a:xfrm xmlns:a="http://schemas.openxmlformats.org/drawingml/2006/main">
          <a:off x="15084385" y="4432290"/>
          <a:ext cx="1263593" cy="392743"/>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1</a:t>
          </a:r>
          <a:endParaRPr lang="lv-LV" sz="2400" b="1">
            <a:solidFill>
              <a:srgbClr val="C00000"/>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2166924</xdr:colOff>
      <xdr:row>2</xdr:row>
      <xdr:rowOff>57150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4" name="Picture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 name="Picture 4">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7" name="Picture 6">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 name="Picture 8">
          <a:extLst>
            <a:ext uri="{FF2B5EF4-FFF2-40B4-BE49-F238E27FC236}">
              <a16:creationId xmlns:a16="http://schemas.microsoft.com/office/drawing/2014/main" id="{00000000-0008-0000-0A00-00000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 name="Picture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 name="Picture 10">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3" name="Picture 12">
          <a:extLst>
            <a:ext uri="{FF2B5EF4-FFF2-40B4-BE49-F238E27FC236}">
              <a16:creationId xmlns:a16="http://schemas.microsoft.com/office/drawing/2014/main" id="{00000000-0008-0000-0A00-00000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2" name="Picture 11">
          <a:extLst>
            <a:ext uri="{FF2B5EF4-FFF2-40B4-BE49-F238E27FC236}">
              <a16:creationId xmlns:a16="http://schemas.microsoft.com/office/drawing/2014/main" id="{00000000-0008-0000-0A00-00000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4" name="Picture 13">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6" name="Picture 15">
          <a:extLst>
            <a:ext uri="{FF2B5EF4-FFF2-40B4-BE49-F238E27FC236}">
              <a16:creationId xmlns:a16="http://schemas.microsoft.com/office/drawing/2014/main" id="{00000000-0008-0000-0A00-00001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5" name="Picture 14">
          <a:extLst>
            <a:ext uri="{FF2B5EF4-FFF2-40B4-BE49-F238E27FC236}">
              <a16:creationId xmlns:a16="http://schemas.microsoft.com/office/drawing/2014/main" id="{00000000-0008-0000-0A00-00000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7" name="Picture 16">
          <a:extLst>
            <a:ext uri="{FF2B5EF4-FFF2-40B4-BE49-F238E27FC236}">
              <a16:creationId xmlns:a16="http://schemas.microsoft.com/office/drawing/2014/main" id="{00000000-0008-0000-0A00-00001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8" name="Picture 17">
          <a:extLst>
            <a:ext uri="{FF2B5EF4-FFF2-40B4-BE49-F238E27FC236}">
              <a16:creationId xmlns:a16="http://schemas.microsoft.com/office/drawing/2014/main" id="{00000000-0008-0000-0A00-00001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9" name="Picture 18">
          <a:extLst>
            <a:ext uri="{FF2B5EF4-FFF2-40B4-BE49-F238E27FC236}">
              <a16:creationId xmlns:a16="http://schemas.microsoft.com/office/drawing/2014/main" id="{00000000-0008-0000-0A00-00001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0" name="Picture 19">
          <a:extLst>
            <a:ext uri="{FF2B5EF4-FFF2-40B4-BE49-F238E27FC236}">
              <a16:creationId xmlns:a16="http://schemas.microsoft.com/office/drawing/2014/main" id="{00000000-0008-0000-0A00-00001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1" name="Picture 20">
          <a:extLst>
            <a:ext uri="{FF2B5EF4-FFF2-40B4-BE49-F238E27FC236}">
              <a16:creationId xmlns:a16="http://schemas.microsoft.com/office/drawing/2014/main" id="{00000000-0008-0000-0A00-00001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2" name="Picture 21">
          <a:extLst>
            <a:ext uri="{FF2B5EF4-FFF2-40B4-BE49-F238E27FC236}">
              <a16:creationId xmlns:a16="http://schemas.microsoft.com/office/drawing/2014/main" id="{00000000-0008-0000-0A00-00001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3" name="Picture 22">
          <a:extLst>
            <a:ext uri="{FF2B5EF4-FFF2-40B4-BE49-F238E27FC236}">
              <a16:creationId xmlns:a16="http://schemas.microsoft.com/office/drawing/2014/main" id="{00000000-0008-0000-0A00-000017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4" name="Picture 23">
          <a:extLst>
            <a:ext uri="{FF2B5EF4-FFF2-40B4-BE49-F238E27FC236}">
              <a16:creationId xmlns:a16="http://schemas.microsoft.com/office/drawing/2014/main" id="{00000000-0008-0000-0A00-000018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5" name="Picture 24">
          <a:extLst>
            <a:ext uri="{FF2B5EF4-FFF2-40B4-BE49-F238E27FC236}">
              <a16:creationId xmlns:a16="http://schemas.microsoft.com/office/drawing/2014/main" id="{00000000-0008-0000-0A00-00001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6" name="Picture 25">
          <a:extLst>
            <a:ext uri="{FF2B5EF4-FFF2-40B4-BE49-F238E27FC236}">
              <a16:creationId xmlns:a16="http://schemas.microsoft.com/office/drawing/2014/main" id="{00000000-0008-0000-0A00-00001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7" name="Picture 26">
          <a:extLst>
            <a:ext uri="{FF2B5EF4-FFF2-40B4-BE49-F238E27FC236}">
              <a16:creationId xmlns:a16="http://schemas.microsoft.com/office/drawing/2014/main" id="{00000000-0008-0000-0A00-00001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8" name="Picture 27">
          <a:extLst>
            <a:ext uri="{FF2B5EF4-FFF2-40B4-BE49-F238E27FC236}">
              <a16:creationId xmlns:a16="http://schemas.microsoft.com/office/drawing/2014/main" id="{00000000-0008-0000-0A00-00001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9" name="Picture 28">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0" name="Picture 29">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1" name="Picture 30">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2" name="Picture 31">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3" name="Picture 32">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4" name="Picture 33">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5" name="Picture 34">
          <a:extLst>
            <a:ext uri="{FF2B5EF4-FFF2-40B4-BE49-F238E27FC236}">
              <a16:creationId xmlns:a16="http://schemas.microsoft.com/office/drawing/2014/main" id="{00000000-0008-0000-0A00-00002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6" name="Picture 35">
          <a:extLst>
            <a:ext uri="{FF2B5EF4-FFF2-40B4-BE49-F238E27FC236}">
              <a16:creationId xmlns:a16="http://schemas.microsoft.com/office/drawing/2014/main" id="{00000000-0008-0000-0A00-00002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7" name="Picture 36">
          <a:extLst>
            <a:ext uri="{FF2B5EF4-FFF2-40B4-BE49-F238E27FC236}">
              <a16:creationId xmlns:a16="http://schemas.microsoft.com/office/drawing/2014/main" id="{00000000-0008-0000-0A00-00002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8" name="Picture 37">
          <a:extLst>
            <a:ext uri="{FF2B5EF4-FFF2-40B4-BE49-F238E27FC236}">
              <a16:creationId xmlns:a16="http://schemas.microsoft.com/office/drawing/2014/main" id="{00000000-0008-0000-0A00-00002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9" name="Picture 38">
          <a:extLst>
            <a:ext uri="{FF2B5EF4-FFF2-40B4-BE49-F238E27FC236}">
              <a16:creationId xmlns:a16="http://schemas.microsoft.com/office/drawing/2014/main" id="{00000000-0008-0000-0A00-000027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0" name="Picture 39">
          <a:extLst>
            <a:ext uri="{FF2B5EF4-FFF2-40B4-BE49-F238E27FC236}">
              <a16:creationId xmlns:a16="http://schemas.microsoft.com/office/drawing/2014/main" id="{00000000-0008-0000-0A00-000028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1" name="Picture 40">
          <a:extLst>
            <a:ext uri="{FF2B5EF4-FFF2-40B4-BE49-F238E27FC236}">
              <a16:creationId xmlns:a16="http://schemas.microsoft.com/office/drawing/2014/main" id="{00000000-0008-0000-0A00-00002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2" name="Picture 41">
          <a:extLst>
            <a:ext uri="{FF2B5EF4-FFF2-40B4-BE49-F238E27FC236}">
              <a16:creationId xmlns:a16="http://schemas.microsoft.com/office/drawing/2014/main" id="{00000000-0008-0000-0A00-00002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3" name="Picture 42">
          <a:extLst>
            <a:ext uri="{FF2B5EF4-FFF2-40B4-BE49-F238E27FC236}">
              <a16:creationId xmlns:a16="http://schemas.microsoft.com/office/drawing/2014/main" id="{00000000-0008-0000-0A00-00002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4" name="Picture 43">
          <a:extLst>
            <a:ext uri="{FF2B5EF4-FFF2-40B4-BE49-F238E27FC236}">
              <a16:creationId xmlns:a16="http://schemas.microsoft.com/office/drawing/2014/main" id="{00000000-0008-0000-0A00-00002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5" name="Picture 44">
          <a:extLst>
            <a:ext uri="{FF2B5EF4-FFF2-40B4-BE49-F238E27FC236}">
              <a16:creationId xmlns:a16="http://schemas.microsoft.com/office/drawing/2014/main" id="{00000000-0008-0000-0A00-00002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6" name="Picture 45">
          <a:extLst>
            <a:ext uri="{FF2B5EF4-FFF2-40B4-BE49-F238E27FC236}">
              <a16:creationId xmlns:a16="http://schemas.microsoft.com/office/drawing/2014/main" id="{00000000-0008-0000-0A00-00002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7" name="Picture 46">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8" name="Picture 47">
          <a:extLst>
            <a:ext uri="{FF2B5EF4-FFF2-40B4-BE49-F238E27FC236}">
              <a16:creationId xmlns:a16="http://schemas.microsoft.com/office/drawing/2014/main" id="{00000000-0008-0000-0A00-00003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9" name="Picture 48">
          <a:extLst>
            <a:ext uri="{FF2B5EF4-FFF2-40B4-BE49-F238E27FC236}">
              <a16:creationId xmlns:a16="http://schemas.microsoft.com/office/drawing/2014/main" id="{00000000-0008-0000-0A00-00003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50" name="Picture 49">
          <a:extLst>
            <a:ext uri="{FF2B5EF4-FFF2-40B4-BE49-F238E27FC236}">
              <a16:creationId xmlns:a16="http://schemas.microsoft.com/office/drawing/2014/main" id="{00000000-0008-0000-0A00-00003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51" name="Picture 50">
          <a:extLst>
            <a:ext uri="{FF2B5EF4-FFF2-40B4-BE49-F238E27FC236}">
              <a16:creationId xmlns:a16="http://schemas.microsoft.com/office/drawing/2014/main" id="{00000000-0008-0000-0A00-00003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52" name="Picture 51">
          <a:extLst>
            <a:ext uri="{FF2B5EF4-FFF2-40B4-BE49-F238E27FC236}">
              <a16:creationId xmlns:a16="http://schemas.microsoft.com/office/drawing/2014/main" id="{00000000-0008-0000-0A00-00003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53" name="Picture 52">
          <a:extLst>
            <a:ext uri="{FF2B5EF4-FFF2-40B4-BE49-F238E27FC236}">
              <a16:creationId xmlns:a16="http://schemas.microsoft.com/office/drawing/2014/main" id="{00000000-0008-0000-0A00-00003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54" name="Picture 53">
          <a:extLst>
            <a:ext uri="{FF2B5EF4-FFF2-40B4-BE49-F238E27FC236}">
              <a16:creationId xmlns:a16="http://schemas.microsoft.com/office/drawing/2014/main" id="{00000000-0008-0000-0A00-00003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5" name="Picture 54">
          <a:extLst>
            <a:ext uri="{FF2B5EF4-FFF2-40B4-BE49-F238E27FC236}">
              <a16:creationId xmlns:a16="http://schemas.microsoft.com/office/drawing/2014/main" id="{00000000-0008-0000-0A00-000037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6" name="Picture 55">
          <a:extLst>
            <a:ext uri="{FF2B5EF4-FFF2-40B4-BE49-F238E27FC236}">
              <a16:creationId xmlns:a16="http://schemas.microsoft.com/office/drawing/2014/main" id="{00000000-0008-0000-0A00-000038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7" name="Picture 56">
          <a:extLst>
            <a:ext uri="{FF2B5EF4-FFF2-40B4-BE49-F238E27FC236}">
              <a16:creationId xmlns:a16="http://schemas.microsoft.com/office/drawing/2014/main" id="{00000000-0008-0000-0A00-000039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8" name="Picture 57">
          <a:extLst>
            <a:ext uri="{FF2B5EF4-FFF2-40B4-BE49-F238E27FC236}">
              <a16:creationId xmlns:a16="http://schemas.microsoft.com/office/drawing/2014/main" id="{00000000-0008-0000-0A00-00003A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9" name="Picture 58">
          <a:extLst>
            <a:ext uri="{FF2B5EF4-FFF2-40B4-BE49-F238E27FC236}">
              <a16:creationId xmlns:a16="http://schemas.microsoft.com/office/drawing/2014/main" id="{00000000-0008-0000-0A00-00003B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60" name="Picture 59">
          <a:extLst>
            <a:ext uri="{FF2B5EF4-FFF2-40B4-BE49-F238E27FC236}">
              <a16:creationId xmlns:a16="http://schemas.microsoft.com/office/drawing/2014/main" id="{00000000-0008-0000-0A00-00003C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1" name="Picture 60">
          <a:extLst>
            <a:ext uri="{FF2B5EF4-FFF2-40B4-BE49-F238E27FC236}">
              <a16:creationId xmlns:a16="http://schemas.microsoft.com/office/drawing/2014/main" id="{00000000-0008-0000-0A00-00003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2" name="Picture 61">
          <a:extLst>
            <a:ext uri="{FF2B5EF4-FFF2-40B4-BE49-F238E27FC236}">
              <a16:creationId xmlns:a16="http://schemas.microsoft.com/office/drawing/2014/main" id="{00000000-0008-0000-0A00-00003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3" name="Picture 62">
          <a:extLst>
            <a:ext uri="{FF2B5EF4-FFF2-40B4-BE49-F238E27FC236}">
              <a16:creationId xmlns:a16="http://schemas.microsoft.com/office/drawing/2014/main" id="{00000000-0008-0000-0A00-00003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4" name="Picture 63">
          <a:extLst>
            <a:ext uri="{FF2B5EF4-FFF2-40B4-BE49-F238E27FC236}">
              <a16:creationId xmlns:a16="http://schemas.microsoft.com/office/drawing/2014/main" id="{00000000-0008-0000-0A00-00004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5" name="Picture 64">
          <a:extLst>
            <a:ext uri="{FF2B5EF4-FFF2-40B4-BE49-F238E27FC236}">
              <a16:creationId xmlns:a16="http://schemas.microsoft.com/office/drawing/2014/main" id="{00000000-0008-0000-0A00-00004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6" name="Picture 65">
          <a:extLst>
            <a:ext uri="{FF2B5EF4-FFF2-40B4-BE49-F238E27FC236}">
              <a16:creationId xmlns:a16="http://schemas.microsoft.com/office/drawing/2014/main" id="{00000000-0008-0000-0A00-00004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7" name="Picture 66">
          <a:extLst>
            <a:ext uri="{FF2B5EF4-FFF2-40B4-BE49-F238E27FC236}">
              <a16:creationId xmlns:a16="http://schemas.microsoft.com/office/drawing/2014/main" id="{00000000-0008-0000-0A00-00004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8" name="Picture 67">
          <a:extLst>
            <a:ext uri="{FF2B5EF4-FFF2-40B4-BE49-F238E27FC236}">
              <a16:creationId xmlns:a16="http://schemas.microsoft.com/office/drawing/2014/main" id="{00000000-0008-0000-0A00-00004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9" name="Picture 68">
          <a:extLst>
            <a:ext uri="{FF2B5EF4-FFF2-40B4-BE49-F238E27FC236}">
              <a16:creationId xmlns:a16="http://schemas.microsoft.com/office/drawing/2014/main" id="{00000000-0008-0000-0A00-00004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0" name="Picture 69">
          <a:extLst>
            <a:ext uri="{FF2B5EF4-FFF2-40B4-BE49-F238E27FC236}">
              <a16:creationId xmlns:a16="http://schemas.microsoft.com/office/drawing/2014/main" id="{00000000-0008-0000-0A00-00004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1" name="Picture 70">
          <a:extLst>
            <a:ext uri="{FF2B5EF4-FFF2-40B4-BE49-F238E27FC236}">
              <a16:creationId xmlns:a16="http://schemas.microsoft.com/office/drawing/2014/main" id="{00000000-0008-0000-0A00-000047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2" name="Picture 71">
          <a:extLst>
            <a:ext uri="{FF2B5EF4-FFF2-40B4-BE49-F238E27FC236}">
              <a16:creationId xmlns:a16="http://schemas.microsoft.com/office/drawing/2014/main" id="{00000000-0008-0000-0A00-000048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3" name="Picture 72">
          <a:extLst>
            <a:ext uri="{FF2B5EF4-FFF2-40B4-BE49-F238E27FC236}">
              <a16:creationId xmlns:a16="http://schemas.microsoft.com/office/drawing/2014/main" id="{00000000-0008-0000-0A00-00004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4" name="Picture 73">
          <a:extLst>
            <a:ext uri="{FF2B5EF4-FFF2-40B4-BE49-F238E27FC236}">
              <a16:creationId xmlns:a16="http://schemas.microsoft.com/office/drawing/2014/main" id="{00000000-0008-0000-0A00-00004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5" name="Picture 74">
          <a:extLst>
            <a:ext uri="{FF2B5EF4-FFF2-40B4-BE49-F238E27FC236}">
              <a16:creationId xmlns:a16="http://schemas.microsoft.com/office/drawing/2014/main" id="{00000000-0008-0000-0A00-00004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6" name="Picture 75">
          <a:extLst>
            <a:ext uri="{FF2B5EF4-FFF2-40B4-BE49-F238E27FC236}">
              <a16:creationId xmlns:a16="http://schemas.microsoft.com/office/drawing/2014/main" id="{00000000-0008-0000-0A00-00004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7" name="Picture 76">
          <a:extLst>
            <a:ext uri="{FF2B5EF4-FFF2-40B4-BE49-F238E27FC236}">
              <a16:creationId xmlns:a16="http://schemas.microsoft.com/office/drawing/2014/main" id="{00000000-0008-0000-0A00-00004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8" name="Picture 77">
          <a:extLst>
            <a:ext uri="{FF2B5EF4-FFF2-40B4-BE49-F238E27FC236}">
              <a16:creationId xmlns:a16="http://schemas.microsoft.com/office/drawing/2014/main" id="{00000000-0008-0000-0A00-00004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9" name="Picture 78">
          <a:extLst>
            <a:ext uri="{FF2B5EF4-FFF2-40B4-BE49-F238E27FC236}">
              <a16:creationId xmlns:a16="http://schemas.microsoft.com/office/drawing/2014/main" id="{00000000-0008-0000-0A00-00004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0" name="Picture 79">
          <a:extLst>
            <a:ext uri="{FF2B5EF4-FFF2-40B4-BE49-F238E27FC236}">
              <a16:creationId xmlns:a16="http://schemas.microsoft.com/office/drawing/2014/main" id="{00000000-0008-0000-0A00-00005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1" name="Picture 80">
          <a:extLst>
            <a:ext uri="{FF2B5EF4-FFF2-40B4-BE49-F238E27FC236}">
              <a16:creationId xmlns:a16="http://schemas.microsoft.com/office/drawing/2014/main" id="{00000000-0008-0000-0A00-00005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2" name="Picture 81">
          <a:extLst>
            <a:ext uri="{FF2B5EF4-FFF2-40B4-BE49-F238E27FC236}">
              <a16:creationId xmlns:a16="http://schemas.microsoft.com/office/drawing/2014/main" id="{00000000-0008-0000-0A00-00005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3" name="Picture 82">
          <a:extLst>
            <a:ext uri="{FF2B5EF4-FFF2-40B4-BE49-F238E27FC236}">
              <a16:creationId xmlns:a16="http://schemas.microsoft.com/office/drawing/2014/main" id="{00000000-0008-0000-0A00-00005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4" name="Picture 83">
          <a:extLst>
            <a:ext uri="{FF2B5EF4-FFF2-40B4-BE49-F238E27FC236}">
              <a16:creationId xmlns:a16="http://schemas.microsoft.com/office/drawing/2014/main" id="{00000000-0008-0000-0A00-00005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5" name="Picture 84">
          <a:extLst>
            <a:ext uri="{FF2B5EF4-FFF2-40B4-BE49-F238E27FC236}">
              <a16:creationId xmlns:a16="http://schemas.microsoft.com/office/drawing/2014/main" id="{00000000-0008-0000-0A00-00005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6" name="Picture 85">
          <a:extLst>
            <a:ext uri="{FF2B5EF4-FFF2-40B4-BE49-F238E27FC236}">
              <a16:creationId xmlns:a16="http://schemas.microsoft.com/office/drawing/2014/main" id="{00000000-0008-0000-0A00-00005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7" name="Picture 86">
          <a:extLst>
            <a:ext uri="{FF2B5EF4-FFF2-40B4-BE49-F238E27FC236}">
              <a16:creationId xmlns:a16="http://schemas.microsoft.com/office/drawing/2014/main" id="{00000000-0008-0000-0A00-000057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8" name="Picture 87">
          <a:extLst>
            <a:ext uri="{FF2B5EF4-FFF2-40B4-BE49-F238E27FC236}">
              <a16:creationId xmlns:a16="http://schemas.microsoft.com/office/drawing/2014/main" id="{00000000-0008-0000-0A00-000058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9" name="Picture 88">
          <a:extLst>
            <a:ext uri="{FF2B5EF4-FFF2-40B4-BE49-F238E27FC236}">
              <a16:creationId xmlns:a16="http://schemas.microsoft.com/office/drawing/2014/main" id="{00000000-0008-0000-0A00-00005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0" name="Picture 89">
          <a:extLst>
            <a:ext uri="{FF2B5EF4-FFF2-40B4-BE49-F238E27FC236}">
              <a16:creationId xmlns:a16="http://schemas.microsoft.com/office/drawing/2014/main" id="{00000000-0008-0000-0A00-00005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1" name="Picture 90">
          <a:extLst>
            <a:ext uri="{FF2B5EF4-FFF2-40B4-BE49-F238E27FC236}">
              <a16:creationId xmlns:a16="http://schemas.microsoft.com/office/drawing/2014/main" id="{00000000-0008-0000-0A00-00005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2" name="Picture 91">
          <a:extLst>
            <a:ext uri="{FF2B5EF4-FFF2-40B4-BE49-F238E27FC236}">
              <a16:creationId xmlns:a16="http://schemas.microsoft.com/office/drawing/2014/main" id="{00000000-0008-0000-0A00-00005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3" name="Picture 92">
          <a:extLst>
            <a:ext uri="{FF2B5EF4-FFF2-40B4-BE49-F238E27FC236}">
              <a16:creationId xmlns:a16="http://schemas.microsoft.com/office/drawing/2014/main" id="{00000000-0008-0000-0A00-00005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4" name="Picture 93">
          <a:extLst>
            <a:ext uri="{FF2B5EF4-FFF2-40B4-BE49-F238E27FC236}">
              <a16:creationId xmlns:a16="http://schemas.microsoft.com/office/drawing/2014/main" id="{00000000-0008-0000-0A00-00005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5" name="Picture 94">
          <a:extLst>
            <a:ext uri="{FF2B5EF4-FFF2-40B4-BE49-F238E27FC236}">
              <a16:creationId xmlns:a16="http://schemas.microsoft.com/office/drawing/2014/main" id="{00000000-0008-0000-0A00-00005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6" name="Picture 95">
          <a:extLst>
            <a:ext uri="{FF2B5EF4-FFF2-40B4-BE49-F238E27FC236}">
              <a16:creationId xmlns:a16="http://schemas.microsoft.com/office/drawing/2014/main" id="{00000000-0008-0000-0A00-00006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7" name="Picture 96">
          <a:extLst>
            <a:ext uri="{FF2B5EF4-FFF2-40B4-BE49-F238E27FC236}">
              <a16:creationId xmlns:a16="http://schemas.microsoft.com/office/drawing/2014/main" id="{00000000-0008-0000-0A00-00006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8" name="Picture 97">
          <a:extLst>
            <a:ext uri="{FF2B5EF4-FFF2-40B4-BE49-F238E27FC236}">
              <a16:creationId xmlns:a16="http://schemas.microsoft.com/office/drawing/2014/main" id="{00000000-0008-0000-0A00-00006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9" name="Picture 98">
          <a:extLst>
            <a:ext uri="{FF2B5EF4-FFF2-40B4-BE49-F238E27FC236}">
              <a16:creationId xmlns:a16="http://schemas.microsoft.com/office/drawing/2014/main" id="{00000000-0008-0000-0A00-00006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0" name="Picture 99">
          <a:extLst>
            <a:ext uri="{FF2B5EF4-FFF2-40B4-BE49-F238E27FC236}">
              <a16:creationId xmlns:a16="http://schemas.microsoft.com/office/drawing/2014/main" id="{00000000-0008-0000-0A00-00006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1" name="Picture 100">
          <a:extLst>
            <a:ext uri="{FF2B5EF4-FFF2-40B4-BE49-F238E27FC236}">
              <a16:creationId xmlns:a16="http://schemas.microsoft.com/office/drawing/2014/main" id="{00000000-0008-0000-0A00-00006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2" name="Picture 101">
          <a:extLst>
            <a:ext uri="{FF2B5EF4-FFF2-40B4-BE49-F238E27FC236}">
              <a16:creationId xmlns:a16="http://schemas.microsoft.com/office/drawing/2014/main" id="{00000000-0008-0000-0A00-00006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3" name="Picture 102">
          <a:extLst>
            <a:ext uri="{FF2B5EF4-FFF2-40B4-BE49-F238E27FC236}">
              <a16:creationId xmlns:a16="http://schemas.microsoft.com/office/drawing/2014/main" id="{00000000-0008-0000-0A00-000067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4" name="Picture 103">
          <a:extLst>
            <a:ext uri="{FF2B5EF4-FFF2-40B4-BE49-F238E27FC236}">
              <a16:creationId xmlns:a16="http://schemas.microsoft.com/office/drawing/2014/main" id="{00000000-0008-0000-0A00-000068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5" name="Picture 104">
          <a:extLst>
            <a:ext uri="{FF2B5EF4-FFF2-40B4-BE49-F238E27FC236}">
              <a16:creationId xmlns:a16="http://schemas.microsoft.com/office/drawing/2014/main" id="{00000000-0008-0000-0A00-00006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6" name="Picture 105">
          <a:extLst>
            <a:ext uri="{FF2B5EF4-FFF2-40B4-BE49-F238E27FC236}">
              <a16:creationId xmlns:a16="http://schemas.microsoft.com/office/drawing/2014/main" id="{00000000-0008-0000-0A00-00006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7" name="Picture 106">
          <a:extLst>
            <a:ext uri="{FF2B5EF4-FFF2-40B4-BE49-F238E27FC236}">
              <a16:creationId xmlns:a16="http://schemas.microsoft.com/office/drawing/2014/main" id="{00000000-0008-0000-0A00-00006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8" name="Picture 107">
          <a:extLst>
            <a:ext uri="{FF2B5EF4-FFF2-40B4-BE49-F238E27FC236}">
              <a16:creationId xmlns:a16="http://schemas.microsoft.com/office/drawing/2014/main" id="{00000000-0008-0000-0A00-00006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9" name="Picture 108">
          <a:extLst>
            <a:ext uri="{FF2B5EF4-FFF2-40B4-BE49-F238E27FC236}">
              <a16:creationId xmlns:a16="http://schemas.microsoft.com/office/drawing/2014/main" id="{00000000-0008-0000-0A00-00006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0" name="Picture 109">
          <a:extLst>
            <a:ext uri="{FF2B5EF4-FFF2-40B4-BE49-F238E27FC236}">
              <a16:creationId xmlns:a16="http://schemas.microsoft.com/office/drawing/2014/main" id="{00000000-0008-0000-0A00-00006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1" name="Picture 110">
          <a:extLst>
            <a:ext uri="{FF2B5EF4-FFF2-40B4-BE49-F238E27FC236}">
              <a16:creationId xmlns:a16="http://schemas.microsoft.com/office/drawing/2014/main" id="{00000000-0008-0000-0A00-00006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2" name="Picture 111">
          <a:extLst>
            <a:ext uri="{FF2B5EF4-FFF2-40B4-BE49-F238E27FC236}">
              <a16:creationId xmlns:a16="http://schemas.microsoft.com/office/drawing/2014/main" id="{00000000-0008-0000-0A00-00007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3" name="Picture 112">
          <a:extLst>
            <a:ext uri="{FF2B5EF4-FFF2-40B4-BE49-F238E27FC236}">
              <a16:creationId xmlns:a16="http://schemas.microsoft.com/office/drawing/2014/main" id="{00000000-0008-0000-0A00-00007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4" name="Picture 113">
          <a:extLst>
            <a:ext uri="{FF2B5EF4-FFF2-40B4-BE49-F238E27FC236}">
              <a16:creationId xmlns:a16="http://schemas.microsoft.com/office/drawing/2014/main" id="{00000000-0008-0000-0A00-00007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5" name="Picture 114">
          <a:extLst>
            <a:ext uri="{FF2B5EF4-FFF2-40B4-BE49-F238E27FC236}">
              <a16:creationId xmlns:a16="http://schemas.microsoft.com/office/drawing/2014/main" id="{00000000-0008-0000-0A00-00007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6" name="Picture 115">
          <a:extLst>
            <a:ext uri="{FF2B5EF4-FFF2-40B4-BE49-F238E27FC236}">
              <a16:creationId xmlns:a16="http://schemas.microsoft.com/office/drawing/2014/main" id="{00000000-0008-0000-0A00-00007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7" name="Picture 116">
          <a:extLst>
            <a:ext uri="{FF2B5EF4-FFF2-40B4-BE49-F238E27FC236}">
              <a16:creationId xmlns:a16="http://schemas.microsoft.com/office/drawing/2014/main" id="{00000000-0008-0000-0A00-00007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18" name="Picture 117">
          <a:extLst>
            <a:ext uri="{FF2B5EF4-FFF2-40B4-BE49-F238E27FC236}">
              <a16:creationId xmlns:a16="http://schemas.microsoft.com/office/drawing/2014/main" id="{7E7187B4-835A-4B76-A9FF-796641BF0E56}"/>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19" name="Picture 118">
          <a:extLst>
            <a:ext uri="{FF2B5EF4-FFF2-40B4-BE49-F238E27FC236}">
              <a16:creationId xmlns:a16="http://schemas.microsoft.com/office/drawing/2014/main" id="{767334F8-14E2-44CE-8945-7ECB522CB0E2}"/>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0" name="Picture 119">
          <a:extLst>
            <a:ext uri="{FF2B5EF4-FFF2-40B4-BE49-F238E27FC236}">
              <a16:creationId xmlns:a16="http://schemas.microsoft.com/office/drawing/2014/main" id="{6F8AFE95-3603-4ED2-9B83-A05232E74E8C}"/>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1" name="Picture 120">
          <a:extLst>
            <a:ext uri="{FF2B5EF4-FFF2-40B4-BE49-F238E27FC236}">
              <a16:creationId xmlns:a16="http://schemas.microsoft.com/office/drawing/2014/main" id="{306B705D-9C8A-48BC-B2AD-D3154BBC9CD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2" name="Picture 121">
          <a:extLst>
            <a:ext uri="{FF2B5EF4-FFF2-40B4-BE49-F238E27FC236}">
              <a16:creationId xmlns:a16="http://schemas.microsoft.com/office/drawing/2014/main" id="{AD804503-B943-46A0-98B8-9362C928AD2E}"/>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3" name="Picture 122">
          <a:extLst>
            <a:ext uri="{FF2B5EF4-FFF2-40B4-BE49-F238E27FC236}">
              <a16:creationId xmlns:a16="http://schemas.microsoft.com/office/drawing/2014/main" id="{586C7BE8-1917-4A26-9550-FD5792A02A43}"/>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4" name="Picture 123">
          <a:extLst>
            <a:ext uri="{FF2B5EF4-FFF2-40B4-BE49-F238E27FC236}">
              <a16:creationId xmlns:a16="http://schemas.microsoft.com/office/drawing/2014/main" id="{F4FE7E37-B526-4BB9-B074-A5988A1C46BB}"/>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5" name="Picture 124">
          <a:extLst>
            <a:ext uri="{FF2B5EF4-FFF2-40B4-BE49-F238E27FC236}">
              <a16:creationId xmlns:a16="http://schemas.microsoft.com/office/drawing/2014/main" id="{3167C326-2BFD-41B4-AA3B-05D887CC0F7D}"/>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6" name="Picture 125">
          <a:extLst>
            <a:ext uri="{FF2B5EF4-FFF2-40B4-BE49-F238E27FC236}">
              <a16:creationId xmlns:a16="http://schemas.microsoft.com/office/drawing/2014/main" id="{D46B01F1-12CA-4D56-A1D9-F167B06372D4}"/>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7" name="Picture 126">
          <a:extLst>
            <a:ext uri="{FF2B5EF4-FFF2-40B4-BE49-F238E27FC236}">
              <a16:creationId xmlns:a16="http://schemas.microsoft.com/office/drawing/2014/main" id="{13224E3E-4A9A-418A-A128-71A3E6CC9CBB}"/>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8" name="Picture 7">
          <a:extLst>
            <a:ext uri="{FF2B5EF4-FFF2-40B4-BE49-F238E27FC236}">
              <a16:creationId xmlns:a16="http://schemas.microsoft.com/office/drawing/2014/main" id="{196BE08D-C90C-435B-B12F-F88C8D69AB83}"/>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8" name="Picture 127">
          <a:extLst>
            <a:ext uri="{FF2B5EF4-FFF2-40B4-BE49-F238E27FC236}">
              <a16:creationId xmlns:a16="http://schemas.microsoft.com/office/drawing/2014/main" id="{86BDE1F4-87B8-4388-BA97-F6A4315066B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9" name="Picture 128">
          <a:extLst>
            <a:ext uri="{FF2B5EF4-FFF2-40B4-BE49-F238E27FC236}">
              <a16:creationId xmlns:a16="http://schemas.microsoft.com/office/drawing/2014/main" id="{A0A5EEBB-BEB6-4ACE-9869-F7878C61C3E5}"/>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0" name="Picture 129">
          <a:extLst>
            <a:ext uri="{FF2B5EF4-FFF2-40B4-BE49-F238E27FC236}">
              <a16:creationId xmlns:a16="http://schemas.microsoft.com/office/drawing/2014/main" id="{5F51667C-3AE7-4598-9974-9363C9A2113D}"/>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1" name="Picture 130">
          <a:extLst>
            <a:ext uri="{FF2B5EF4-FFF2-40B4-BE49-F238E27FC236}">
              <a16:creationId xmlns:a16="http://schemas.microsoft.com/office/drawing/2014/main" id="{7BEC0B66-5B69-4C1A-8991-ACA41720F827}"/>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2" name="Picture 131">
          <a:extLst>
            <a:ext uri="{FF2B5EF4-FFF2-40B4-BE49-F238E27FC236}">
              <a16:creationId xmlns:a16="http://schemas.microsoft.com/office/drawing/2014/main" id="{CD621E6F-4878-4638-8FE9-7D3FA6C6FFF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3" name="Picture 132">
          <a:extLst>
            <a:ext uri="{FF2B5EF4-FFF2-40B4-BE49-F238E27FC236}">
              <a16:creationId xmlns:a16="http://schemas.microsoft.com/office/drawing/2014/main" id="{5D0D74A8-C38F-43B8-9BD4-F48A6CD26E3F}"/>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4" name="Picture 133">
          <a:extLst>
            <a:ext uri="{FF2B5EF4-FFF2-40B4-BE49-F238E27FC236}">
              <a16:creationId xmlns:a16="http://schemas.microsoft.com/office/drawing/2014/main" id="{1FA2FF99-2B08-4CC3-AFA9-6718E977F59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5" name="Picture 134">
          <a:extLst>
            <a:ext uri="{FF2B5EF4-FFF2-40B4-BE49-F238E27FC236}">
              <a16:creationId xmlns:a16="http://schemas.microsoft.com/office/drawing/2014/main" id="{AE570AD6-4642-454C-A68F-DCE6A5B3ECE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6" name="Picture 135">
          <a:extLst>
            <a:ext uri="{FF2B5EF4-FFF2-40B4-BE49-F238E27FC236}">
              <a16:creationId xmlns:a16="http://schemas.microsoft.com/office/drawing/2014/main" id="{884E0103-3B5C-4C98-94FA-63F18BB91FFE}"/>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7" name="Picture 136">
          <a:extLst>
            <a:ext uri="{FF2B5EF4-FFF2-40B4-BE49-F238E27FC236}">
              <a16:creationId xmlns:a16="http://schemas.microsoft.com/office/drawing/2014/main" id="{2683B574-727B-47A7-8A94-6AF0DD657320}"/>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8" name="Picture 137">
          <a:extLst>
            <a:ext uri="{FF2B5EF4-FFF2-40B4-BE49-F238E27FC236}">
              <a16:creationId xmlns:a16="http://schemas.microsoft.com/office/drawing/2014/main" id="{E816FF08-1DD4-489F-B762-474AE8580141}"/>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9" name="Picture 138">
          <a:extLst>
            <a:ext uri="{FF2B5EF4-FFF2-40B4-BE49-F238E27FC236}">
              <a16:creationId xmlns:a16="http://schemas.microsoft.com/office/drawing/2014/main" id="{DF148BE8-D3DC-4A33-8B7F-CA36BC8F1D54}"/>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0" name="Picture 139">
          <a:extLst>
            <a:ext uri="{FF2B5EF4-FFF2-40B4-BE49-F238E27FC236}">
              <a16:creationId xmlns:a16="http://schemas.microsoft.com/office/drawing/2014/main" id="{60A9FE27-2341-41C6-94DD-C881921A49D1}"/>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1" name="Picture 140">
          <a:extLst>
            <a:ext uri="{FF2B5EF4-FFF2-40B4-BE49-F238E27FC236}">
              <a16:creationId xmlns:a16="http://schemas.microsoft.com/office/drawing/2014/main" id="{29AF7EB0-6075-4603-BE4F-830EF1173691}"/>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3" name="Picture 142">
          <a:extLst>
            <a:ext uri="{FF2B5EF4-FFF2-40B4-BE49-F238E27FC236}">
              <a16:creationId xmlns:a16="http://schemas.microsoft.com/office/drawing/2014/main" id="{E8586773-C4C5-4A7F-98BB-1B05D87A07EB}"/>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2" name="Picture 141">
          <a:extLst>
            <a:ext uri="{FF2B5EF4-FFF2-40B4-BE49-F238E27FC236}">
              <a16:creationId xmlns:a16="http://schemas.microsoft.com/office/drawing/2014/main" id="{5DC812A7-317D-480F-B9EB-CA0C17A659D4}"/>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4" name="Picture 143">
          <a:extLst>
            <a:ext uri="{FF2B5EF4-FFF2-40B4-BE49-F238E27FC236}">
              <a16:creationId xmlns:a16="http://schemas.microsoft.com/office/drawing/2014/main" id="{3088C981-CD3F-495B-9B5D-632B9AE62140}"/>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5" name="Picture 144">
          <a:extLst>
            <a:ext uri="{FF2B5EF4-FFF2-40B4-BE49-F238E27FC236}">
              <a16:creationId xmlns:a16="http://schemas.microsoft.com/office/drawing/2014/main" id="{8ED960F2-36BB-4CDF-A4CA-8E1256E60A73}"/>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6" name="Picture 145">
          <a:extLst>
            <a:ext uri="{FF2B5EF4-FFF2-40B4-BE49-F238E27FC236}">
              <a16:creationId xmlns:a16="http://schemas.microsoft.com/office/drawing/2014/main" id="{EE26E491-9055-40F0-BAF5-40C08C60FBFC}"/>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7" name="Picture 146">
          <a:extLst>
            <a:ext uri="{FF2B5EF4-FFF2-40B4-BE49-F238E27FC236}">
              <a16:creationId xmlns:a16="http://schemas.microsoft.com/office/drawing/2014/main" id="{1026DB33-3891-41A7-A206-B27320BB250C}"/>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8" name="Picture 147">
          <a:extLst>
            <a:ext uri="{FF2B5EF4-FFF2-40B4-BE49-F238E27FC236}">
              <a16:creationId xmlns:a16="http://schemas.microsoft.com/office/drawing/2014/main" id="{F49D2E36-6DA9-4397-8A0C-30DC68BE4E1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9" name="Picture 148">
          <a:extLst>
            <a:ext uri="{FF2B5EF4-FFF2-40B4-BE49-F238E27FC236}">
              <a16:creationId xmlns:a16="http://schemas.microsoft.com/office/drawing/2014/main" id="{F3CE84B7-21AD-48BF-9D17-E1EB21345702}"/>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50" name="Picture 149">
          <a:extLst>
            <a:ext uri="{FF2B5EF4-FFF2-40B4-BE49-F238E27FC236}">
              <a16:creationId xmlns:a16="http://schemas.microsoft.com/office/drawing/2014/main" id="{1283015A-A067-49E8-8ADC-BFF1A2A0C15E}"/>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51" name="Picture 150">
          <a:extLst>
            <a:ext uri="{FF2B5EF4-FFF2-40B4-BE49-F238E27FC236}">
              <a16:creationId xmlns:a16="http://schemas.microsoft.com/office/drawing/2014/main" id="{6DE0D474-FD7E-41C1-BA89-30D31561E6D0}"/>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52" name="Picture 151">
          <a:extLst>
            <a:ext uri="{FF2B5EF4-FFF2-40B4-BE49-F238E27FC236}">
              <a16:creationId xmlns:a16="http://schemas.microsoft.com/office/drawing/2014/main" id="{FA952532-3958-49B7-A745-8C895A46311E}"/>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53" name="Picture 152">
          <a:extLst>
            <a:ext uri="{FF2B5EF4-FFF2-40B4-BE49-F238E27FC236}">
              <a16:creationId xmlns:a16="http://schemas.microsoft.com/office/drawing/2014/main" id="{681FC504-0366-44C6-BFC8-F5290F695F4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54" name="Picture 153">
          <a:extLst>
            <a:ext uri="{FF2B5EF4-FFF2-40B4-BE49-F238E27FC236}">
              <a16:creationId xmlns:a16="http://schemas.microsoft.com/office/drawing/2014/main" id="{7E95A091-1D11-4377-8FFA-6E91A5544C84}"/>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55" name="Picture 154">
          <a:extLst>
            <a:ext uri="{FF2B5EF4-FFF2-40B4-BE49-F238E27FC236}">
              <a16:creationId xmlns:a16="http://schemas.microsoft.com/office/drawing/2014/main" id="{0EC003D6-EAC1-41F2-B4A9-73063838FE2E}"/>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56" name="Picture 155">
          <a:extLst>
            <a:ext uri="{FF2B5EF4-FFF2-40B4-BE49-F238E27FC236}">
              <a16:creationId xmlns:a16="http://schemas.microsoft.com/office/drawing/2014/main" id="{F87B2C75-2BC3-45AD-BA87-3EF247FF8051}"/>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57" name="Picture 156">
          <a:extLst>
            <a:ext uri="{FF2B5EF4-FFF2-40B4-BE49-F238E27FC236}">
              <a16:creationId xmlns:a16="http://schemas.microsoft.com/office/drawing/2014/main" id="{B9120846-7B7F-4FD8-8EDB-A3101BF8D601}"/>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58" name="Picture 157">
          <a:extLst>
            <a:ext uri="{FF2B5EF4-FFF2-40B4-BE49-F238E27FC236}">
              <a16:creationId xmlns:a16="http://schemas.microsoft.com/office/drawing/2014/main" id="{5F7EB56A-B5EA-49F4-ABE3-9F4B90CB9214}"/>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59" name="Picture 158">
          <a:extLst>
            <a:ext uri="{FF2B5EF4-FFF2-40B4-BE49-F238E27FC236}">
              <a16:creationId xmlns:a16="http://schemas.microsoft.com/office/drawing/2014/main" id="{6B6F2050-9CCD-465B-A358-54F50623E0B9}"/>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60" name="Picture 159">
          <a:extLst>
            <a:ext uri="{FF2B5EF4-FFF2-40B4-BE49-F238E27FC236}">
              <a16:creationId xmlns:a16="http://schemas.microsoft.com/office/drawing/2014/main" id="{B909D808-5F95-47D7-90AF-5B7B47B38F37}"/>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1695690</xdr:colOff>
      <xdr:row>20</xdr:row>
      <xdr:rowOff>116891</xdr:rowOff>
    </xdr:from>
    <xdr:to>
      <xdr:col>13</xdr:col>
      <xdr:colOff>725715</xdr:colOff>
      <xdr:row>61</xdr:row>
      <xdr:rowOff>179161</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825500</xdr:colOff>
      <xdr:row>24</xdr:row>
      <xdr:rowOff>0</xdr:rowOff>
    </xdr:from>
    <xdr:to>
      <xdr:col>3</xdr:col>
      <xdr:colOff>266700</xdr:colOff>
      <xdr:row>61</xdr:row>
      <xdr:rowOff>104775</xdr:rowOff>
    </xdr:to>
    <xdr:pic>
      <xdr:nvPicPr>
        <xdr:cNvPr id="4" name="Picture 3">
          <a:extLst>
            <a:ext uri="{FF2B5EF4-FFF2-40B4-BE49-F238E27FC236}">
              <a16:creationId xmlns:a16="http://schemas.microsoft.com/office/drawing/2014/main" id="{1B5D03EA-EDA0-14E2-EFB7-38B556E3B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6375" y="12160250"/>
          <a:ext cx="2679700" cy="972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0.66209</cdr:x>
      <cdr:y>0</cdr:y>
    </cdr:from>
    <cdr:to>
      <cdr:x>0.99632</cdr:x>
      <cdr:y>0.08022</cdr:y>
    </cdr:to>
    <cdr:sp macro="" textlink="">
      <cdr:nvSpPr>
        <cdr:cNvPr id="13" name="TextBox 12"/>
        <cdr:cNvSpPr txBox="1"/>
      </cdr:nvSpPr>
      <cdr:spPr>
        <a:xfrm xmlns:a="http://schemas.openxmlformats.org/drawingml/2006/main">
          <a:off x="11413476" y="0"/>
          <a:ext cx="5761674" cy="85823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lv-LV" sz="1800" b="1">
              <a:solidFill>
                <a:srgbClr val="002060"/>
              </a:solidFill>
              <a:latin typeface="Verdana" panose="020B0604030504040204" pitchFamily="34" charset="0"/>
              <a:ea typeface="Verdana" panose="020B0604030504040204" pitchFamily="34" charset="0"/>
            </a:rPr>
            <a:t>Fondu</a:t>
          </a:r>
          <a:r>
            <a:rPr lang="lv-LV" sz="1800" b="1" baseline="0">
              <a:solidFill>
                <a:srgbClr val="002060"/>
              </a:solidFill>
              <a:latin typeface="Verdana" panose="020B0604030504040204" pitchFamily="34" charset="0"/>
              <a:ea typeface="Verdana" panose="020B0604030504040204" pitchFamily="34" charset="0"/>
            </a:rPr>
            <a:t> </a:t>
          </a:r>
          <a:r>
            <a:rPr lang="lv-LV" sz="1800" b="1">
              <a:solidFill>
                <a:srgbClr val="002060"/>
              </a:solidFill>
              <a:latin typeface="Verdana" panose="020B0604030504040204" pitchFamily="34" charset="0"/>
              <a:ea typeface="Verdana" panose="020B0604030504040204" pitchFamily="34" charset="0"/>
            </a:rPr>
            <a:t>piešķīrums*         </a:t>
          </a:r>
          <a:r>
            <a:rPr lang="lv-LV" sz="1800" b="1">
              <a:solidFill>
                <a:srgbClr val="C00000"/>
              </a:solidFill>
              <a:latin typeface="Verdana" panose="020B0604030504040204" pitchFamily="34" charset="0"/>
              <a:ea typeface="Verdana" panose="020B0604030504040204" pitchFamily="34" charset="0"/>
            </a:rPr>
            <a:t>Virssaistības*   </a:t>
          </a:r>
        </a:p>
        <a:p xmlns:a="http://schemas.openxmlformats.org/drawingml/2006/main">
          <a:pPr algn="r"/>
          <a:r>
            <a:rPr lang="lv-LV" sz="1800" b="1">
              <a:solidFill>
                <a:srgbClr val="002060"/>
              </a:solidFill>
              <a:latin typeface="Verdana" panose="020B0604030504040204" pitchFamily="34" charset="0"/>
              <a:ea typeface="Verdana" panose="020B0604030504040204" pitchFamily="34" charset="0"/>
            </a:rPr>
            <a:t>(milj. </a:t>
          </a:r>
          <a:r>
            <a:rPr lang="lv-LV" sz="1800" b="1">
              <a:solidFill>
                <a:srgbClr val="002060"/>
              </a:solidFill>
              <a:latin typeface="Verdana" panose="020B0604030504040204" pitchFamily="34" charset="0"/>
              <a:ea typeface="Verdana" panose="020B0604030504040204" pitchFamily="34" charset="0"/>
              <a:cs typeface="Times New Roman" panose="02020603050405020304" pitchFamily="18" charset="0"/>
            </a:rPr>
            <a:t>€)</a:t>
          </a:r>
          <a:r>
            <a:rPr lang="lv-LV" sz="1800" b="1">
              <a:solidFill>
                <a:srgbClr val="FF0000"/>
              </a:solidFill>
              <a:latin typeface="Verdana" panose="020B0604030504040204" pitchFamily="34" charset="0"/>
              <a:ea typeface="Verdana" panose="020B0604030504040204" pitchFamily="34" charset="0"/>
              <a:cs typeface="Times New Roman" panose="02020603050405020304" pitchFamily="18" charset="0"/>
            </a:rPr>
            <a:t> </a:t>
          </a:r>
          <a:r>
            <a:rPr lang="lv-LV" sz="1800" b="1">
              <a:solidFill>
                <a:srgbClr val="C00000"/>
              </a:solidFill>
              <a:latin typeface="Verdana" panose="020B0604030504040204" pitchFamily="34" charset="0"/>
              <a:ea typeface="Verdana" panose="020B0604030504040204" pitchFamily="34" charset="0"/>
              <a:cs typeface="Times New Roman" panose="02020603050405020304" pitchFamily="18" charset="0"/>
            </a:rPr>
            <a:t>(ES fondi indikatīvi</a:t>
          </a:r>
        </a:p>
        <a:p xmlns:a="http://schemas.openxmlformats.org/drawingml/2006/main">
          <a:pPr algn="r"/>
          <a:r>
            <a:rPr lang="lv-LV" sz="1800" b="1" baseline="0">
              <a:solidFill>
                <a:srgbClr val="C00000"/>
              </a:solidFill>
              <a:latin typeface="Verdana" panose="020B0604030504040204" pitchFamily="34" charset="0"/>
              <a:ea typeface="Verdana" panose="020B0604030504040204" pitchFamily="34" charset="0"/>
              <a:cs typeface="Times New Roman" panose="02020603050405020304" pitchFamily="18" charset="0"/>
            </a:rPr>
            <a:t>224 milj. €</a:t>
          </a:r>
          <a:r>
            <a:rPr lang="lv-LV" sz="1800" b="1">
              <a:solidFill>
                <a:srgbClr val="C00000"/>
              </a:solidFill>
              <a:latin typeface="Verdana" panose="020B0604030504040204" pitchFamily="34" charset="0"/>
              <a:ea typeface="Verdana" panose="020B0604030504040204" pitchFamily="34" charset="0"/>
              <a:cs typeface="Times New Roman" panose="02020603050405020304" pitchFamily="18" charset="0"/>
            </a:rPr>
            <a:t>)</a:t>
          </a:r>
          <a:endParaRPr lang="lv-LV" sz="1800" b="1">
            <a:solidFill>
              <a:srgbClr val="002060"/>
            </a:solidFill>
            <a:latin typeface="Verdana" panose="020B0604030504040204" pitchFamily="34" charset="0"/>
            <a:ea typeface="Verdana" panose="020B0604030504040204" pitchFamily="34" charset="0"/>
            <a:cs typeface="Times New Roman" panose="02020603050405020304" pitchFamily="18" charset="0"/>
          </a:endParaRPr>
        </a:p>
      </cdr:txBody>
    </cdr:sp>
  </cdr:relSizeAnchor>
  <cdr:relSizeAnchor xmlns:cdr="http://schemas.openxmlformats.org/drawingml/2006/chartDrawing">
    <cdr:from>
      <cdr:x>0.73847</cdr:x>
      <cdr:y>0.08359</cdr:y>
    </cdr:from>
    <cdr:to>
      <cdr:x>0.82018</cdr:x>
      <cdr:y>0.94547</cdr:y>
    </cdr:to>
    <cdr:grpSp>
      <cdr:nvGrpSpPr>
        <cdr:cNvPr id="2" name="Group 1">
          <a:extLst xmlns:a="http://schemas.openxmlformats.org/drawingml/2006/main">
            <a:ext uri="{FF2B5EF4-FFF2-40B4-BE49-F238E27FC236}">
              <a16:creationId xmlns:a16="http://schemas.microsoft.com/office/drawing/2014/main" id="{8EE125FC-35CB-4B0C-87DC-F0E3C57A7226}"/>
            </a:ext>
          </a:extLst>
        </cdr:cNvPr>
        <cdr:cNvGrpSpPr/>
      </cdr:nvGrpSpPr>
      <cdr:grpSpPr>
        <a:xfrm xmlns:a="http://schemas.openxmlformats.org/drawingml/2006/main">
          <a:off x="12718503" y="894289"/>
          <a:ext cx="1407273" cy="9220841"/>
          <a:chOff x="7434746" y="723638"/>
          <a:chExt cx="947880" cy="7209041"/>
        </a:xfrm>
      </cdr:grpSpPr>
      <cdr:sp macro="" textlink="">
        <cdr:nvSpPr>
          <cdr:cNvPr id="3" name="TextBox 2"/>
          <cdr:cNvSpPr txBox="1"/>
        </cdr:nvSpPr>
        <cdr:spPr>
          <a:xfrm xmlns:a="http://schemas.openxmlformats.org/drawingml/2006/main">
            <a:off x="7434746" y="723638"/>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1 216</a:t>
            </a:r>
          </a:p>
        </cdr:txBody>
      </cdr:sp>
      <cdr:sp macro="" textlink="">
        <cdr:nvSpPr>
          <cdr:cNvPr id="4" name="TextBox 2"/>
          <cdr:cNvSpPr txBox="1"/>
        </cdr:nvSpPr>
        <cdr:spPr>
          <a:xfrm xmlns:a="http://schemas.openxmlformats.org/drawingml/2006/main">
            <a:off x="7490327" y="1418933"/>
            <a:ext cx="850301" cy="307141"/>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841</a:t>
            </a:r>
            <a:endParaRPr lang="lv-LV" sz="2400" b="1">
              <a:solidFill>
                <a:schemeClr val="accent3">
                  <a:lumMod val="75000"/>
                </a:schemeClr>
              </a:solidFill>
            </a:endParaRPr>
          </a:p>
        </cdr:txBody>
      </cdr:sp>
      <cdr:sp macro="" textlink="">
        <cdr:nvSpPr>
          <cdr:cNvPr id="5" name="TextBox 2"/>
          <cdr:cNvSpPr txBox="1"/>
        </cdr:nvSpPr>
        <cdr:spPr>
          <a:xfrm xmlns:a="http://schemas.openxmlformats.org/drawingml/2006/main">
            <a:off x="7520765" y="2104190"/>
            <a:ext cx="850301" cy="30714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835</a:t>
            </a:r>
            <a:r>
              <a:rPr lang="lv-LV" sz="2400" b="1" baseline="0">
                <a:solidFill>
                  <a:schemeClr val="accent5">
                    <a:lumMod val="50000"/>
                  </a:schemeClr>
                </a:solidFill>
              </a:rPr>
              <a:t> </a:t>
            </a:r>
            <a:endParaRPr lang="lv-LV" sz="2400" b="1">
              <a:solidFill>
                <a:schemeClr val="accent3">
                  <a:lumMod val="75000"/>
                </a:schemeClr>
              </a:solidFill>
            </a:endParaRPr>
          </a:p>
        </cdr:txBody>
      </cdr:sp>
      <cdr:sp macro="" textlink="">
        <cdr:nvSpPr>
          <cdr:cNvPr id="6" name="TextBox 2"/>
          <cdr:cNvSpPr txBox="1"/>
        </cdr:nvSpPr>
        <cdr:spPr>
          <a:xfrm xmlns:a="http://schemas.openxmlformats.org/drawingml/2006/main">
            <a:off x="7508346" y="2783275"/>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746</a:t>
            </a:r>
            <a:r>
              <a:rPr lang="lv-LV" sz="2400" b="1" baseline="0">
                <a:solidFill>
                  <a:schemeClr val="accent5">
                    <a:lumMod val="50000"/>
                  </a:schemeClr>
                </a:solidFill>
              </a:rPr>
              <a:t> </a:t>
            </a:r>
            <a:endParaRPr lang="lv-LV" sz="2400" b="1">
              <a:solidFill>
                <a:schemeClr val="accent3">
                  <a:lumMod val="75000"/>
                </a:schemeClr>
              </a:solidFill>
            </a:endParaRPr>
          </a:p>
        </cdr:txBody>
      </cdr:sp>
      <cdr:sp macro="" textlink="">
        <cdr:nvSpPr>
          <cdr:cNvPr id="7" name="TextBox 2"/>
          <cdr:cNvSpPr txBox="1"/>
        </cdr:nvSpPr>
        <cdr:spPr>
          <a:xfrm xmlns:a="http://schemas.openxmlformats.org/drawingml/2006/main">
            <a:off x="7492654" y="3501634"/>
            <a:ext cx="850185"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393</a:t>
            </a:r>
            <a:endParaRPr lang="lv-LV" sz="2400" b="1">
              <a:solidFill>
                <a:schemeClr val="accent3">
                  <a:lumMod val="75000"/>
                </a:schemeClr>
              </a:solidFill>
            </a:endParaRPr>
          </a:p>
        </cdr:txBody>
      </cdr:sp>
      <cdr:sp macro="" textlink="">
        <cdr:nvSpPr>
          <cdr:cNvPr id="8" name="TextBox 2"/>
          <cdr:cNvSpPr txBox="1"/>
        </cdr:nvSpPr>
        <cdr:spPr>
          <a:xfrm xmlns:a="http://schemas.openxmlformats.org/drawingml/2006/main">
            <a:off x="7532325" y="4868385"/>
            <a:ext cx="850301" cy="307141"/>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136</a:t>
            </a:r>
            <a:endParaRPr lang="lv-LV" sz="2400" b="1">
              <a:solidFill>
                <a:schemeClr val="accent3">
                  <a:lumMod val="75000"/>
                </a:schemeClr>
              </a:solidFill>
            </a:endParaRPr>
          </a:p>
        </cdr:txBody>
      </cdr:sp>
      <cdr:sp macro="" textlink="">
        <cdr:nvSpPr>
          <cdr:cNvPr id="9" name="TextBox 2"/>
          <cdr:cNvSpPr txBox="1"/>
        </cdr:nvSpPr>
        <cdr:spPr>
          <a:xfrm xmlns:a="http://schemas.openxmlformats.org/drawingml/2006/main">
            <a:off x="7494025" y="4160027"/>
            <a:ext cx="850185" cy="30714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346</a:t>
            </a:r>
            <a:endParaRPr lang="lv-LV" sz="2400" b="1">
              <a:solidFill>
                <a:schemeClr val="accent3">
                  <a:lumMod val="75000"/>
                </a:schemeClr>
              </a:solidFill>
            </a:endParaRPr>
          </a:p>
        </cdr:txBody>
      </cdr:sp>
      <cdr:sp macro="" textlink="">
        <cdr:nvSpPr>
          <cdr:cNvPr id="10" name="TextBox 2"/>
          <cdr:cNvSpPr txBox="1"/>
        </cdr:nvSpPr>
        <cdr:spPr>
          <a:xfrm xmlns:a="http://schemas.openxmlformats.org/drawingml/2006/main">
            <a:off x="7523748" y="5580974"/>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101</a:t>
            </a:r>
          </a:p>
        </cdr:txBody>
      </cdr:sp>
      <cdr:sp macro="" textlink="">
        <cdr:nvSpPr>
          <cdr:cNvPr id="11" name="TextBox 2"/>
          <cdr:cNvSpPr txBox="1"/>
        </cdr:nvSpPr>
        <cdr:spPr>
          <a:xfrm xmlns:a="http://schemas.openxmlformats.org/drawingml/2006/main">
            <a:off x="7522709" y="6247198"/>
            <a:ext cx="850185" cy="307056"/>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0</a:t>
            </a:r>
          </a:p>
        </cdr:txBody>
      </cdr:sp>
      <cdr:sp macro="" textlink="">
        <cdr:nvSpPr>
          <cdr:cNvPr id="12" name="TextBox 2"/>
          <cdr:cNvSpPr txBox="1"/>
        </cdr:nvSpPr>
        <cdr:spPr>
          <a:xfrm xmlns:a="http://schemas.openxmlformats.org/drawingml/2006/main">
            <a:off x="7521896" y="6897445"/>
            <a:ext cx="850301" cy="307056"/>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17</a:t>
            </a:r>
          </a:p>
        </cdr:txBody>
      </cdr:sp>
      <cdr:sp macro="" textlink="">
        <cdr:nvSpPr>
          <cdr:cNvPr id="74" name="TextBox 2"/>
          <cdr:cNvSpPr txBox="1"/>
        </cdr:nvSpPr>
        <cdr:spPr>
          <a:xfrm xmlns:a="http://schemas.openxmlformats.org/drawingml/2006/main">
            <a:off x="7519245" y="7625622"/>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9</a:t>
            </a:r>
          </a:p>
        </cdr:txBody>
      </cdr:sp>
    </cdr:grpSp>
  </cdr:relSizeAnchor>
  <cdr:relSizeAnchor xmlns:cdr="http://schemas.openxmlformats.org/drawingml/2006/chartDrawing">
    <cdr:from>
      <cdr:x>0.21425</cdr:x>
      <cdr:y>0.95803</cdr:y>
    </cdr:from>
    <cdr:to>
      <cdr:x>0.89314</cdr:x>
      <cdr:y>1</cdr:y>
    </cdr:to>
    <cdr:sp macro="" textlink="">
      <cdr:nvSpPr>
        <cdr:cNvPr id="75" name="TextBox 74"/>
        <cdr:cNvSpPr txBox="1"/>
      </cdr:nvSpPr>
      <cdr:spPr>
        <a:xfrm xmlns:a="http://schemas.openxmlformats.org/drawingml/2006/main">
          <a:off x="1811439" y="7578767"/>
          <a:ext cx="5739741" cy="3320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lv-LV" sz="1100"/>
        </a:p>
      </cdr:txBody>
    </cdr:sp>
  </cdr:relSizeAnchor>
  <cdr:relSizeAnchor xmlns:cdr="http://schemas.openxmlformats.org/drawingml/2006/chartDrawing">
    <cdr:from>
      <cdr:x>0.26802</cdr:x>
      <cdr:y>0.90643</cdr:y>
    </cdr:from>
    <cdr:to>
      <cdr:x>0.64051</cdr:x>
      <cdr:y>0.99216</cdr:y>
    </cdr:to>
    <cdr:sp macro="" textlink="">
      <cdr:nvSpPr>
        <cdr:cNvPr id="76" name="TextBox 75"/>
        <cdr:cNvSpPr txBox="1"/>
      </cdr:nvSpPr>
      <cdr:spPr>
        <a:xfrm xmlns:a="http://schemas.openxmlformats.org/drawingml/2006/main">
          <a:off x="4620303" y="9697410"/>
          <a:ext cx="6421225" cy="9171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lv-LV" sz="1700" b="1" i="1">
              <a:solidFill>
                <a:srgbClr val="002060"/>
              </a:solidFill>
            </a:rPr>
            <a:t>*</a:t>
          </a:r>
          <a:r>
            <a:rPr lang="lv-LV" sz="1700" b="1" i="1" baseline="0">
              <a:solidFill>
                <a:srgbClr val="002060"/>
              </a:solidFill>
            </a:rPr>
            <a:t> t.sk. finasējum</a:t>
          </a:r>
          <a:r>
            <a:rPr lang="lv-LV" sz="1700" b="1" i="1" baseline="0">
              <a:solidFill>
                <a:srgbClr val="002060"/>
              </a:solidFill>
              <a:latin typeface="+mn-lt"/>
              <a:ea typeface="+mn-ea"/>
              <a:cs typeface="+mn-cs"/>
            </a:rPr>
            <a:t>s, par kuru plānots virzīt MK noteikumu grozījumus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lv-LV" sz="1700" b="1" i="1" baseline="0">
              <a:solidFill>
                <a:srgbClr val="002060"/>
              </a:solidFill>
              <a:latin typeface="+mn-lt"/>
              <a:ea typeface="+mn-ea"/>
              <a:cs typeface="+mn-cs"/>
            </a:rPr>
            <a:t>Virssaistības ņemot vērā MK 08.06.2021.32.§ lemto par virssaistību pārcelšanu uz React-EU</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lv-LV" sz="1700" b="1" i="1" baseline="0">
              <a:solidFill>
                <a:srgbClr val="002060"/>
              </a:solidFill>
              <a:latin typeface="+mn-lt"/>
              <a:ea typeface="+mn-ea"/>
              <a:cs typeface="+mn-cs"/>
            </a:rPr>
            <a:t>kā ari EK lēmumu par REACT EU 2.pārskaitījumu un pāreju uz 100% likmi.</a:t>
          </a:r>
        </a:p>
        <a:p xmlns:a="http://schemas.openxmlformats.org/drawingml/2006/main">
          <a:endParaRPr lang="lv-LV" sz="1700" b="1" i="1">
            <a:solidFill>
              <a:srgbClr val="002060"/>
            </a:solidFill>
          </a:endParaRPr>
        </a:p>
      </cdr:txBody>
    </cdr:sp>
  </cdr:relSizeAnchor>
  <cdr:relSizeAnchor xmlns:cdr="http://schemas.openxmlformats.org/drawingml/2006/chartDrawing">
    <cdr:from>
      <cdr:x>0.87947</cdr:x>
      <cdr:y>0.1644</cdr:y>
    </cdr:from>
    <cdr:to>
      <cdr:x>0.95276</cdr:x>
      <cdr:y>0.20112</cdr:y>
    </cdr:to>
    <cdr:sp macro="" textlink="">
      <cdr:nvSpPr>
        <cdr:cNvPr id="19" name="TextBox 2"/>
        <cdr:cNvSpPr txBox="1"/>
      </cdr:nvSpPr>
      <cdr:spPr>
        <a:xfrm xmlns:a="http://schemas.openxmlformats.org/drawingml/2006/main">
          <a:off x="15160891" y="1758818"/>
          <a:ext cx="1263421"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+ 109</a:t>
          </a:r>
        </a:p>
      </cdr:txBody>
    </cdr:sp>
  </cdr:relSizeAnchor>
  <cdr:relSizeAnchor xmlns:cdr="http://schemas.openxmlformats.org/drawingml/2006/chartDrawing">
    <cdr:from>
      <cdr:x>0.87605</cdr:x>
      <cdr:y>0.24748</cdr:y>
    </cdr:from>
    <cdr:to>
      <cdr:x>0.94935</cdr:x>
      <cdr:y>0.2842</cdr:y>
    </cdr:to>
    <cdr:sp macro="" textlink="">
      <cdr:nvSpPr>
        <cdr:cNvPr id="20" name="TextBox 2"/>
        <cdr:cNvSpPr txBox="1"/>
      </cdr:nvSpPr>
      <cdr:spPr>
        <a:xfrm xmlns:a="http://schemas.openxmlformats.org/drawingml/2006/main">
          <a:off x="15101932" y="2647653"/>
          <a:ext cx="1263593"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+ 9</a:t>
          </a:r>
        </a:p>
      </cdr:txBody>
    </cdr:sp>
  </cdr:relSizeAnchor>
  <cdr:relSizeAnchor xmlns:cdr="http://schemas.openxmlformats.org/drawingml/2006/chartDrawing">
    <cdr:from>
      <cdr:x>0.8808</cdr:x>
      <cdr:y>0.33338</cdr:y>
    </cdr:from>
    <cdr:to>
      <cdr:x>0.9541</cdr:x>
      <cdr:y>0.37009</cdr:y>
    </cdr:to>
    <cdr:sp macro="" textlink="">
      <cdr:nvSpPr>
        <cdr:cNvPr id="21" name="TextBox 2"/>
        <cdr:cNvSpPr txBox="1"/>
      </cdr:nvSpPr>
      <cdr:spPr>
        <a:xfrm xmlns:a="http://schemas.openxmlformats.org/drawingml/2006/main">
          <a:off x="15183883" y="3566673"/>
          <a:ext cx="1263593" cy="392742"/>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47</a:t>
          </a:r>
          <a:endParaRPr lang="lv-LV" sz="2400" b="1">
            <a:solidFill>
              <a:srgbClr val="C00000"/>
            </a:solidFill>
          </a:endParaRPr>
        </a:p>
      </cdr:txBody>
    </cdr:sp>
  </cdr:relSizeAnchor>
  <cdr:relSizeAnchor xmlns:cdr="http://schemas.openxmlformats.org/drawingml/2006/chartDrawing">
    <cdr:from>
      <cdr:x>0.88133</cdr:x>
      <cdr:y>0.7427</cdr:y>
    </cdr:from>
    <cdr:to>
      <cdr:x>0.95462</cdr:x>
      <cdr:y>0.77942</cdr:y>
    </cdr:to>
    <cdr:sp macro="" textlink="">
      <cdr:nvSpPr>
        <cdr:cNvPr id="23" name="TextBox 2"/>
        <cdr:cNvSpPr txBox="1"/>
      </cdr:nvSpPr>
      <cdr:spPr>
        <a:xfrm xmlns:a="http://schemas.openxmlformats.org/drawingml/2006/main">
          <a:off x="15192924" y="7945804"/>
          <a:ext cx="1263421" cy="392849"/>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3</a:t>
          </a:r>
          <a:r>
            <a:rPr lang="lv-LV" sz="2400" b="1">
              <a:solidFill>
                <a:srgbClr val="C00000"/>
              </a:solidFill>
            </a:rPr>
            <a:t>7</a:t>
          </a:r>
        </a:p>
      </cdr:txBody>
    </cdr:sp>
  </cdr:relSizeAnchor>
  <cdr:relSizeAnchor xmlns:cdr="http://schemas.openxmlformats.org/drawingml/2006/chartDrawing">
    <cdr:from>
      <cdr:x>0.88026</cdr:x>
      <cdr:y>0.49376</cdr:y>
    </cdr:from>
    <cdr:to>
      <cdr:x>0.95355</cdr:x>
      <cdr:y>0.53048</cdr:y>
    </cdr:to>
    <cdr:sp macro="" textlink="">
      <cdr:nvSpPr>
        <cdr:cNvPr id="24" name="TextBox 2"/>
        <cdr:cNvSpPr txBox="1"/>
      </cdr:nvSpPr>
      <cdr:spPr>
        <a:xfrm xmlns:a="http://schemas.openxmlformats.org/drawingml/2006/main">
          <a:off x="15174417" y="5282501"/>
          <a:ext cx="1263420"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+ 15</a:t>
          </a:r>
        </a:p>
      </cdr:txBody>
    </cdr:sp>
  </cdr:relSizeAnchor>
  <cdr:relSizeAnchor xmlns:cdr="http://schemas.openxmlformats.org/drawingml/2006/chartDrawing">
    <cdr:from>
      <cdr:x>0.87503</cdr:x>
      <cdr:y>0.41429</cdr:y>
    </cdr:from>
    <cdr:to>
      <cdr:x>0.94833</cdr:x>
      <cdr:y>0.451</cdr:y>
    </cdr:to>
    <cdr:sp macro="" textlink="">
      <cdr:nvSpPr>
        <cdr:cNvPr id="22" name="TextBox 2">
          <a:extLst xmlns:a="http://schemas.openxmlformats.org/drawingml/2006/main">
            <a:ext uri="{FF2B5EF4-FFF2-40B4-BE49-F238E27FC236}">
              <a16:creationId xmlns:a16="http://schemas.microsoft.com/office/drawing/2014/main" id="{9038B97E-DBE1-41AA-AEDB-4A431EE4D671}"/>
            </a:ext>
          </a:extLst>
        </cdr:cNvPr>
        <cdr:cNvSpPr txBox="1"/>
      </cdr:nvSpPr>
      <cdr:spPr>
        <a:xfrm xmlns:a="http://schemas.openxmlformats.org/drawingml/2006/main">
          <a:off x="15084385" y="4432290"/>
          <a:ext cx="1263593" cy="392743"/>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1</a:t>
          </a:r>
          <a:endParaRPr lang="lv-LV" sz="2400" b="1">
            <a:solidFill>
              <a:srgbClr val="C00000"/>
            </a:solidFill>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kase.gov.lv/parskati/es-lidzeklu-izmantosana"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6" tint="0.59999389629810485"/>
    <pageSetUpPr fitToPage="1"/>
  </sheetPr>
  <dimension ref="A1:G224"/>
  <sheetViews>
    <sheetView zoomScale="70" zoomScaleNormal="70" workbookViewId="0">
      <pane xSplit="3" ySplit="5" topLeftCell="D203" activePane="bottomRight" state="frozen"/>
      <selection pane="topRight" activeCell="F1" sqref="F1"/>
      <selection pane="bottomLeft" activeCell="A13" sqref="A13"/>
      <selection pane="bottomRight" activeCell="A208" sqref="A208"/>
    </sheetView>
  </sheetViews>
  <sheetFormatPr defaultColWidth="9.42578125" defaultRowHeight="18.75" outlineLevelCol="1" x14ac:dyDescent="0.3"/>
  <cols>
    <col min="1" max="1" width="12.5703125" style="148" customWidth="1"/>
    <col min="2" max="2" width="77.42578125" style="167" customWidth="1"/>
    <col min="3" max="3" width="15.42578125" style="150" customWidth="1"/>
    <col min="4" max="4" width="109.42578125" style="151" customWidth="1" outlineLevel="1"/>
    <col min="5" max="5" width="43.42578125" style="1" customWidth="1"/>
    <col min="6" max="6" width="71.42578125" style="1" customWidth="1"/>
    <col min="7" max="7" width="44.5703125" style="1" customWidth="1"/>
    <col min="8" max="16384" width="9.42578125" style="1"/>
  </cols>
  <sheetData>
    <row r="1" spans="1:7" ht="55.5" customHeight="1" x14ac:dyDescent="0.35">
      <c r="A1" s="504" t="s">
        <v>1523</v>
      </c>
      <c r="B1" s="504"/>
    </row>
    <row r="2" spans="1:7" ht="25.5" x14ac:dyDescent="0.35">
      <c r="B2" s="149"/>
    </row>
    <row r="3" spans="1:7" ht="18.75" customHeight="1" x14ac:dyDescent="0.3">
      <c r="A3" s="500" t="s">
        <v>634</v>
      </c>
      <c r="B3" s="501"/>
      <c r="C3" s="501"/>
      <c r="D3" s="502"/>
      <c r="E3" s="503" t="s">
        <v>635</v>
      </c>
      <c r="F3" s="503"/>
      <c r="G3" s="503"/>
    </row>
    <row r="4" spans="1:7" ht="62.25" customHeight="1" x14ac:dyDescent="0.3">
      <c r="A4" s="152" t="s">
        <v>3</v>
      </c>
      <c r="B4" s="153" t="s">
        <v>636</v>
      </c>
      <c r="C4" s="66" t="s">
        <v>637</v>
      </c>
      <c r="D4" s="66" t="s">
        <v>638</v>
      </c>
      <c r="E4" s="154" t="s">
        <v>639</v>
      </c>
      <c r="F4" s="154" t="s">
        <v>640</v>
      </c>
      <c r="G4" s="154" t="s">
        <v>641</v>
      </c>
    </row>
    <row r="5" spans="1:7" ht="18" customHeight="1" x14ac:dyDescent="0.3">
      <c r="A5" s="155" t="s">
        <v>238</v>
      </c>
      <c r="B5" s="155" t="s">
        <v>249</v>
      </c>
      <c r="C5" s="155" t="s">
        <v>253</v>
      </c>
      <c r="D5" s="156" t="s">
        <v>263</v>
      </c>
      <c r="E5" s="157" t="s">
        <v>272</v>
      </c>
      <c r="F5" s="157" t="s">
        <v>284</v>
      </c>
      <c r="G5" s="157" t="s">
        <v>295</v>
      </c>
    </row>
    <row r="6" spans="1:7" x14ac:dyDescent="0.3">
      <c r="A6" s="158" t="s">
        <v>0</v>
      </c>
      <c r="B6" s="159" t="s">
        <v>1</v>
      </c>
      <c r="C6" s="160"/>
      <c r="D6" s="161"/>
      <c r="E6" s="40" t="s">
        <v>642</v>
      </c>
      <c r="F6" s="40" t="s">
        <v>643</v>
      </c>
      <c r="G6" s="40" t="s">
        <v>644</v>
      </c>
    </row>
    <row r="7" spans="1:7" ht="75" x14ac:dyDescent="0.3">
      <c r="A7" s="387" t="s">
        <v>4</v>
      </c>
      <c r="B7" s="275" t="s">
        <v>5</v>
      </c>
      <c r="C7" s="275"/>
      <c r="D7" s="275"/>
      <c r="E7" s="275" t="s">
        <v>645</v>
      </c>
      <c r="F7" s="275" t="s">
        <v>646</v>
      </c>
      <c r="G7" s="388" t="s">
        <v>1392</v>
      </c>
    </row>
    <row r="8" spans="1:7" ht="95.25" customHeight="1" x14ac:dyDescent="0.3">
      <c r="A8" s="387" t="s">
        <v>428</v>
      </c>
      <c r="B8" s="275" t="s">
        <v>6</v>
      </c>
      <c r="C8" s="275"/>
      <c r="D8" s="275"/>
      <c r="E8" s="275" t="s">
        <v>647</v>
      </c>
      <c r="F8" s="275" t="s">
        <v>648</v>
      </c>
      <c r="G8" s="275" t="s">
        <v>649</v>
      </c>
    </row>
    <row r="9" spans="1:7" ht="90.75" customHeight="1" x14ac:dyDescent="0.3">
      <c r="A9" s="389" t="s">
        <v>239</v>
      </c>
      <c r="B9" s="275" t="s">
        <v>161</v>
      </c>
      <c r="C9" s="275" t="s">
        <v>348</v>
      </c>
      <c r="D9" s="275" t="s">
        <v>650</v>
      </c>
      <c r="E9" s="275" t="s">
        <v>161</v>
      </c>
      <c r="F9" s="275" t="s">
        <v>651</v>
      </c>
      <c r="G9" s="275" t="s">
        <v>652</v>
      </c>
    </row>
    <row r="10" spans="1:7" ht="46.5" customHeight="1" x14ac:dyDescent="0.3">
      <c r="A10" s="389" t="s">
        <v>240</v>
      </c>
      <c r="B10" s="275" t="s">
        <v>162</v>
      </c>
      <c r="C10" s="275" t="s">
        <v>348</v>
      </c>
      <c r="D10" s="275" t="s">
        <v>653</v>
      </c>
      <c r="E10" s="275" t="s">
        <v>654</v>
      </c>
      <c r="F10" s="390" t="s">
        <v>655</v>
      </c>
      <c r="G10" s="275" t="s">
        <v>656</v>
      </c>
    </row>
    <row r="11" spans="1:7" ht="70.5" customHeight="1" x14ac:dyDescent="0.3">
      <c r="A11" s="389" t="s">
        <v>241</v>
      </c>
      <c r="B11" s="275" t="s">
        <v>163</v>
      </c>
      <c r="C11" s="275" t="s">
        <v>348</v>
      </c>
      <c r="D11" s="275" t="s">
        <v>657</v>
      </c>
      <c r="E11" s="275" t="s">
        <v>163</v>
      </c>
      <c r="F11" s="275" t="s">
        <v>658</v>
      </c>
      <c r="G11" s="275" t="s">
        <v>658</v>
      </c>
    </row>
    <row r="12" spans="1:7" ht="63" customHeight="1" x14ac:dyDescent="0.3">
      <c r="A12" s="389" t="s">
        <v>242</v>
      </c>
      <c r="B12" s="275" t="s">
        <v>164</v>
      </c>
      <c r="C12" s="275" t="s">
        <v>348</v>
      </c>
      <c r="D12" s="275" t="s">
        <v>659</v>
      </c>
      <c r="E12" s="275" t="s">
        <v>660</v>
      </c>
      <c r="F12" s="275" t="s">
        <v>661</v>
      </c>
      <c r="G12" s="275" t="s">
        <v>662</v>
      </c>
    </row>
    <row r="13" spans="1:7" ht="114" customHeight="1" x14ac:dyDescent="0.3">
      <c r="A13" s="389" t="s">
        <v>243</v>
      </c>
      <c r="B13" s="275" t="s">
        <v>165</v>
      </c>
      <c r="C13" s="275" t="s">
        <v>348</v>
      </c>
      <c r="D13" s="275" t="s">
        <v>663</v>
      </c>
      <c r="E13" s="275" t="s">
        <v>664</v>
      </c>
      <c r="F13" s="275" t="s">
        <v>665</v>
      </c>
      <c r="G13" s="275" t="s">
        <v>666</v>
      </c>
    </row>
    <row r="14" spans="1:7" ht="255" customHeight="1" x14ac:dyDescent="0.3">
      <c r="A14" s="387" t="s">
        <v>7</v>
      </c>
      <c r="B14" s="275" t="s">
        <v>377</v>
      </c>
      <c r="C14" s="275"/>
      <c r="D14" s="275"/>
      <c r="E14" s="275" t="s">
        <v>667</v>
      </c>
      <c r="F14" s="275" t="s">
        <v>668</v>
      </c>
      <c r="G14" s="275" t="s">
        <v>669</v>
      </c>
    </row>
    <row r="15" spans="1:7" x14ac:dyDescent="0.3">
      <c r="A15" s="387" t="s">
        <v>429</v>
      </c>
      <c r="B15" s="275" t="s">
        <v>8</v>
      </c>
      <c r="C15" s="275"/>
      <c r="D15" s="275"/>
      <c r="E15" s="275" t="s">
        <v>670</v>
      </c>
      <c r="F15" s="275" t="s">
        <v>671</v>
      </c>
      <c r="G15" s="275" t="s">
        <v>672</v>
      </c>
    </row>
    <row r="16" spans="1:7" ht="47.25" customHeight="1" x14ac:dyDescent="0.3">
      <c r="A16" s="389" t="s">
        <v>244</v>
      </c>
      <c r="B16" s="275" t="s">
        <v>166</v>
      </c>
      <c r="C16" s="275" t="s">
        <v>349</v>
      </c>
      <c r="D16" s="275" t="s">
        <v>673</v>
      </c>
      <c r="E16" s="275" t="s">
        <v>674</v>
      </c>
      <c r="F16" s="275" t="s">
        <v>675</v>
      </c>
      <c r="G16" s="275" t="s">
        <v>676</v>
      </c>
    </row>
    <row r="17" spans="1:7" ht="87.75" customHeight="1" x14ac:dyDescent="0.3">
      <c r="A17" s="389" t="s">
        <v>245</v>
      </c>
      <c r="B17" s="275" t="s">
        <v>167</v>
      </c>
      <c r="C17" s="275" t="s">
        <v>349</v>
      </c>
      <c r="D17" s="275" t="s">
        <v>677</v>
      </c>
      <c r="E17" s="275" t="s">
        <v>678</v>
      </c>
      <c r="F17" s="390" t="s">
        <v>679</v>
      </c>
      <c r="G17" s="275" t="s">
        <v>680</v>
      </c>
    </row>
    <row r="18" spans="1:7" ht="50.25" customHeight="1" x14ac:dyDescent="0.3">
      <c r="A18" s="389" t="s">
        <v>246</v>
      </c>
      <c r="B18" s="275" t="s">
        <v>168</v>
      </c>
      <c r="C18" s="275" t="s">
        <v>349</v>
      </c>
      <c r="D18" s="275" t="s">
        <v>681</v>
      </c>
      <c r="E18" s="275" t="s">
        <v>682</v>
      </c>
      <c r="F18" s="390" t="s">
        <v>683</v>
      </c>
      <c r="G18" s="275" t="s">
        <v>684</v>
      </c>
    </row>
    <row r="19" spans="1:7" ht="37.5" customHeight="1" x14ac:dyDescent="0.3">
      <c r="A19" s="387" t="s">
        <v>430</v>
      </c>
      <c r="B19" s="275" t="s">
        <v>9</v>
      </c>
      <c r="C19" s="275"/>
      <c r="D19" s="275"/>
      <c r="E19" s="275" t="s">
        <v>685</v>
      </c>
      <c r="F19" s="275" t="s">
        <v>686</v>
      </c>
      <c r="G19" s="275" t="s">
        <v>687</v>
      </c>
    </row>
    <row r="20" spans="1:7" ht="61.5" customHeight="1" x14ac:dyDescent="0.3">
      <c r="A20" s="389" t="s">
        <v>247</v>
      </c>
      <c r="B20" s="275" t="s">
        <v>169</v>
      </c>
      <c r="C20" s="275" t="s">
        <v>349</v>
      </c>
      <c r="D20" s="275" t="s">
        <v>688</v>
      </c>
      <c r="E20" s="275" t="s">
        <v>689</v>
      </c>
      <c r="F20" s="275" t="s">
        <v>690</v>
      </c>
      <c r="G20" s="275" t="s">
        <v>691</v>
      </c>
    </row>
    <row r="21" spans="1:7" ht="87.75" customHeight="1" x14ac:dyDescent="0.3">
      <c r="A21" s="389" t="s">
        <v>248</v>
      </c>
      <c r="B21" s="275" t="s">
        <v>170</v>
      </c>
      <c r="C21" s="275" t="s">
        <v>349</v>
      </c>
      <c r="D21" s="275" t="s">
        <v>692</v>
      </c>
      <c r="E21" s="275" t="s">
        <v>693</v>
      </c>
      <c r="F21" s="275" t="s">
        <v>694</v>
      </c>
      <c r="G21" s="275" t="s">
        <v>695</v>
      </c>
    </row>
    <row r="22" spans="1:7" ht="74.25" customHeight="1" x14ac:dyDescent="0.3">
      <c r="A22" s="389" t="s">
        <v>395</v>
      </c>
      <c r="B22" s="275" t="s">
        <v>394</v>
      </c>
      <c r="C22" s="275" t="s">
        <v>349</v>
      </c>
      <c r="D22" s="275" t="s">
        <v>696</v>
      </c>
      <c r="E22" s="275" t="s">
        <v>697</v>
      </c>
      <c r="F22" s="275" t="s">
        <v>698</v>
      </c>
      <c r="G22" s="275" t="s">
        <v>699</v>
      </c>
    </row>
    <row r="23" spans="1:7" s="22" customFormat="1" ht="48" customHeight="1" x14ac:dyDescent="0.3">
      <c r="A23" s="391" t="s">
        <v>12</v>
      </c>
      <c r="B23" s="392" t="s">
        <v>13</v>
      </c>
      <c r="C23" s="392"/>
      <c r="D23" s="392"/>
      <c r="E23" s="392" t="s">
        <v>700</v>
      </c>
      <c r="F23" s="392" t="s">
        <v>701</v>
      </c>
      <c r="G23" s="392" t="s">
        <v>702</v>
      </c>
    </row>
    <row r="24" spans="1:7" ht="94.5" customHeight="1" x14ac:dyDescent="0.3">
      <c r="A24" s="387" t="s">
        <v>10</v>
      </c>
      <c r="B24" s="275" t="s">
        <v>14</v>
      </c>
      <c r="C24" s="275"/>
      <c r="D24" s="275"/>
      <c r="E24" s="275" t="s">
        <v>703</v>
      </c>
      <c r="F24" s="275" t="s">
        <v>704</v>
      </c>
      <c r="G24" s="275" t="s">
        <v>705</v>
      </c>
    </row>
    <row r="25" spans="1:7" ht="67.5" customHeight="1" x14ac:dyDescent="0.3">
      <c r="A25" s="387" t="s">
        <v>250</v>
      </c>
      <c r="B25" s="275" t="s">
        <v>15</v>
      </c>
      <c r="C25" s="275" t="s">
        <v>347</v>
      </c>
      <c r="D25" s="275" t="s">
        <v>706</v>
      </c>
      <c r="E25" s="388" t="s">
        <v>707</v>
      </c>
      <c r="F25" s="275" t="s">
        <v>708</v>
      </c>
      <c r="G25" s="388" t="s">
        <v>709</v>
      </c>
    </row>
    <row r="26" spans="1:7" ht="78.75" customHeight="1" x14ac:dyDescent="0.3">
      <c r="A26" s="387" t="s">
        <v>1342</v>
      </c>
      <c r="B26" s="275" t="s">
        <v>1340</v>
      </c>
      <c r="C26" s="275" t="s">
        <v>347</v>
      </c>
      <c r="D26" s="275"/>
      <c r="E26" s="388" t="s">
        <v>1393</v>
      </c>
      <c r="F26" s="388" t="s">
        <v>1394</v>
      </c>
      <c r="G26" s="388" t="s">
        <v>1395</v>
      </c>
    </row>
    <row r="27" spans="1:7" ht="105" customHeight="1" x14ac:dyDescent="0.3">
      <c r="A27" s="387" t="s">
        <v>1522</v>
      </c>
      <c r="B27" s="275" t="s">
        <v>493</v>
      </c>
      <c r="C27" s="275"/>
      <c r="D27" s="275"/>
      <c r="E27" s="275" t="s">
        <v>710</v>
      </c>
      <c r="F27" s="275" t="s">
        <v>711</v>
      </c>
      <c r="G27" s="275" t="s">
        <v>712</v>
      </c>
    </row>
    <row r="28" spans="1:7" ht="103.5" customHeight="1" x14ac:dyDescent="0.3">
      <c r="A28" s="387" t="s">
        <v>431</v>
      </c>
      <c r="B28" s="275" t="s">
        <v>36</v>
      </c>
      <c r="C28" s="275"/>
      <c r="D28" s="275"/>
      <c r="E28" s="275" t="s">
        <v>713</v>
      </c>
      <c r="F28" s="275" t="s">
        <v>714</v>
      </c>
      <c r="G28" s="275" t="s">
        <v>715</v>
      </c>
    </row>
    <row r="29" spans="1:7" ht="72" customHeight="1" x14ac:dyDescent="0.3">
      <c r="A29" s="389" t="s">
        <v>251</v>
      </c>
      <c r="B29" s="275" t="s">
        <v>171</v>
      </c>
      <c r="C29" s="275" t="s">
        <v>350</v>
      </c>
      <c r="D29" s="275" t="s">
        <v>716</v>
      </c>
      <c r="E29" s="275" t="s">
        <v>1239</v>
      </c>
      <c r="F29" s="275" t="s">
        <v>717</v>
      </c>
      <c r="G29" s="275" t="s">
        <v>718</v>
      </c>
    </row>
    <row r="30" spans="1:7" ht="37.5" customHeight="1" x14ac:dyDescent="0.3">
      <c r="A30" s="389" t="s">
        <v>252</v>
      </c>
      <c r="B30" s="275" t="s">
        <v>494</v>
      </c>
      <c r="C30" s="275" t="s">
        <v>350</v>
      </c>
      <c r="D30" s="275" t="s">
        <v>719</v>
      </c>
      <c r="E30" s="275" t="s">
        <v>494</v>
      </c>
      <c r="F30" s="275" t="s">
        <v>720</v>
      </c>
      <c r="G30" s="275" t="s">
        <v>720</v>
      </c>
    </row>
    <row r="31" spans="1:7" ht="95.25" customHeight="1" x14ac:dyDescent="0.3">
      <c r="A31" s="391" t="s">
        <v>18</v>
      </c>
      <c r="B31" s="392" t="s">
        <v>19</v>
      </c>
      <c r="C31" s="392"/>
      <c r="D31" s="392"/>
      <c r="E31" s="392" t="s">
        <v>721</v>
      </c>
      <c r="F31" s="392" t="s">
        <v>722</v>
      </c>
      <c r="G31" s="392" t="s">
        <v>723</v>
      </c>
    </row>
    <row r="32" spans="1:7" ht="66" customHeight="1" x14ac:dyDescent="0.3">
      <c r="A32" s="387" t="s">
        <v>20</v>
      </c>
      <c r="B32" s="275" t="s">
        <v>21</v>
      </c>
      <c r="C32" s="275"/>
      <c r="D32" s="275"/>
      <c r="E32" s="275" t="s">
        <v>724</v>
      </c>
      <c r="F32" s="275" t="s">
        <v>1396</v>
      </c>
      <c r="G32" s="275" t="s">
        <v>725</v>
      </c>
    </row>
    <row r="33" spans="1:7" ht="51" customHeight="1" x14ac:dyDescent="0.3">
      <c r="A33" s="387" t="s">
        <v>432</v>
      </c>
      <c r="B33" s="275" t="s">
        <v>497</v>
      </c>
      <c r="C33" s="275"/>
      <c r="D33" s="275"/>
      <c r="E33" s="275" t="s">
        <v>726</v>
      </c>
      <c r="F33" s="275" t="s">
        <v>727</v>
      </c>
      <c r="G33" s="275" t="s">
        <v>728</v>
      </c>
    </row>
    <row r="34" spans="1:7" ht="58.5" customHeight="1" x14ac:dyDescent="0.3">
      <c r="A34" s="389" t="s">
        <v>254</v>
      </c>
      <c r="B34" s="275" t="s">
        <v>173</v>
      </c>
      <c r="C34" s="275" t="s">
        <v>349</v>
      </c>
      <c r="D34" s="275" t="s">
        <v>729</v>
      </c>
      <c r="E34" s="275" t="s">
        <v>173</v>
      </c>
      <c r="F34" s="275" t="s">
        <v>730</v>
      </c>
      <c r="G34" s="275" t="s">
        <v>730</v>
      </c>
    </row>
    <row r="35" spans="1:7" ht="45" customHeight="1" x14ac:dyDescent="0.3">
      <c r="A35" s="389" t="s">
        <v>255</v>
      </c>
      <c r="B35" s="275" t="s">
        <v>174</v>
      </c>
      <c r="C35" s="275" t="s">
        <v>349</v>
      </c>
      <c r="D35" s="275" t="s">
        <v>731</v>
      </c>
      <c r="E35" s="275" t="s">
        <v>174</v>
      </c>
      <c r="F35" s="275" t="s">
        <v>732</v>
      </c>
      <c r="G35" s="275" t="s">
        <v>732</v>
      </c>
    </row>
    <row r="36" spans="1:7" ht="56.25" customHeight="1" x14ac:dyDescent="0.3">
      <c r="A36" s="393" t="s">
        <v>256</v>
      </c>
      <c r="B36" s="394" t="s">
        <v>1284</v>
      </c>
      <c r="C36" s="394" t="s">
        <v>349</v>
      </c>
      <c r="D36" s="394" t="s">
        <v>733</v>
      </c>
      <c r="E36" s="394" t="s">
        <v>1397</v>
      </c>
      <c r="F36" s="394" t="s">
        <v>1398</v>
      </c>
      <c r="G36" s="394" t="s">
        <v>1399</v>
      </c>
    </row>
    <row r="37" spans="1:7" ht="52.5" customHeight="1" x14ac:dyDescent="0.3">
      <c r="A37" s="389" t="s">
        <v>257</v>
      </c>
      <c r="B37" s="275" t="s">
        <v>176</v>
      </c>
      <c r="C37" s="275" t="s">
        <v>349</v>
      </c>
      <c r="D37" s="275" t="s">
        <v>734</v>
      </c>
      <c r="E37" s="388" t="s">
        <v>735</v>
      </c>
      <c r="F37" s="275" t="s">
        <v>736</v>
      </c>
      <c r="G37" s="388" t="s">
        <v>736</v>
      </c>
    </row>
    <row r="38" spans="1:7" ht="72" customHeight="1" x14ac:dyDescent="0.3">
      <c r="A38" s="389" t="s">
        <v>258</v>
      </c>
      <c r="B38" s="275" t="s">
        <v>177</v>
      </c>
      <c r="C38" s="275" t="s">
        <v>349</v>
      </c>
      <c r="D38" s="275" t="s">
        <v>737</v>
      </c>
      <c r="E38" s="275" t="s">
        <v>738</v>
      </c>
      <c r="F38" s="388" t="s">
        <v>739</v>
      </c>
      <c r="G38" s="275" t="s">
        <v>740</v>
      </c>
    </row>
    <row r="39" spans="1:7" ht="37.5" customHeight="1" x14ac:dyDescent="0.3">
      <c r="A39" s="389" t="s">
        <v>259</v>
      </c>
      <c r="B39" s="275" t="s">
        <v>178</v>
      </c>
      <c r="C39" s="275" t="s">
        <v>349</v>
      </c>
      <c r="D39" s="275" t="s">
        <v>741</v>
      </c>
      <c r="E39" s="275" t="s">
        <v>742</v>
      </c>
      <c r="F39" s="275" t="s">
        <v>743</v>
      </c>
      <c r="G39" s="275" t="s">
        <v>744</v>
      </c>
    </row>
    <row r="40" spans="1:7" ht="31.5" customHeight="1" x14ac:dyDescent="0.3">
      <c r="A40" s="389" t="s">
        <v>1400</v>
      </c>
      <c r="B40" s="275" t="s">
        <v>1401</v>
      </c>
      <c r="C40" s="275" t="s">
        <v>349</v>
      </c>
      <c r="D40" s="275"/>
      <c r="E40" s="275" t="s">
        <v>1365</v>
      </c>
      <c r="F40" s="275" t="s">
        <v>1402</v>
      </c>
      <c r="G40" s="275" t="s">
        <v>1403</v>
      </c>
    </row>
    <row r="41" spans="1:7" ht="37.5" customHeight="1" x14ac:dyDescent="0.3">
      <c r="A41" s="387" t="s">
        <v>433</v>
      </c>
      <c r="B41" s="275" t="s">
        <v>38</v>
      </c>
      <c r="C41" s="275"/>
      <c r="D41" s="275"/>
      <c r="E41" s="275" t="s">
        <v>38</v>
      </c>
      <c r="F41" s="275" t="s">
        <v>745</v>
      </c>
      <c r="G41" s="275" t="s">
        <v>746</v>
      </c>
    </row>
    <row r="42" spans="1:7" ht="66" customHeight="1" x14ac:dyDescent="0.3">
      <c r="A42" s="389" t="s">
        <v>260</v>
      </c>
      <c r="B42" s="275" t="s">
        <v>179</v>
      </c>
      <c r="C42" s="275" t="s">
        <v>349</v>
      </c>
      <c r="D42" s="275" t="s">
        <v>747</v>
      </c>
      <c r="E42" s="275" t="s">
        <v>179</v>
      </c>
      <c r="F42" s="275" t="s">
        <v>748</v>
      </c>
      <c r="G42" s="275" t="s">
        <v>748</v>
      </c>
    </row>
    <row r="43" spans="1:7" ht="37.5" customHeight="1" x14ac:dyDescent="0.3">
      <c r="A43" s="389" t="s">
        <v>261</v>
      </c>
      <c r="B43" s="275" t="s">
        <v>180</v>
      </c>
      <c r="C43" s="275" t="s">
        <v>349</v>
      </c>
      <c r="D43" s="275" t="s">
        <v>749</v>
      </c>
      <c r="E43" s="275" t="s">
        <v>180</v>
      </c>
      <c r="F43" s="275" t="s">
        <v>750</v>
      </c>
      <c r="G43" s="275" t="s">
        <v>750</v>
      </c>
    </row>
    <row r="44" spans="1:7" ht="52.5" customHeight="1" x14ac:dyDescent="0.3">
      <c r="A44" s="387" t="s">
        <v>22</v>
      </c>
      <c r="B44" s="275" t="s">
        <v>26</v>
      </c>
      <c r="C44" s="275"/>
      <c r="D44" s="275"/>
      <c r="E44" s="275" t="s">
        <v>751</v>
      </c>
      <c r="F44" s="275" t="s">
        <v>752</v>
      </c>
      <c r="G44" s="388" t="s">
        <v>753</v>
      </c>
    </row>
    <row r="45" spans="1:7" ht="87.75" customHeight="1" x14ac:dyDescent="0.3">
      <c r="A45" s="387" t="s">
        <v>434</v>
      </c>
      <c r="B45" s="275" t="s">
        <v>39</v>
      </c>
      <c r="C45" s="275"/>
      <c r="D45" s="275"/>
      <c r="E45" s="275" t="s">
        <v>754</v>
      </c>
      <c r="F45" s="275" t="s">
        <v>755</v>
      </c>
      <c r="G45" s="275" t="s">
        <v>756</v>
      </c>
    </row>
    <row r="46" spans="1:7" ht="56.25" customHeight="1" x14ac:dyDescent="0.3">
      <c r="A46" s="389" t="s">
        <v>411</v>
      </c>
      <c r="B46" s="275" t="s">
        <v>182</v>
      </c>
      <c r="C46" s="275" t="s">
        <v>349</v>
      </c>
      <c r="D46" s="275" t="s">
        <v>757</v>
      </c>
      <c r="E46" s="275" t="s">
        <v>182</v>
      </c>
      <c r="F46" s="275" t="s">
        <v>758</v>
      </c>
      <c r="G46" s="275" t="s">
        <v>758</v>
      </c>
    </row>
    <row r="47" spans="1:7" ht="93.75" customHeight="1" x14ac:dyDescent="0.3">
      <c r="A47" s="389" t="s">
        <v>364</v>
      </c>
      <c r="B47" s="275" t="s">
        <v>181</v>
      </c>
      <c r="C47" s="275" t="s">
        <v>349</v>
      </c>
      <c r="D47" s="275" t="s">
        <v>759</v>
      </c>
      <c r="E47" s="275" t="s">
        <v>760</v>
      </c>
      <c r="F47" s="275" t="s">
        <v>761</v>
      </c>
      <c r="G47" s="275" t="s">
        <v>762</v>
      </c>
    </row>
    <row r="48" spans="1:7" ht="117.75" customHeight="1" x14ac:dyDescent="0.3">
      <c r="A48" s="387" t="s">
        <v>23</v>
      </c>
      <c r="B48" s="275" t="s">
        <v>27</v>
      </c>
      <c r="C48" s="275"/>
      <c r="D48" s="275"/>
      <c r="E48" s="275" t="s">
        <v>763</v>
      </c>
      <c r="F48" s="275" t="s">
        <v>764</v>
      </c>
      <c r="G48" s="275" t="s">
        <v>765</v>
      </c>
    </row>
    <row r="49" spans="1:7" ht="188.25" customHeight="1" x14ac:dyDescent="0.3">
      <c r="A49" s="387" t="s">
        <v>262</v>
      </c>
      <c r="B49" s="275" t="s">
        <v>40</v>
      </c>
      <c r="C49" s="275" t="s">
        <v>350</v>
      </c>
      <c r="D49" s="275" t="s">
        <v>766</v>
      </c>
      <c r="E49" s="275" t="s">
        <v>767</v>
      </c>
      <c r="F49" s="275" t="s">
        <v>768</v>
      </c>
      <c r="G49" s="275" t="s">
        <v>769</v>
      </c>
    </row>
    <row r="50" spans="1:7" ht="223.5" customHeight="1" x14ac:dyDescent="0.3">
      <c r="A50" s="387" t="s">
        <v>24</v>
      </c>
      <c r="B50" s="275" t="s">
        <v>28</v>
      </c>
      <c r="C50" s="275"/>
      <c r="D50" s="275"/>
      <c r="E50" s="275" t="s">
        <v>770</v>
      </c>
      <c r="F50" s="275" t="s">
        <v>771</v>
      </c>
      <c r="G50" s="275" t="s">
        <v>772</v>
      </c>
    </row>
    <row r="51" spans="1:7" ht="93.75" customHeight="1" x14ac:dyDescent="0.3">
      <c r="A51" s="387" t="s">
        <v>417</v>
      </c>
      <c r="B51" s="275" t="s">
        <v>41</v>
      </c>
      <c r="C51" s="275" t="s">
        <v>353</v>
      </c>
      <c r="D51" s="275" t="s">
        <v>773</v>
      </c>
      <c r="E51" s="388" t="s">
        <v>774</v>
      </c>
      <c r="F51" s="275" t="s">
        <v>775</v>
      </c>
      <c r="G51" s="388" t="s">
        <v>776</v>
      </c>
    </row>
    <row r="52" spans="1:7" ht="37.5" customHeight="1" x14ac:dyDescent="0.3">
      <c r="A52" s="395" t="s">
        <v>418</v>
      </c>
      <c r="B52" s="388" t="s">
        <v>777</v>
      </c>
      <c r="C52" s="388" t="s">
        <v>354</v>
      </c>
      <c r="D52" s="388" t="s">
        <v>778</v>
      </c>
      <c r="E52" s="275" t="s">
        <v>779</v>
      </c>
      <c r="F52" s="275" t="s">
        <v>780</v>
      </c>
      <c r="G52" s="275" t="s">
        <v>781</v>
      </c>
    </row>
    <row r="53" spans="1:7" ht="37.5" customHeight="1" x14ac:dyDescent="0.3">
      <c r="A53" s="396" t="s">
        <v>458</v>
      </c>
      <c r="B53" s="388" t="s">
        <v>456</v>
      </c>
      <c r="C53" s="388" t="s">
        <v>354</v>
      </c>
      <c r="D53" s="397"/>
      <c r="E53" s="275" t="s">
        <v>782</v>
      </c>
      <c r="F53" s="275" t="s">
        <v>1404</v>
      </c>
      <c r="G53" s="275" t="s">
        <v>783</v>
      </c>
    </row>
    <row r="54" spans="1:7" ht="56.25" customHeight="1" x14ac:dyDescent="0.3">
      <c r="A54" s="396" t="s">
        <v>457</v>
      </c>
      <c r="B54" s="388" t="s">
        <v>459</v>
      </c>
      <c r="C54" s="388" t="s">
        <v>354</v>
      </c>
      <c r="D54" s="397"/>
      <c r="E54" s="275" t="s">
        <v>784</v>
      </c>
      <c r="F54" s="275" t="s">
        <v>785</v>
      </c>
      <c r="G54" s="275" t="s">
        <v>786</v>
      </c>
    </row>
    <row r="55" spans="1:7" ht="59.25" customHeight="1" x14ac:dyDescent="0.3">
      <c r="A55" s="398" t="s">
        <v>1242</v>
      </c>
      <c r="B55" s="399" t="s">
        <v>1241</v>
      </c>
      <c r="C55" s="400" t="s">
        <v>354</v>
      </c>
      <c r="D55" s="401"/>
      <c r="E55" s="394" t="s">
        <v>1241</v>
      </c>
      <c r="F55" s="394" t="s">
        <v>1405</v>
      </c>
      <c r="G55" s="394" t="s">
        <v>1405</v>
      </c>
    </row>
    <row r="56" spans="1:7" ht="82.5" customHeight="1" x14ac:dyDescent="0.3">
      <c r="A56" s="391" t="s">
        <v>29</v>
      </c>
      <c r="B56" s="392" t="s">
        <v>30</v>
      </c>
      <c r="C56" s="392"/>
      <c r="D56" s="392"/>
      <c r="E56" s="392" t="s">
        <v>787</v>
      </c>
      <c r="F56" s="392" t="s">
        <v>788</v>
      </c>
      <c r="G56" s="392" t="s">
        <v>789</v>
      </c>
    </row>
    <row r="57" spans="1:7" ht="101.25" customHeight="1" x14ac:dyDescent="0.3">
      <c r="A57" s="387" t="s">
        <v>31</v>
      </c>
      <c r="B57" s="275" t="s">
        <v>43</v>
      </c>
      <c r="C57" s="275"/>
      <c r="D57" s="275"/>
      <c r="E57" s="275" t="s">
        <v>790</v>
      </c>
      <c r="F57" s="275" t="s">
        <v>791</v>
      </c>
      <c r="G57" s="388" t="s">
        <v>792</v>
      </c>
    </row>
    <row r="58" spans="1:7" ht="56.25" customHeight="1" x14ac:dyDescent="0.3">
      <c r="A58" s="387" t="s">
        <v>264</v>
      </c>
      <c r="B58" s="275" t="s">
        <v>44</v>
      </c>
      <c r="C58" s="275" t="s">
        <v>349</v>
      </c>
      <c r="D58" s="275" t="s">
        <v>793</v>
      </c>
      <c r="E58" s="388" t="s">
        <v>794</v>
      </c>
      <c r="F58" s="275" t="s">
        <v>795</v>
      </c>
      <c r="G58" s="388" t="s">
        <v>796</v>
      </c>
    </row>
    <row r="59" spans="1:7" ht="47.25" customHeight="1" x14ac:dyDescent="0.3">
      <c r="A59" s="387" t="s">
        <v>32</v>
      </c>
      <c r="B59" s="275" t="s">
        <v>42</v>
      </c>
      <c r="C59" s="275" t="s">
        <v>349</v>
      </c>
      <c r="D59" s="275"/>
      <c r="E59" s="388" t="s">
        <v>797</v>
      </c>
      <c r="F59" s="275" t="s">
        <v>795</v>
      </c>
      <c r="G59" s="388" t="s">
        <v>798</v>
      </c>
    </row>
    <row r="60" spans="1:7" ht="54.75" customHeight="1" x14ac:dyDescent="0.3">
      <c r="A60" s="387" t="s">
        <v>435</v>
      </c>
      <c r="B60" s="275" t="s">
        <v>34</v>
      </c>
      <c r="C60" s="275" t="s">
        <v>349</v>
      </c>
      <c r="D60" s="275"/>
      <c r="E60" s="388" t="s">
        <v>797</v>
      </c>
      <c r="F60" s="275" t="s">
        <v>795</v>
      </c>
      <c r="G60" s="388" t="s">
        <v>798</v>
      </c>
    </row>
    <row r="61" spans="1:7" ht="86.25" customHeight="1" x14ac:dyDescent="0.3">
      <c r="A61" s="389" t="s">
        <v>265</v>
      </c>
      <c r="B61" s="275" t="s">
        <v>183</v>
      </c>
      <c r="C61" s="275" t="s">
        <v>349</v>
      </c>
      <c r="D61" s="275" t="s">
        <v>799</v>
      </c>
      <c r="E61" s="275" t="s">
        <v>800</v>
      </c>
      <c r="F61" s="275" t="s">
        <v>801</v>
      </c>
      <c r="G61" s="275" t="s">
        <v>802</v>
      </c>
    </row>
    <row r="62" spans="1:7" ht="37.5" customHeight="1" x14ac:dyDescent="0.3">
      <c r="A62" s="389" t="s">
        <v>266</v>
      </c>
      <c r="B62" s="275" t="s">
        <v>184</v>
      </c>
      <c r="C62" s="275" t="s">
        <v>349</v>
      </c>
      <c r="D62" s="275" t="s">
        <v>803</v>
      </c>
      <c r="E62" s="275" t="s">
        <v>804</v>
      </c>
      <c r="F62" s="275" t="s">
        <v>805</v>
      </c>
      <c r="G62" s="275" t="s">
        <v>806</v>
      </c>
    </row>
    <row r="63" spans="1:7" ht="53.25" customHeight="1" x14ac:dyDescent="0.3">
      <c r="A63" s="387" t="s">
        <v>267</v>
      </c>
      <c r="B63" s="275" t="s">
        <v>46</v>
      </c>
      <c r="C63" s="275" t="s">
        <v>350</v>
      </c>
      <c r="D63" s="275" t="s">
        <v>807</v>
      </c>
      <c r="E63" s="275" t="s">
        <v>808</v>
      </c>
      <c r="F63" s="275" t="s">
        <v>809</v>
      </c>
      <c r="G63" s="275" t="s">
        <v>810</v>
      </c>
    </row>
    <row r="64" spans="1:7" ht="93.75" customHeight="1" x14ac:dyDescent="0.3">
      <c r="A64" s="387" t="s">
        <v>45</v>
      </c>
      <c r="B64" s="275" t="s">
        <v>48</v>
      </c>
      <c r="C64" s="275"/>
      <c r="D64" s="275"/>
      <c r="E64" s="275" t="s">
        <v>811</v>
      </c>
      <c r="F64" s="275" t="s">
        <v>812</v>
      </c>
      <c r="G64" s="275" t="s">
        <v>813</v>
      </c>
    </row>
    <row r="65" spans="1:7" ht="49.5" customHeight="1" x14ac:dyDescent="0.3">
      <c r="A65" s="387" t="s">
        <v>268</v>
      </c>
      <c r="B65" s="275" t="s">
        <v>49</v>
      </c>
      <c r="C65" s="275" t="s">
        <v>349</v>
      </c>
      <c r="D65" s="275" t="s">
        <v>814</v>
      </c>
      <c r="E65" s="388" t="s">
        <v>815</v>
      </c>
      <c r="F65" s="275" t="s">
        <v>816</v>
      </c>
      <c r="G65" s="388" t="s">
        <v>817</v>
      </c>
    </row>
    <row r="66" spans="1:7" ht="93.75" customHeight="1" x14ac:dyDescent="0.3">
      <c r="A66" s="387" t="s">
        <v>47</v>
      </c>
      <c r="B66" s="275" t="s">
        <v>50</v>
      </c>
      <c r="C66" s="275"/>
      <c r="D66" s="275"/>
      <c r="E66" s="275" t="s">
        <v>818</v>
      </c>
      <c r="F66" s="275" t="s">
        <v>819</v>
      </c>
      <c r="G66" s="275" t="s">
        <v>820</v>
      </c>
    </row>
    <row r="67" spans="1:7" ht="42" customHeight="1" x14ac:dyDescent="0.3">
      <c r="A67" s="387" t="s">
        <v>269</v>
      </c>
      <c r="B67" s="275" t="s">
        <v>416</v>
      </c>
      <c r="C67" s="275" t="s">
        <v>347</v>
      </c>
      <c r="D67" s="275" t="s">
        <v>821</v>
      </c>
      <c r="E67" s="275" t="s">
        <v>822</v>
      </c>
      <c r="F67" s="275" t="s">
        <v>823</v>
      </c>
      <c r="G67" s="275" t="s">
        <v>824</v>
      </c>
    </row>
    <row r="68" spans="1:7" ht="46.5" customHeight="1" x14ac:dyDescent="0.3">
      <c r="A68" s="387" t="s">
        <v>33</v>
      </c>
      <c r="B68" s="275" t="s">
        <v>50</v>
      </c>
      <c r="C68" s="275"/>
      <c r="D68" s="275"/>
      <c r="E68" s="275" t="s">
        <v>818</v>
      </c>
      <c r="F68" s="275" t="s">
        <v>825</v>
      </c>
      <c r="G68" s="275" t="s">
        <v>820</v>
      </c>
    </row>
    <row r="69" spans="1:7" ht="37.5" customHeight="1" x14ac:dyDescent="0.3">
      <c r="A69" s="387" t="s">
        <v>436</v>
      </c>
      <c r="B69" s="275" t="s">
        <v>35</v>
      </c>
      <c r="C69" s="275" t="s">
        <v>347</v>
      </c>
      <c r="D69" s="275"/>
      <c r="E69" s="275" t="s">
        <v>826</v>
      </c>
      <c r="F69" s="275" t="s">
        <v>827</v>
      </c>
      <c r="G69" s="275" t="s">
        <v>828</v>
      </c>
    </row>
    <row r="70" spans="1:7" ht="37.5" customHeight="1" x14ac:dyDescent="0.3">
      <c r="A70" s="393" t="s">
        <v>270</v>
      </c>
      <c r="B70" s="394" t="s">
        <v>185</v>
      </c>
      <c r="C70" s="394" t="s">
        <v>347</v>
      </c>
      <c r="D70" s="394" t="s">
        <v>829</v>
      </c>
      <c r="E70" s="394" t="s">
        <v>1406</v>
      </c>
      <c r="F70" s="400" t="s">
        <v>1407</v>
      </c>
      <c r="G70" s="394" t="s">
        <v>1408</v>
      </c>
    </row>
    <row r="71" spans="1:7" ht="56.25" customHeight="1" x14ac:dyDescent="0.3">
      <c r="A71" s="389" t="s">
        <v>271</v>
      </c>
      <c r="B71" s="275" t="s">
        <v>830</v>
      </c>
      <c r="C71" s="275" t="s">
        <v>347</v>
      </c>
      <c r="D71" s="275" t="s">
        <v>831</v>
      </c>
      <c r="E71" s="275" t="s">
        <v>832</v>
      </c>
      <c r="F71" s="275" t="s">
        <v>833</v>
      </c>
      <c r="G71" s="275" t="s">
        <v>834</v>
      </c>
    </row>
    <row r="72" spans="1:7" ht="55.5" customHeight="1" x14ac:dyDescent="0.3">
      <c r="A72" s="391" t="s">
        <v>51</v>
      </c>
      <c r="B72" s="392" t="s">
        <v>367</v>
      </c>
      <c r="C72" s="392"/>
      <c r="D72" s="392"/>
      <c r="E72" s="392" t="s">
        <v>835</v>
      </c>
      <c r="F72" s="392" t="s">
        <v>836</v>
      </c>
      <c r="G72" s="392" t="s">
        <v>837</v>
      </c>
    </row>
    <row r="73" spans="1:7" ht="37.5" customHeight="1" x14ac:dyDescent="0.3">
      <c r="A73" s="387" t="s">
        <v>52</v>
      </c>
      <c r="B73" s="275" t="s">
        <v>58</v>
      </c>
      <c r="C73" s="275"/>
      <c r="D73" s="275"/>
      <c r="E73" s="275" t="s">
        <v>838</v>
      </c>
      <c r="F73" s="275" t="s">
        <v>839</v>
      </c>
      <c r="G73" s="275" t="s">
        <v>840</v>
      </c>
    </row>
    <row r="74" spans="1:7" ht="135" customHeight="1" x14ac:dyDescent="0.3">
      <c r="A74" s="387" t="s">
        <v>273</v>
      </c>
      <c r="B74" s="275" t="s">
        <v>59</v>
      </c>
      <c r="C74" s="275" t="s">
        <v>350</v>
      </c>
      <c r="D74" s="275"/>
      <c r="E74" s="275" t="s">
        <v>841</v>
      </c>
      <c r="F74" s="275" t="s">
        <v>842</v>
      </c>
      <c r="G74" s="275" t="s">
        <v>843</v>
      </c>
    </row>
    <row r="75" spans="1:7" ht="55.5" customHeight="1" x14ac:dyDescent="0.3">
      <c r="A75" s="387" t="s">
        <v>274</v>
      </c>
      <c r="B75" s="275" t="s">
        <v>60</v>
      </c>
      <c r="C75" s="275" t="s">
        <v>400</v>
      </c>
      <c r="D75" s="275" t="s">
        <v>844</v>
      </c>
      <c r="E75" s="275" t="s">
        <v>845</v>
      </c>
      <c r="F75" s="275" t="s">
        <v>846</v>
      </c>
      <c r="G75" s="275" t="s">
        <v>847</v>
      </c>
    </row>
    <row r="76" spans="1:7" ht="52.5" customHeight="1" x14ac:dyDescent="0.3">
      <c r="A76" s="387" t="s">
        <v>53</v>
      </c>
      <c r="B76" s="275" t="s">
        <v>523</v>
      </c>
      <c r="C76" s="275"/>
      <c r="D76" s="275"/>
      <c r="E76" s="275" t="s">
        <v>848</v>
      </c>
      <c r="F76" s="275" t="s">
        <v>849</v>
      </c>
      <c r="G76" s="275" t="s">
        <v>850</v>
      </c>
    </row>
    <row r="77" spans="1:7" ht="70.5" customHeight="1" x14ac:dyDescent="0.3">
      <c r="A77" s="387" t="s">
        <v>437</v>
      </c>
      <c r="B77" s="275" t="s">
        <v>61</v>
      </c>
      <c r="C77" s="275"/>
      <c r="D77" s="275"/>
      <c r="E77" s="275" t="s">
        <v>851</v>
      </c>
      <c r="F77" s="275" t="s">
        <v>852</v>
      </c>
      <c r="G77" s="275" t="s">
        <v>853</v>
      </c>
    </row>
    <row r="78" spans="1:7" ht="49.5" customHeight="1" x14ac:dyDescent="0.3">
      <c r="A78" s="389" t="s">
        <v>275</v>
      </c>
      <c r="B78" s="275" t="s">
        <v>187</v>
      </c>
      <c r="C78" s="275" t="s">
        <v>350</v>
      </c>
      <c r="D78" s="275" t="s">
        <v>854</v>
      </c>
      <c r="E78" s="275" t="s">
        <v>855</v>
      </c>
      <c r="F78" s="275" t="s">
        <v>856</v>
      </c>
      <c r="G78" s="275" t="s">
        <v>857</v>
      </c>
    </row>
    <row r="79" spans="1:7" ht="93.75" customHeight="1" x14ac:dyDescent="0.3">
      <c r="A79" s="389" t="s">
        <v>276</v>
      </c>
      <c r="B79" s="275" t="s">
        <v>404</v>
      </c>
      <c r="C79" s="275" t="s">
        <v>350</v>
      </c>
      <c r="D79" s="275" t="s">
        <v>858</v>
      </c>
      <c r="E79" s="275" t="s">
        <v>859</v>
      </c>
      <c r="F79" s="275" t="s">
        <v>860</v>
      </c>
      <c r="G79" s="275" t="s">
        <v>861</v>
      </c>
    </row>
    <row r="80" spans="1:7" ht="56.25" customHeight="1" x14ac:dyDescent="0.3">
      <c r="A80" s="389" t="s">
        <v>405</v>
      </c>
      <c r="B80" s="275" t="s">
        <v>403</v>
      </c>
      <c r="C80" s="275" t="s">
        <v>350</v>
      </c>
      <c r="D80" s="275" t="s">
        <v>862</v>
      </c>
      <c r="E80" s="275" t="s">
        <v>863</v>
      </c>
      <c r="F80" s="275" t="s">
        <v>864</v>
      </c>
      <c r="G80" s="275" t="s">
        <v>865</v>
      </c>
    </row>
    <row r="81" spans="1:7" ht="84.75" customHeight="1" x14ac:dyDescent="0.3">
      <c r="A81" s="387" t="s">
        <v>54</v>
      </c>
      <c r="B81" s="275" t="s">
        <v>62</v>
      </c>
      <c r="C81" s="275"/>
      <c r="D81" s="275"/>
      <c r="E81" s="275" t="s">
        <v>866</v>
      </c>
      <c r="F81" s="388" t="s">
        <v>867</v>
      </c>
      <c r="G81" s="275" t="s">
        <v>868</v>
      </c>
    </row>
    <row r="82" spans="1:7" ht="48" customHeight="1" x14ac:dyDescent="0.3">
      <c r="A82" s="387" t="s">
        <v>277</v>
      </c>
      <c r="B82" s="275" t="s">
        <v>63</v>
      </c>
      <c r="C82" s="275" t="s">
        <v>350</v>
      </c>
      <c r="D82" s="275" t="s">
        <v>869</v>
      </c>
      <c r="E82" s="275" t="s">
        <v>870</v>
      </c>
      <c r="F82" s="275" t="s">
        <v>871</v>
      </c>
      <c r="G82" s="275" t="s">
        <v>872</v>
      </c>
    </row>
    <row r="83" spans="1:7" ht="56.25" customHeight="1" x14ac:dyDescent="0.3">
      <c r="A83" s="387" t="s">
        <v>55</v>
      </c>
      <c r="B83" s="275" t="s">
        <v>873</v>
      </c>
      <c r="C83" s="275" t="s">
        <v>350</v>
      </c>
      <c r="D83" s="275"/>
      <c r="E83" s="275" t="s">
        <v>874</v>
      </c>
      <c r="F83" s="275" t="s">
        <v>875</v>
      </c>
      <c r="G83" s="275" t="s">
        <v>876</v>
      </c>
    </row>
    <row r="84" spans="1:7" ht="78.75" customHeight="1" x14ac:dyDescent="0.3">
      <c r="A84" s="387" t="s">
        <v>438</v>
      </c>
      <c r="B84" s="275" t="s">
        <v>65</v>
      </c>
      <c r="C84" s="275" t="s">
        <v>350</v>
      </c>
      <c r="D84" s="275"/>
      <c r="E84" s="275" t="s">
        <v>877</v>
      </c>
      <c r="F84" s="275" t="s">
        <v>878</v>
      </c>
      <c r="G84" s="275" t="s">
        <v>879</v>
      </c>
    </row>
    <row r="85" spans="1:7" ht="72" customHeight="1" x14ac:dyDescent="0.3">
      <c r="A85" s="389" t="s">
        <v>278</v>
      </c>
      <c r="B85" s="275" t="s">
        <v>188</v>
      </c>
      <c r="C85" s="275" t="s">
        <v>350</v>
      </c>
      <c r="D85" s="275" t="s">
        <v>880</v>
      </c>
      <c r="E85" s="275" t="s">
        <v>881</v>
      </c>
      <c r="F85" s="275" t="s">
        <v>882</v>
      </c>
      <c r="G85" s="275" t="s">
        <v>883</v>
      </c>
    </row>
    <row r="86" spans="1:7" ht="82.5" customHeight="1" x14ac:dyDescent="0.3">
      <c r="A86" s="387" t="s">
        <v>439</v>
      </c>
      <c r="B86" s="275" t="s">
        <v>66</v>
      </c>
      <c r="C86" s="275"/>
      <c r="D86" s="275"/>
      <c r="E86" s="275" t="s">
        <v>884</v>
      </c>
      <c r="F86" s="275" t="s">
        <v>885</v>
      </c>
      <c r="G86" s="275" t="s">
        <v>886</v>
      </c>
    </row>
    <row r="87" spans="1:7" ht="71.25" customHeight="1" x14ac:dyDescent="0.3">
      <c r="A87" s="389" t="s">
        <v>279</v>
      </c>
      <c r="B87" s="275" t="s">
        <v>190</v>
      </c>
      <c r="C87" s="275" t="s">
        <v>350</v>
      </c>
      <c r="D87" s="275" t="s">
        <v>887</v>
      </c>
      <c r="E87" s="275" t="s">
        <v>888</v>
      </c>
      <c r="F87" s="275" t="s">
        <v>889</v>
      </c>
      <c r="G87" s="275" t="s">
        <v>890</v>
      </c>
    </row>
    <row r="88" spans="1:7" ht="37.5" customHeight="1" x14ac:dyDescent="0.3">
      <c r="A88" s="389" t="s">
        <v>280</v>
      </c>
      <c r="B88" s="275" t="s">
        <v>191</v>
      </c>
      <c r="C88" s="275" t="s">
        <v>350</v>
      </c>
      <c r="D88" s="275" t="s">
        <v>891</v>
      </c>
      <c r="E88" s="275" t="s">
        <v>892</v>
      </c>
      <c r="F88" s="275" t="s">
        <v>893</v>
      </c>
      <c r="G88" s="275" t="s">
        <v>894</v>
      </c>
    </row>
    <row r="89" spans="1:7" ht="69" customHeight="1" x14ac:dyDescent="0.3">
      <c r="A89" s="402" t="s">
        <v>1244</v>
      </c>
      <c r="B89" s="394" t="s">
        <v>1245</v>
      </c>
      <c r="C89" s="394" t="s">
        <v>350</v>
      </c>
      <c r="D89" s="394"/>
      <c r="E89" s="394" t="s">
        <v>1409</v>
      </c>
      <c r="F89" s="394" t="s">
        <v>1410</v>
      </c>
      <c r="G89" s="394" t="s">
        <v>1411</v>
      </c>
    </row>
    <row r="90" spans="1:7" ht="93.75" customHeight="1" x14ac:dyDescent="0.3">
      <c r="A90" s="275" t="s">
        <v>1366</v>
      </c>
      <c r="B90" s="275" t="s">
        <v>1367</v>
      </c>
      <c r="C90" s="275" t="s">
        <v>350</v>
      </c>
      <c r="D90" s="275"/>
      <c r="E90" s="275" t="s">
        <v>1412</v>
      </c>
      <c r="F90" s="275" t="s">
        <v>1413</v>
      </c>
      <c r="G90" s="275" t="s">
        <v>1414</v>
      </c>
    </row>
    <row r="91" spans="1:7" ht="62.25" customHeight="1" x14ac:dyDescent="0.3">
      <c r="A91" s="389" t="s">
        <v>1368</v>
      </c>
      <c r="B91" s="275" t="s">
        <v>1415</v>
      </c>
      <c r="C91" s="275" t="s">
        <v>350</v>
      </c>
      <c r="D91" s="275"/>
      <c r="E91" s="275" t="s">
        <v>1416</v>
      </c>
      <c r="F91" s="275" t="s">
        <v>1417</v>
      </c>
      <c r="G91" s="275" t="s">
        <v>1418</v>
      </c>
    </row>
    <row r="92" spans="1:7" ht="68.25" customHeight="1" x14ac:dyDescent="0.3">
      <c r="A92" s="387" t="s">
        <v>56</v>
      </c>
      <c r="B92" s="275" t="s">
        <v>67</v>
      </c>
      <c r="C92" s="275"/>
      <c r="D92" s="275"/>
      <c r="E92" s="275" t="s">
        <v>895</v>
      </c>
      <c r="F92" s="275" t="s">
        <v>896</v>
      </c>
      <c r="G92" s="275" t="s">
        <v>897</v>
      </c>
    </row>
    <row r="93" spans="1:7" ht="52.5" customHeight="1" x14ac:dyDescent="0.3">
      <c r="A93" s="402" t="s">
        <v>281</v>
      </c>
      <c r="B93" s="394" t="s">
        <v>68</v>
      </c>
      <c r="C93" s="394" t="s">
        <v>355</v>
      </c>
      <c r="D93" s="394" t="s">
        <v>898</v>
      </c>
      <c r="E93" s="394" t="s">
        <v>899</v>
      </c>
      <c r="F93" s="394" t="s">
        <v>900</v>
      </c>
      <c r="G93" s="394" t="s">
        <v>1419</v>
      </c>
    </row>
    <row r="94" spans="1:7" ht="18.75" customHeight="1" x14ac:dyDescent="0.3">
      <c r="A94" s="387" t="s">
        <v>57</v>
      </c>
      <c r="B94" s="275" t="s">
        <v>69</v>
      </c>
      <c r="C94" s="275"/>
      <c r="D94" s="275"/>
      <c r="E94" s="388" t="s">
        <v>901</v>
      </c>
      <c r="F94" s="275" t="s">
        <v>902</v>
      </c>
      <c r="G94" s="388" t="s">
        <v>903</v>
      </c>
    </row>
    <row r="95" spans="1:7" ht="37.5" customHeight="1" x14ac:dyDescent="0.3">
      <c r="A95" s="387" t="s">
        <v>282</v>
      </c>
      <c r="B95" s="275" t="s">
        <v>904</v>
      </c>
      <c r="C95" s="275" t="s">
        <v>355</v>
      </c>
      <c r="D95" s="275" t="s">
        <v>905</v>
      </c>
      <c r="E95" s="275" t="s">
        <v>906</v>
      </c>
      <c r="F95" s="275" t="s">
        <v>907</v>
      </c>
      <c r="G95" s="275" t="s">
        <v>908</v>
      </c>
    </row>
    <row r="96" spans="1:7" ht="75" customHeight="1" x14ac:dyDescent="0.3">
      <c r="A96" s="387" t="s">
        <v>283</v>
      </c>
      <c r="B96" s="275" t="s">
        <v>70</v>
      </c>
      <c r="C96" s="275" t="s">
        <v>350</v>
      </c>
      <c r="D96" s="275" t="s">
        <v>909</v>
      </c>
      <c r="E96" s="275" t="s">
        <v>910</v>
      </c>
      <c r="F96" s="275" t="s">
        <v>911</v>
      </c>
      <c r="G96" s="275" t="s">
        <v>912</v>
      </c>
    </row>
    <row r="97" spans="1:7" ht="75" customHeight="1" x14ac:dyDescent="0.3">
      <c r="A97" s="387" t="s">
        <v>462</v>
      </c>
      <c r="B97" s="275" t="s">
        <v>537</v>
      </c>
      <c r="C97" s="275" t="s">
        <v>350</v>
      </c>
      <c r="D97" s="275" t="s">
        <v>913</v>
      </c>
      <c r="E97" s="275" t="s">
        <v>914</v>
      </c>
      <c r="F97" s="275" t="s">
        <v>915</v>
      </c>
      <c r="G97" s="275" t="s">
        <v>916</v>
      </c>
    </row>
    <row r="98" spans="1:7" ht="56.25" customHeight="1" x14ac:dyDescent="0.3">
      <c r="A98" s="391" t="s">
        <v>71</v>
      </c>
      <c r="B98" s="392" t="s">
        <v>75</v>
      </c>
      <c r="C98" s="392"/>
      <c r="D98" s="392"/>
      <c r="E98" s="392" t="s">
        <v>917</v>
      </c>
      <c r="F98" s="392" t="s">
        <v>918</v>
      </c>
      <c r="G98" s="392" t="s">
        <v>919</v>
      </c>
    </row>
    <row r="99" spans="1:7" ht="75" customHeight="1" x14ac:dyDescent="0.3">
      <c r="A99" s="387" t="s">
        <v>72</v>
      </c>
      <c r="B99" s="275" t="s">
        <v>76</v>
      </c>
      <c r="C99" s="275"/>
      <c r="D99" s="275"/>
      <c r="E99" s="275" t="s">
        <v>920</v>
      </c>
      <c r="F99" s="275" t="s">
        <v>921</v>
      </c>
      <c r="G99" s="275" t="s">
        <v>922</v>
      </c>
    </row>
    <row r="100" spans="1:7" ht="37.5" customHeight="1" x14ac:dyDescent="0.3">
      <c r="A100" s="387" t="s">
        <v>285</v>
      </c>
      <c r="B100" s="275" t="s">
        <v>77</v>
      </c>
      <c r="C100" s="275" t="s">
        <v>347</v>
      </c>
      <c r="D100" s="275" t="s">
        <v>923</v>
      </c>
      <c r="E100" s="275" t="s">
        <v>924</v>
      </c>
      <c r="F100" s="275" t="s">
        <v>928</v>
      </c>
      <c r="G100" s="275" t="s">
        <v>925</v>
      </c>
    </row>
    <row r="101" spans="1:7" ht="37.5" customHeight="1" x14ac:dyDescent="0.3">
      <c r="A101" s="387" t="s">
        <v>286</v>
      </c>
      <c r="B101" s="275" t="s">
        <v>78</v>
      </c>
      <c r="C101" s="275" t="s">
        <v>347</v>
      </c>
      <c r="D101" s="275" t="s">
        <v>926</v>
      </c>
      <c r="E101" s="275" t="s">
        <v>927</v>
      </c>
      <c r="F101" s="275" t="s">
        <v>928</v>
      </c>
      <c r="G101" s="275" t="s">
        <v>929</v>
      </c>
    </row>
    <row r="102" spans="1:7" ht="63.75" customHeight="1" x14ac:dyDescent="0.3">
      <c r="A102" s="387" t="s">
        <v>440</v>
      </c>
      <c r="B102" s="275" t="s">
        <v>79</v>
      </c>
      <c r="C102" s="275" t="s">
        <v>347</v>
      </c>
      <c r="D102" s="275"/>
      <c r="E102" s="275" t="s">
        <v>930</v>
      </c>
      <c r="F102" s="275" t="s">
        <v>1420</v>
      </c>
      <c r="G102" s="275" t="s">
        <v>931</v>
      </c>
    </row>
    <row r="103" spans="1:7" ht="37.5" customHeight="1" x14ac:dyDescent="0.3">
      <c r="A103" s="389" t="s">
        <v>287</v>
      </c>
      <c r="B103" s="275" t="s">
        <v>192</v>
      </c>
      <c r="C103" s="275" t="s">
        <v>347</v>
      </c>
      <c r="D103" s="275" t="s">
        <v>932</v>
      </c>
      <c r="E103" s="275" t="s">
        <v>933</v>
      </c>
      <c r="F103" s="275" t="s">
        <v>934</v>
      </c>
      <c r="G103" s="388" t="s">
        <v>1421</v>
      </c>
    </row>
    <row r="104" spans="1:7" ht="37.5" customHeight="1" x14ac:dyDescent="0.3">
      <c r="A104" s="389" t="s">
        <v>288</v>
      </c>
      <c r="B104" s="275" t="s">
        <v>193</v>
      </c>
      <c r="C104" s="275" t="s">
        <v>347</v>
      </c>
      <c r="D104" s="275" t="s">
        <v>935</v>
      </c>
      <c r="E104" s="275" t="s">
        <v>936</v>
      </c>
      <c r="F104" s="275" t="s">
        <v>937</v>
      </c>
      <c r="G104" s="275" t="s">
        <v>938</v>
      </c>
    </row>
    <row r="105" spans="1:7" ht="56.25" customHeight="1" x14ac:dyDescent="0.3">
      <c r="A105" s="387" t="s">
        <v>441</v>
      </c>
      <c r="B105" s="275" t="s">
        <v>543</v>
      </c>
      <c r="C105" s="275" t="s">
        <v>347</v>
      </c>
      <c r="D105" s="275"/>
      <c r="E105" s="275" t="s">
        <v>543</v>
      </c>
      <c r="F105" s="275" t="s">
        <v>939</v>
      </c>
      <c r="G105" s="275" t="s">
        <v>1422</v>
      </c>
    </row>
    <row r="106" spans="1:7" ht="56.25" customHeight="1" x14ac:dyDescent="0.3">
      <c r="A106" s="389" t="s">
        <v>289</v>
      </c>
      <c r="B106" s="275" t="s">
        <v>194</v>
      </c>
      <c r="C106" s="275" t="s">
        <v>347</v>
      </c>
      <c r="D106" s="275" t="s">
        <v>940</v>
      </c>
      <c r="E106" s="275" t="s">
        <v>941</v>
      </c>
      <c r="F106" s="275" t="s">
        <v>942</v>
      </c>
      <c r="G106" s="275" t="s">
        <v>943</v>
      </c>
    </row>
    <row r="107" spans="1:7" ht="18.75" customHeight="1" x14ac:dyDescent="0.3">
      <c r="A107" s="389" t="s">
        <v>290</v>
      </c>
      <c r="B107" s="275" t="s">
        <v>195</v>
      </c>
      <c r="C107" s="275" t="s">
        <v>347</v>
      </c>
      <c r="D107" s="275" t="s">
        <v>944</v>
      </c>
      <c r="E107" s="275" t="s">
        <v>945</v>
      </c>
      <c r="F107" s="275" t="s">
        <v>946</v>
      </c>
      <c r="G107" s="275" t="s">
        <v>947</v>
      </c>
    </row>
    <row r="108" spans="1:7" ht="62.25" customHeight="1" x14ac:dyDescent="0.3">
      <c r="A108" s="387" t="s">
        <v>291</v>
      </c>
      <c r="B108" s="275" t="s">
        <v>81</v>
      </c>
      <c r="C108" s="275" t="s">
        <v>347</v>
      </c>
      <c r="D108" s="275" t="s">
        <v>948</v>
      </c>
      <c r="E108" s="388" t="s">
        <v>949</v>
      </c>
      <c r="F108" s="275" t="s">
        <v>950</v>
      </c>
      <c r="G108" s="275" t="s">
        <v>951</v>
      </c>
    </row>
    <row r="109" spans="1:7" ht="75" customHeight="1" x14ac:dyDescent="0.3">
      <c r="A109" s="403" t="s">
        <v>1295</v>
      </c>
      <c r="B109" s="400" t="s">
        <v>1296</v>
      </c>
      <c r="C109" s="400" t="s">
        <v>347</v>
      </c>
      <c r="D109" s="400"/>
      <c r="E109" s="400" t="s">
        <v>1423</v>
      </c>
      <c r="F109" s="400" t="s">
        <v>1424</v>
      </c>
      <c r="G109" s="400" t="s">
        <v>1425</v>
      </c>
    </row>
    <row r="110" spans="1:7" ht="56.25" customHeight="1" x14ac:dyDescent="0.3">
      <c r="A110" s="403" t="s">
        <v>1426</v>
      </c>
      <c r="B110" s="400" t="s">
        <v>1344</v>
      </c>
      <c r="C110" s="400" t="s">
        <v>347</v>
      </c>
      <c r="D110" s="400"/>
      <c r="E110" s="400" t="s">
        <v>1427</v>
      </c>
      <c r="F110" s="400" t="s">
        <v>1428</v>
      </c>
      <c r="G110" s="400" t="s">
        <v>1429</v>
      </c>
    </row>
    <row r="111" spans="1:7" ht="18.75" customHeight="1" x14ac:dyDescent="0.3">
      <c r="A111" s="387" t="s">
        <v>73</v>
      </c>
      <c r="B111" s="275" t="s">
        <v>82</v>
      </c>
      <c r="C111" s="275"/>
      <c r="D111" s="275"/>
      <c r="E111" s="275" t="s">
        <v>952</v>
      </c>
      <c r="F111" s="275" t="s">
        <v>953</v>
      </c>
      <c r="G111" s="275" t="s">
        <v>954</v>
      </c>
    </row>
    <row r="112" spans="1:7" ht="93.75" customHeight="1" x14ac:dyDescent="0.3">
      <c r="A112" s="387" t="s">
        <v>442</v>
      </c>
      <c r="B112" s="275" t="s">
        <v>83</v>
      </c>
      <c r="C112" s="275" t="s">
        <v>347</v>
      </c>
      <c r="D112" s="275"/>
      <c r="E112" s="275" t="s">
        <v>955</v>
      </c>
      <c r="F112" s="275" t="s">
        <v>956</v>
      </c>
      <c r="G112" s="275" t="s">
        <v>957</v>
      </c>
    </row>
    <row r="113" spans="1:7" ht="56.25" customHeight="1" x14ac:dyDescent="0.3">
      <c r="A113" s="389" t="s">
        <v>292</v>
      </c>
      <c r="B113" s="275" t="s">
        <v>196</v>
      </c>
      <c r="C113" s="275" t="s">
        <v>347</v>
      </c>
      <c r="D113" s="275" t="s">
        <v>958</v>
      </c>
      <c r="E113" s="275" t="s">
        <v>959</v>
      </c>
      <c r="F113" s="275" t="s">
        <v>960</v>
      </c>
      <c r="G113" s="275" t="s">
        <v>961</v>
      </c>
    </row>
    <row r="114" spans="1:7" ht="76.5" customHeight="1" x14ac:dyDescent="0.3">
      <c r="A114" s="389" t="s">
        <v>293</v>
      </c>
      <c r="B114" s="275" t="s">
        <v>197</v>
      </c>
      <c r="C114" s="275" t="s">
        <v>347</v>
      </c>
      <c r="D114" s="275" t="s">
        <v>962</v>
      </c>
      <c r="E114" s="275" t="s">
        <v>963</v>
      </c>
      <c r="F114" s="275" t="s">
        <v>964</v>
      </c>
      <c r="G114" s="275" t="s">
        <v>965</v>
      </c>
    </row>
    <row r="115" spans="1:7" ht="54.75" customHeight="1" x14ac:dyDescent="0.3">
      <c r="A115" s="387" t="s">
        <v>74</v>
      </c>
      <c r="B115" s="275" t="s">
        <v>84</v>
      </c>
      <c r="C115" s="275"/>
      <c r="D115" s="275"/>
      <c r="E115" s="275" t="s">
        <v>966</v>
      </c>
      <c r="F115" s="275" t="s">
        <v>967</v>
      </c>
      <c r="G115" s="275" t="s">
        <v>968</v>
      </c>
    </row>
    <row r="116" spans="1:7" ht="43.5" customHeight="1" x14ac:dyDescent="0.3">
      <c r="A116" s="387" t="s">
        <v>294</v>
      </c>
      <c r="B116" s="275" t="s">
        <v>85</v>
      </c>
      <c r="C116" s="275" t="s">
        <v>347</v>
      </c>
      <c r="D116" s="275" t="s">
        <v>969</v>
      </c>
      <c r="E116" s="275" t="s">
        <v>970</v>
      </c>
      <c r="F116" s="275" t="s">
        <v>971</v>
      </c>
      <c r="G116" s="275" t="s">
        <v>972</v>
      </c>
    </row>
    <row r="117" spans="1:7" s="163" customFormat="1" ht="131.25" customHeight="1" x14ac:dyDescent="0.25">
      <c r="A117" s="391" t="s">
        <v>86</v>
      </c>
      <c r="B117" s="392" t="s">
        <v>617</v>
      </c>
      <c r="C117" s="392"/>
      <c r="D117" s="392"/>
      <c r="E117" s="392" t="s">
        <v>973</v>
      </c>
      <c r="F117" s="392" t="s">
        <v>974</v>
      </c>
      <c r="G117" s="392" t="s">
        <v>975</v>
      </c>
    </row>
    <row r="118" spans="1:7" ht="112.5" customHeight="1" x14ac:dyDescent="0.3">
      <c r="A118" s="387" t="s">
        <v>87</v>
      </c>
      <c r="B118" s="275" t="s">
        <v>90</v>
      </c>
      <c r="C118" s="275"/>
      <c r="D118" s="275"/>
      <c r="E118" s="275" t="s">
        <v>976</v>
      </c>
      <c r="F118" s="275" t="s">
        <v>1430</v>
      </c>
      <c r="G118" s="275" t="s">
        <v>977</v>
      </c>
    </row>
    <row r="119" spans="1:7" ht="171" customHeight="1" x14ac:dyDescent="0.3">
      <c r="A119" s="387" t="s">
        <v>296</v>
      </c>
      <c r="B119" s="275" t="s">
        <v>552</v>
      </c>
      <c r="C119" s="275" t="s">
        <v>351</v>
      </c>
      <c r="D119" s="275" t="s">
        <v>978</v>
      </c>
      <c r="E119" s="275" t="s">
        <v>979</v>
      </c>
      <c r="F119" s="275" t="s">
        <v>1431</v>
      </c>
      <c r="G119" s="275" t="s">
        <v>980</v>
      </c>
    </row>
    <row r="120" spans="1:7" s="98" customFormat="1" ht="75" customHeight="1" x14ac:dyDescent="0.3">
      <c r="A120" s="387" t="s">
        <v>443</v>
      </c>
      <c r="B120" s="275" t="s">
        <v>92</v>
      </c>
      <c r="C120" s="275"/>
      <c r="D120" s="275"/>
      <c r="E120" s="275" t="s">
        <v>981</v>
      </c>
      <c r="F120" s="275" t="s">
        <v>1432</v>
      </c>
      <c r="G120" s="275" t="s">
        <v>1433</v>
      </c>
    </row>
    <row r="121" spans="1:7" ht="108.75" customHeight="1" x14ac:dyDescent="0.3">
      <c r="A121" s="389" t="s">
        <v>297</v>
      </c>
      <c r="B121" s="275" t="s">
        <v>198</v>
      </c>
      <c r="C121" s="275" t="s">
        <v>351</v>
      </c>
      <c r="D121" s="275" t="s">
        <v>982</v>
      </c>
      <c r="E121" s="275" t="s">
        <v>983</v>
      </c>
      <c r="F121" s="275" t="s">
        <v>984</v>
      </c>
      <c r="G121" s="275" t="s">
        <v>985</v>
      </c>
    </row>
    <row r="122" spans="1:7" s="98" customFormat="1" ht="69" customHeight="1" x14ac:dyDescent="0.3">
      <c r="A122" s="389" t="s">
        <v>298</v>
      </c>
      <c r="B122" s="275" t="s">
        <v>199</v>
      </c>
      <c r="C122" s="275" t="s">
        <v>351</v>
      </c>
      <c r="D122" s="275" t="s">
        <v>986</v>
      </c>
      <c r="E122" s="275" t="s">
        <v>987</v>
      </c>
      <c r="F122" s="388" t="s">
        <v>1434</v>
      </c>
      <c r="G122" s="275" t="s">
        <v>988</v>
      </c>
    </row>
    <row r="123" spans="1:7" ht="166.5" customHeight="1" x14ac:dyDescent="0.3">
      <c r="A123" s="387" t="s">
        <v>88</v>
      </c>
      <c r="B123" s="275" t="s">
        <v>989</v>
      </c>
      <c r="C123" s="275"/>
      <c r="D123" s="275"/>
      <c r="E123" s="388" t="s">
        <v>990</v>
      </c>
      <c r="F123" s="275" t="s">
        <v>991</v>
      </c>
      <c r="G123" s="275" t="s">
        <v>992</v>
      </c>
    </row>
    <row r="124" spans="1:7" ht="102" customHeight="1" x14ac:dyDescent="0.3">
      <c r="A124" s="387" t="s">
        <v>444</v>
      </c>
      <c r="B124" s="275" t="s">
        <v>93</v>
      </c>
      <c r="C124" s="275"/>
      <c r="D124" s="275"/>
      <c r="E124" s="388" t="s">
        <v>993</v>
      </c>
      <c r="F124" s="275" t="s">
        <v>991</v>
      </c>
      <c r="G124" s="388" t="s">
        <v>994</v>
      </c>
    </row>
    <row r="125" spans="1:7" ht="56.25" customHeight="1" x14ac:dyDescent="0.3">
      <c r="A125" s="389" t="s">
        <v>299</v>
      </c>
      <c r="B125" s="275" t="s">
        <v>200</v>
      </c>
      <c r="C125" s="275" t="s">
        <v>351</v>
      </c>
      <c r="D125" s="275" t="s">
        <v>995</v>
      </c>
      <c r="E125" s="275" t="s">
        <v>996</v>
      </c>
      <c r="F125" s="275" t="s">
        <v>1435</v>
      </c>
      <c r="G125" s="275" t="s">
        <v>997</v>
      </c>
    </row>
    <row r="126" spans="1:7" ht="87.75" customHeight="1" x14ac:dyDescent="0.3">
      <c r="A126" s="396" t="s">
        <v>299</v>
      </c>
      <c r="B126" s="388" t="s">
        <v>361</v>
      </c>
      <c r="C126" s="388" t="s">
        <v>351</v>
      </c>
      <c r="D126" s="388"/>
      <c r="E126" s="388" t="s">
        <v>996</v>
      </c>
      <c r="F126" s="388" t="s">
        <v>1436</v>
      </c>
      <c r="G126" s="388" t="s">
        <v>997</v>
      </c>
    </row>
    <row r="127" spans="1:7" ht="18.75" customHeight="1" x14ac:dyDescent="0.3">
      <c r="A127" s="396" t="s">
        <v>300</v>
      </c>
      <c r="B127" s="388" t="s">
        <v>201</v>
      </c>
      <c r="C127" s="388" t="s">
        <v>351</v>
      </c>
      <c r="D127" s="388" t="s">
        <v>998</v>
      </c>
      <c r="E127" s="388" t="s">
        <v>999</v>
      </c>
      <c r="F127" s="388" t="s">
        <v>1000</v>
      </c>
      <c r="G127" s="388" t="s">
        <v>1001</v>
      </c>
    </row>
    <row r="128" spans="1:7" ht="74.25" customHeight="1" x14ac:dyDescent="0.3">
      <c r="A128" s="396" t="s">
        <v>300</v>
      </c>
      <c r="B128" s="388" t="s">
        <v>362</v>
      </c>
      <c r="C128" s="388" t="s">
        <v>351</v>
      </c>
      <c r="D128" s="388"/>
      <c r="E128" s="388" t="s">
        <v>999</v>
      </c>
      <c r="F128" s="388" t="s">
        <v>1002</v>
      </c>
      <c r="G128" s="388" t="s">
        <v>1001</v>
      </c>
    </row>
    <row r="129" spans="1:7" ht="113.25" customHeight="1" x14ac:dyDescent="0.3">
      <c r="A129" s="387" t="s">
        <v>89</v>
      </c>
      <c r="B129" s="275" t="s">
        <v>94</v>
      </c>
      <c r="C129" s="275"/>
      <c r="D129" s="275"/>
      <c r="E129" s="275" t="s">
        <v>1004</v>
      </c>
      <c r="F129" s="275" t="s">
        <v>1005</v>
      </c>
      <c r="G129" s="275" t="s">
        <v>1006</v>
      </c>
    </row>
    <row r="130" spans="1:7" ht="103.5" customHeight="1" x14ac:dyDescent="0.3">
      <c r="A130" s="387" t="s">
        <v>302</v>
      </c>
      <c r="B130" s="275" t="s">
        <v>95</v>
      </c>
      <c r="C130" s="275" t="s">
        <v>351</v>
      </c>
      <c r="D130" s="275" t="s">
        <v>1007</v>
      </c>
      <c r="E130" s="275" t="s">
        <v>1008</v>
      </c>
      <c r="F130" s="275" t="s">
        <v>1009</v>
      </c>
      <c r="G130" s="275" t="s">
        <v>1010</v>
      </c>
    </row>
    <row r="131" spans="1:7" ht="121.5" customHeight="1" x14ac:dyDescent="0.3">
      <c r="A131" s="387" t="s">
        <v>303</v>
      </c>
      <c r="B131" s="275" t="s">
        <v>96</v>
      </c>
      <c r="C131" s="275" t="s">
        <v>351</v>
      </c>
      <c r="D131" s="275" t="s">
        <v>1011</v>
      </c>
      <c r="E131" s="275" t="s">
        <v>1012</v>
      </c>
      <c r="F131" s="275" t="s">
        <v>1013</v>
      </c>
      <c r="G131" s="275" t="s">
        <v>1014</v>
      </c>
    </row>
    <row r="132" spans="1:7" ht="103.5" customHeight="1" x14ac:dyDescent="0.3">
      <c r="A132" s="391" t="s">
        <v>97</v>
      </c>
      <c r="B132" s="392" t="s">
        <v>98</v>
      </c>
      <c r="C132" s="392"/>
      <c r="D132" s="392"/>
      <c r="E132" s="392" t="s">
        <v>1015</v>
      </c>
      <c r="F132" s="392" t="s">
        <v>1016</v>
      </c>
      <c r="G132" s="392" t="s">
        <v>1017</v>
      </c>
    </row>
    <row r="133" spans="1:7" ht="75" customHeight="1" x14ac:dyDescent="0.3">
      <c r="A133" s="387" t="s">
        <v>99</v>
      </c>
      <c r="B133" s="275" t="s">
        <v>100</v>
      </c>
      <c r="C133" s="275"/>
      <c r="D133" s="275"/>
      <c r="E133" s="275" t="s">
        <v>1018</v>
      </c>
      <c r="F133" s="275" t="s">
        <v>1019</v>
      </c>
      <c r="G133" s="275" t="s">
        <v>1020</v>
      </c>
    </row>
    <row r="134" spans="1:7" ht="47.25" customHeight="1" x14ac:dyDescent="0.3">
      <c r="A134" s="387" t="s">
        <v>305</v>
      </c>
      <c r="B134" s="275" t="s">
        <v>101</v>
      </c>
      <c r="C134" s="275" t="s">
        <v>348</v>
      </c>
      <c r="D134" s="275" t="s">
        <v>1021</v>
      </c>
      <c r="E134" s="275" t="s">
        <v>1022</v>
      </c>
      <c r="F134" s="275" t="s">
        <v>1023</v>
      </c>
      <c r="G134" s="275" t="s">
        <v>1024</v>
      </c>
    </row>
    <row r="135" spans="1:7" ht="82.5" customHeight="1" x14ac:dyDescent="0.3">
      <c r="A135" s="387" t="s">
        <v>445</v>
      </c>
      <c r="B135" s="275" t="s">
        <v>102</v>
      </c>
      <c r="C135" s="275" t="s">
        <v>348</v>
      </c>
      <c r="D135" s="275" t="s">
        <v>1025</v>
      </c>
      <c r="E135" s="275" t="s">
        <v>1026</v>
      </c>
      <c r="F135" s="275" t="s">
        <v>1027</v>
      </c>
      <c r="G135" s="275" t="s">
        <v>1028</v>
      </c>
    </row>
    <row r="136" spans="1:7" ht="131.25" customHeight="1" x14ac:dyDescent="0.3">
      <c r="A136" s="387" t="s">
        <v>306</v>
      </c>
      <c r="B136" s="275" t="s">
        <v>103</v>
      </c>
      <c r="C136" s="275" t="s">
        <v>348</v>
      </c>
      <c r="D136" s="275" t="s">
        <v>1029</v>
      </c>
      <c r="E136" s="275" t="s">
        <v>1030</v>
      </c>
      <c r="F136" s="275" t="s">
        <v>1031</v>
      </c>
      <c r="G136" s="275" t="s">
        <v>1032</v>
      </c>
    </row>
    <row r="137" spans="1:7" ht="317.25" customHeight="1" x14ac:dyDescent="0.3">
      <c r="A137" s="387" t="s">
        <v>307</v>
      </c>
      <c r="B137" s="275" t="s">
        <v>104</v>
      </c>
      <c r="C137" s="275" t="s">
        <v>348</v>
      </c>
      <c r="D137" s="275" t="s">
        <v>1033</v>
      </c>
      <c r="E137" s="275" t="s">
        <v>1034</v>
      </c>
      <c r="F137" s="275" t="s">
        <v>1035</v>
      </c>
      <c r="G137" s="275" t="s">
        <v>1036</v>
      </c>
    </row>
    <row r="138" spans="1:7" ht="112.5" customHeight="1" x14ac:dyDescent="0.3">
      <c r="A138" s="387" t="s">
        <v>105</v>
      </c>
      <c r="B138" s="275" t="s">
        <v>106</v>
      </c>
      <c r="C138" s="275"/>
      <c r="D138" s="275"/>
      <c r="E138" s="275" t="s">
        <v>1037</v>
      </c>
      <c r="F138" s="275" t="s">
        <v>1038</v>
      </c>
      <c r="G138" s="275" t="s">
        <v>1039</v>
      </c>
    </row>
    <row r="139" spans="1:7" ht="37.5" customHeight="1" x14ac:dyDescent="0.3">
      <c r="A139" s="387" t="s">
        <v>308</v>
      </c>
      <c r="B139" s="275" t="s">
        <v>107</v>
      </c>
      <c r="C139" s="275" t="s">
        <v>348</v>
      </c>
      <c r="D139" s="275" t="s">
        <v>1040</v>
      </c>
      <c r="E139" s="275" t="s">
        <v>1041</v>
      </c>
      <c r="F139" s="275" t="s">
        <v>1042</v>
      </c>
      <c r="G139" s="275" t="s">
        <v>1043</v>
      </c>
    </row>
    <row r="140" spans="1:7" ht="282.75" customHeight="1" x14ac:dyDescent="0.3">
      <c r="A140" s="387" t="s">
        <v>309</v>
      </c>
      <c r="B140" s="275" t="s">
        <v>109</v>
      </c>
      <c r="C140" s="275" t="s">
        <v>348</v>
      </c>
      <c r="D140" s="275" t="s">
        <v>1044</v>
      </c>
      <c r="E140" s="275" t="s">
        <v>1045</v>
      </c>
      <c r="F140" s="275" t="s">
        <v>1046</v>
      </c>
      <c r="G140" s="275" t="s">
        <v>1047</v>
      </c>
    </row>
    <row r="141" spans="1:7" ht="37.5" customHeight="1" x14ac:dyDescent="0.3">
      <c r="A141" s="387" t="s">
        <v>310</v>
      </c>
      <c r="B141" s="275" t="s">
        <v>572</v>
      </c>
      <c r="C141" s="275" t="s">
        <v>348</v>
      </c>
      <c r="D141" s="275" t="s">
        <v>1048</v>
      </c>
      <c r="E141" s="275" t="s">
        <v>1049</v>
      </c>
      <c r="F141" s="275" t="s">
        <v>1050</v>
      </c>
      <c r="G141" s="275" t="s">
        <v>1051</v>
      </c>
    </row>
    <row r="142" spans="1:7" ht="56.25" customHeight="1" x14ac:dyDescent="0.3">
      <c r="A142" s="387" t="s">
        <v>311</v>
      </c>
      <c r="B142" s="275" t="s">
        <v>111</v>
      </c>
      <c r="C142" s="275" t="s">
        <v>348</v>
      </c>
      <c r="D142" s="275" t="s">
        <v>1052</v>
      </c>
      <c r="E142" s="275" t="s">
        <v>1053</v>
      </c>
      <c r="F142" s="275" t="s">
        <v>1054</v>
      </c>
      <c r="G142" s="275" t="s">
        <v>1055</v>
      </c>
    </row>
    <row r="143" spans="1:7" ht="56.25" customHeight="1" x14ac:dyDescent="0.3">
      <c r="A143" s="387" t="s">
        <v>108</v>
      </c>
      <c r="B143" s="275" t="s">
        <v>112</v>
      </c>
      <c r="C143" s="275"/>
      <c r="D143" s="275"/>
      <c r="E143" s="397" t="s">
        <v>1056</v>
      </c>
      <c r="F143" s="275" t="s">
        <v>1057</v>
      </c>
      <c r="G143" s="388" t="s">
        <v>1058</v>
      </c>
    </row>
    <row r="144" spans="1:7" ht="344.25" customHeight="1" x14ac:dyDescent="0.3">
      <c r="A144" s="387" t="s">
        <v>446</v>
      </c>
      <c r="B144" s="275" t="s">
        <v>113</v>
      </c>
      <c r="C144" s="275"/>
      <c r="D144" s="275"/>
      <c r="E144" s="275" t="s">
        <v>1059</v>
      </c>
      <c r="F144" s="275" t="s">
        <v>1060</v>
      </c>
      <c r="G144" s="275" t="s">
        <v>1061</v>
      </c>
    </row>
    <row r="145" spans="1:7" ht="120.75" customHeight="1" x14ac:dyDescent="0.3">
      <c r="A145" s="389" t="s">
        <v>447</v>
      </c>
      <c r="B145" s="275" t="s">
        <v>575</v>
      </c>
      <c r="C145" s="275" t="s">
        <v>348</v>
      </c>
      <c r="D145" s="275" t="s">
        <v>1062</v>
      </c>
      <c r="E145" s="275" t="s">
        <v>1063</v>
      </c>
      <c r="F145" s="275" t="s">
        <v>1064</v>
      </c>
      <c r="G145" s="275" t="s">
        <v>1065</v>
      </c>
    </row>
    <row r="146" spans="1:7" ht="79.5" customHeight="1" x14ac:dyDescent="0.3">
      <c r="A146" s="389" t="s">
        <v>312</v>
      </c>
      <c r="B146" s="275" t="s">
        <v>204</v>
      </c>
      <c r="C146" s="275" t="s">
        <v>348</v>
      </c>
      <c r="D146" s="275" t="s">
        <v>1066</v>
      </c>
      <c r="E146" s="275" t="s">
        <v>1437</v>
      </c>
      <c r="F146" s="275" t="s">
        <v>1067</v>
      </c>
      <c r="G146" s="275" t="s">
        <v>1438</v>
      </c>
    </row>
    <row r="147" spans="1:7" ht="204" customHeight="1" x14ac:dyDescent="0.3">
      <c r="A147" s="387" t="s">
        <v>448</v>
      </c>
      <c r="B147" s="275" t="s">
        <v>114</v>
      </c>
      <c r="C147" s="275"/>
      <c r="D147" s="275"/>
      <c r="E147" s="275" t="s">
        <v>1068</v>
      </c>
      <c r="F147" s="275" t="s">
        <v>1069</v>
      </c>
      <c r="G147" s="275" t="s">
        <v>1070</v>
      </c>
    </row>
    <row r="148" spans="1:7" ht="37.5" customHeight="1" x14ac:dyDescent="0.3">
      <c r="A148" s="389" t="s">
        <v>313</v>
      </c>
      <c r="B148" s="275" t="s">
        <v>205</v>
      </c>
      <c r="C148" s="275" t="s">
        <v>348</v>
      </c>
      <c r="D148" s="275" t="s">
        <v>1071</v>
      </c>
      <c r="E148" s="275" t="s">
        <v>1072</v>
      </c>
      <c r="F148" s="275" t="s">
        <v>1073</v>
      </c>
      <c r="G148" s="275" t="s">
        <v>1074</v>
      </c>
    </row>
    <row r="149" spans="1:7" ht="200.25" customHeight="1" x14ac:dyDescent="0.3">
      <c r="A149" s="389" t="s">
        <v>314</v>
      </c>
      <c r="B149" s="275" t="s">
        <v>206</v>
      </c>
      <c r="C149" s="275" t="s">
        <v>348</v>
      </c>
      <c r="D149" s="275" t="s">
        <v>1075</v>
      </c>
      <c r="E149" s="275" t="s">
        <v>1076</v>
      </c>
      <c r="F149" s="275" t="s">
        <v>1077</v>
      </c>
      <c r="G149" s="275" t="s">
        <v>1078</v>
      </c>
    </row>
    <row r="150" spans="1:7" ht="92.25" customHeight="1" x14ac:dyDescent="0.3">
      <c r="A150" s="387" t="s">
        <v>315</v>
      </c>
      <c r="B150" s="275" t="s">
        <v>1439</v>
      </c>
      <c r="C150" s="275" t="s">
        <v>348</v>
      </c>
      <c r="D150" s="275" t="s">
        <v>1440</v>
      </c>
      <c r="E150" s="275" t="s">
        <v>1441</v>
      </c>
      <c r="F150" s="275" t="s">
        <v>1442</v>
      </c>
      <c r="G150" s="275" t="s">
        <v>1079</v>
      </c>
    </row>
    <row r="151" spans="1:7" ht="154.5" customHeight="1" x14ac:dyDescent="0.3">
      <c r="A151" s="387" t="s">
        <v>316</v>
      </c>
      <c r="B151" s="275" t="s">
        <v>116</v>
      </c>
      <c r="C151" s="275" t="s">
        <v>348</v>
      </c>
      <c r="D151" s="275" t="s">
        <v>1080</v>
      </c>
      <c r="E151" s="275" t="s">
        <v>1081</v>
      </c>
      <c r="F151" s="275" t="s">
        <v>1082</v>
      </c>
      <c r="G151" s="275" t="s">
        <v>1083</v>
      </c>
    </row>
    <row r="152" spans="1:7" ht="148.5" customHeight="1" x14ac:dyDescent="0.3">
      <c r="A152" s="387" t="s">
        <v>317</v>
      </c>
      <c r="B152" s="275" t="s">
        <v>117</v>
      </c>
      <c r="C152" s="275" t="s">
        <v>348</v>
      </c>
      <c r="D152" s="275" t="s">
        <v>1084</v>
      </c>
      <c r="E152" s="275" t="s">
        <v>1085</v>
      </c>
      <c r="F152" s="275" t="s">
        <v>1086</v>
      </c>
      <c r="G152" s="275" t="s">
        <v>1087</v>
      </c>
    </row>
    <row r="153" spans="1:7" ht="190.5" customHeight="1" x14ac:dyDescent="0.3">
      <c r="A153" s="387" t="s">
        <v>449</v>
      </c>
      <c r="B153" s="275" t="s">
        <v>118</v>
      </c>
      <c r="C153" s="275"/>
      <c r="D153" s="275"/>
      <c r="E153" s="275" t="s">
        <v>1088</v>
      </c>
      <c r="F153" s="275" t="s">
        <v>1089</v>
      </c>
      <c r="G153" s="275" t="s">
        <v>1090</v>
      </c>
    </row>
    <row r="154" spans="1:7" ht="82.5" customHeight="1" x14ac:dyDescent="0.3">
      <c r="A154" s="389" t="s">
        <v>318</v>
      </c>
      <c r="B154" s="275" t="s">
        <v>1443</v>
      </c>
      <c r="C154" s="275" t="s">
        <v>348</v>
      </c>
      <c r="D154" s="275" t="s">
        <v>1091</v>
      </c>
      <c r="E154" s="275" t="s">
        <v>1444</v>
      </c>
      <c r="F154" s="275" t="s">
        <v>1445</v>
      </c>
      <c r="G154" s="275" t="s">
        <v>1446</v>
      </c>
    </row>
    <row r="155" spans="1:7" ht="161.25" customHeight="1" x14ac:dyDescent="0.3">
      <c r="A155" s="389" t="s">
        <v>319</v>
      </c>
      <c r="B155" s="275" t="s">
        <v>208</v>
      </c>
      <c r="C155" s="275" t="s">
        <v>348</v>
      </c>
      <c r="D155" s="275" t="s">
        <v>1092</v>
      </c>
      <c r="E155" s="275" t="s">
        <v>1093</v>
      </c>
      <c r="F155" s="275" t="s">
        <v>1094</v>
      </c>
      <c r="G155" s="275" t="s">
        <v>1095</v>
      </c>
    </row>
    <row r="156" spans="1:7" ht="158.25" customHeight="1" x14ac:dyDescent="0.3">
      <c r="A156" s="387" t="s">
        <v>119</v>
      </c>
      <c r="B156" s="275" t="s">
        <v>120</v>
      </c>
      <c r="C156" s="275"/>
      <c r="D156" s="275"/>
      <c r="E156" s="275" t="s">
        <v>1096</v>
      </c>
      <c r="F156" s="275" t="s">
        <v>1097</v>
      </c>
      <c r="G156" s="275" t="s">
        <v>1098</v>
      </c>
    </row>
    <row r="157" spans="1:7" ht="18.75" customHeight="1" x14ac:dyDescent="0.3">
      <c r="A157" s="387" t="s">
        <v>450</v>
      </c>
      <c r="B157" s="275" t="s">
        <v>121</v>
      </c>
      <c r="C157" s="275" t="s">
        <v>348</v>
      </c>
      <c r="D157" s="275" t="s">
        <v>1099</v>
      </c>
      <c r="E157" s="275" t="s">
        <v>1100</v>
      </c>
      <c r="F157" s="275" t="s">
        <v>1101</v>
      </c>
      <c r="G157" s="275" t="s">
        <v>1102</v>
      </c>
    </row>
    <row r="158" spans="1:7" ht="56.25" customHeight="1" x14ac:dyDescent="0.3">
      <c r="A158" s="387" t="s">
        <v>122</v>
      </c>
      <c r="B158" s="275" t="s">
        <v>123</v>
      </c>
      <c r="C158" s="275"/>
      <c r="D158" s="275"/>
      <c r="E158" s="275" t="s">
        <v>1103</v>
      </c>
      <c r="F158" s="275" t="s">
        <v>1104</v>
      </c>
      <c r="G158" s="275" t="s">
        <v>1105</v>
      </c>
    </row>
    <row r="159" spans="1:7" ht="37.5" customHeight="1" x14ac:dyDescent="0.3">
      <c r="A159" s="387" t="s">
        <v>320</v>
      </c>
      <c r="B159" s="275" t="s">
        <v>124</v>
      </c>
      <c r="C159" s="275" t="s">
        <v>348</v>
      </c>
      <c r="D159" s="275" t="s">
        <v>1106</v>
      </c>
      <c r="E159" s="275" t="s">
        <v>1107</v>
      </c>
      <c r="F159" s="275" t="s">
        <v>1108</v>
      </c>
      <c r="G159" s="275" t="s">
        <v>1109</v>
      </c>
    </row>
    <row r="160" spans="1:7" ht="147.75" customHeight="1" x14ac:dyDescent="0.3">
      <c r="A160" s="387" t="s">
        <v>321</v>
      </c>
      <c r="B160" s="275" t="s">
        <v>125</v>
      </c>
      <c r="C160" s="275" t="s">
        <v>348</v>
      </c>
      <c r="D160" s="275" t="s">
        <v>1110</v>
      </c>
      <c r="E160" s="275" t="s">
        <v>1111</v>
      </c>
      <c r="F160" s="275" t="s">
        <v>1112</v>
      </c>
      <c r="G160" s="275" t="s">
        <v>1113</v>
      </c>
    </row>
    <row r="161" spans="1:7" ht="89.25" customHeight="1" x14ac:dyDescent="0.3">
      <c r="A161" s="387" t="s">
        <v>322</v>
      </c>
      <c r="B161" s="275" t="s">
        <v>126</v>
      </c>
      <c r="C161" s="275" t="s">
        <v>348</v>
      </c>
      <c r="D161" s="275" t="s">
        <v>1114</v>
      </c>
      <c r="E161" s="275" t="s">
        <v>1115</v>
      </c>
      <c r="F161" s="275" t="s">
        <v>1116</v>
      </c>
      <c r="G161" s="275" t="s">
        <v>1117</v>
      </c>
    </row>
    <row r="162" spans="1:7" ht="236.25" customHeight="1" x14ac:dyDescent="0.3">
      <c r="A162" s="391" t="s">
        <v>127</v>
      </c>
      <c r="B162" s="392" t="s">
        <v>130</v>
      </c>
      <c r="C162" s="392"/>
      <c r="D162" s="392"/>
      <c r="E162" s="392" t="s">
        <v>1118</v>
      </c>
      <c r="F162" s="392" t="s">
        <v>1119</v>
      </c>
      <c r="G162" s="392" t="s">
        <v>1120</v>
      </c>
    </row>
    <row r="163" spans="1:7" ht="310.5" customHeight="1" x14ac:dyDescent="0.3">
      <c r="A163" s="387" t="s">
        <v>128</v>
      </c>
      <c r="B163" s="275" t="s">
        <v>131</v>
      </c>
      <c r="C163" s="275"/>
      <c r="D163" s="275"/>
      <c r="E163" s="275" t="s">
        <v>1121</v>
      </c>
      <c r="F163" s="275" t="s">
        <v>1122</v>
      </c>
      <c r="G163" s="275" t="s">
        <v>1123</v>
      </c>
    </row>
    <row r="164" spans="1:7" ht="370.5" customHeight="1" x14ac:dyDescent="0.3">
      <c r="A164" s="387" t="s">
        <v>451</v>
      </c>
      <c r="B164" s="275" t="s">
        <v>132</v>
      </c>
      <c r="C164" s="275"/>
      <c r="D164" s="275"/>
      <c r="E164" s="275" t="s">
        <v>1124</v>
      </c>
      <c r="F164" s="275" t="s">
        <v>1125</v>
      </c>
      <c r="G164" s="275" t="s">
        <v>1126</v>
      </c>
    </row>
    <row r="165" spans="1:7" ht="56.25" customHeight="1" x14ac:dyDescent="0.3">
      <c r="A165" s="393" t="s">
        <v>324</v>
      </c>
      <c r="B165" s="394" t="s">
        <v>1447</v>
      </c>
      <c r="C165" s="394" t="s">
        <v>351</v>
      </c>
      <c r="D165" s="394" t="s">
        <v>1127</v>
      </c>
      <c r="E165" s="394" t="s">
        <v>1128</v>
      </c>
      <c r="F165" s="394" t="s">
        <v>1448</v>
      </c>
      <c r="G165" s="400" t="s">
        <v>1448</v>
      </c>
    </row>
    <row r="166" spans="1:7" ht="58.5" customHeight="1" x14ac:dyDescent="0.3">
      <c r="A166" s="389" t="s">
        <v>325</v>
      </c>
      <c r="B166" s="275" t="s">
        <v>365</v>
      </c>
      <c r="C166" s="275" t="s">
        <v>351</v>
      </c>
      <c r="D166" s="275" t="s">
        <v>1129</v>
      </c>
      <c r="E166" s="275" t="s">
        <v>1130</v>
      </c>
      <c r="F166" s="275" t="s">
        <v>1131</v>
      </c>
      <c r="G166" s="275" t="s">
        <v>1132</v>
      </c>
    </row>
    <row r="167" spans="1:7" ht="73.5" customHeight="1" x14ac:dyDescent="0.3">
      <c r="A167" s="389" t="s">
        <v>326</v>
      </c>
      <c r="B167" s="275" t="s">
        <v>366</v>
      </c>
      <c r="C167" s="275" t="s">
        <v>351</v>
      </c>
      <c r="D167" s="275" t="s">
        <v>1133</v>
      </c>
      <c r="E167" s="275" t="s">
        <v>1134</v>
      </c>
      <c r="F167" s="275" t="s">
        <v>1135</v>
      </c>
      <c r="G167" s="275" t="s">
        <v>1136</v>
      </c>
    </row>
    <row r="168" spans="1:7" ht="37.5" customHeight="1" x14ac:dyDescent="0.3">
      <c r="A168" s="387" t="s">
        <v>327</v>
      </c>
      <c r="B168" s="275" t="s">
        <v>133</v>
      </c>
      <c r="C168" s="275" t="s">
        <v>353</v>
      </c>
      <c r="D168" s="275" t="s">
        <v>1137</v>
      </c>
      <c r="E168" s="275" t="s">
        <v>1138</v>
      </c>
      <c r="F168" s="388" t="s">
        <v>1139</v>
      </c>
      <c r="G168" s="275" t="s">
        <v>1140</v>
      </c>
    </row>
    <row r="169" spans="1:7" ht="86.25" customHeight="1" x14ac:dyDescent="0.3">
      <c r="A169" s="387" t="s">
        <v>328</v>
      </c>
      <c r="B169" s="275" t="s">
        <v>134</v>
      </c>
      <c r="C169" s="275" t="s">
        <v>353</v>
      </c>
      <c r="D169" s="275" t="s">
        <v>1141</v>
      </c>
      <c r="E169" s="388" t="s">
        <v>1142</v>
      </c>
      <c r="F169" s="275" t="s">
        <v>1143</v>
      </c>
      <c r="G169" s="275" t="s">
        <v>1144</v>
      </c>
    </row>
    <row r="170" spans="1:7" ht="56.25" customHeight="1" x14ac:dyDescent="0.3">
      <c r="A170" s="387" t="s">
        <v>452</v>
      </c>
      <c r="B170" s="275" t="s">
        <v>135</v>
      </c>
      <c r="C170" s="275"/>
      <c r="D170" s="275"/>
      <c r="E170" s="275" t="s">
        <v>1145</v>
      </c>
      <c r="F170" s="275" t="s">
        <v>1146</v>
      </c>
      <c r="G170" s="275" t="s">
        <v>1147</v>
      </c>
    </row>
    <row r="171" spans="1:7" ht="75" customHeight="1" x14ac:dyDescent="0.3">
      <c r="A171" s="389" t="s">
        <v>329</v>
      </c>
      <c r="B171" s="275" t="s">
        <v>209</v>
      </c>
      <c r="C171" s="275" t="s">
        <v>351</v>
      </c>
      <c r="D171" s="275" t="s">
        <v>1148</v>
      </c>
      <c r="E171" s="275" t="s">
        <v>209</v>
      </c>
      <c r="F171" s="275" t="s">
        <v>1449</v>
      </c>
      <c r="G171" s="275" t="s">
        <v>1449</v>
      </c>
    </row>
    <row r="172" spans="1:7" ht="37.5" customHeight="1" x14ac:dyDescent="0.3">
      <c r="A172" s="389" t="s">
        <v>330</v>
      </c>
      <c r="B172" s="275" t="s">
        <v>1450</v>
      </c>
      <c r="C172" s="275" t="s">
        <v>351</v>
      </c>
      <c r="D172" s="275" t="s">
        <v>1149</v>
      </c>
      <c r="E172" s="275" t="s">
        <v>1451</v>
      </c>
      <c r="F172" s="275" t="s">
        <v>1452</v>
      </c>
      <c r="G172" s="275" t="s">
        <v>1453</v>
      </c>
    </row>
    <row r="173" spans="1:7" ht="72" customHeight="1" x14ac:dyDescent="0.3">
      <c r="A173" s="389" t="s">
        <v>331</v>
      </c>
      <c r="B173" s="275" t="s">
        <v>211</v>
      </c>
      <c r="C173" s="275" t="s">
        <v>351</v>
      </c>
      <c r="D173" s="275" t="s">
        <v>1150</v>
      </c>
      <c r="E173" s="275" t="s">
        <v>1151</v>
      </c>
      <c r="F173" s="275" t="s">
        <v>1152</v>
      </c>
      <c r="G173" s="275" t="s">
        <v>1153</v>
      </c>
    </row>
    <row r="174" spans="1:7" ht="125.25" customHeight="1" x14ac:dyDescent="0.3">
      <c r="A174" s="389" t="s">
        <v>332</v>
      </c>
      <c r="B174" s="275" t="s">
        <v>212</v>
      </c>
      <c r="C174" s="275" t="s">
        <v>351</v>
      </c>
      <c r="D174" s="275" t="s">
        <v>1154</v>
      </c>
      <c r="E174" s="275" t="s">
        <v>1155</v>
      </c>
      <c r="F174" s="275" t="s">
        <v>1156</v>
      </c>
      <c r="G174" s="275" t="s">
        <v>1157</v>
      </c>
    </row>
    <row r="175" spans="1:7" ht="117" customHeight="1" x14ac:dyDescent="0.3">
      <c r="A175" s="387" t="s">
        <v>129</v>
      </c>
      <c r="B175" s="275" t="s">
        <v>380</v>
      </c>
      <c r="C175" s="275"/>
      <c r="D175" s="275"/>
      <c r="E175" s="275" t="s">
        <v>1158</v>
      </c>
      <c r="F175" s="275" t="s">
        <v>1159</v>
      </c>
      <c r="G175" s="275" t="s">
        <v>1160</v>
      </c>
    </row>
    <row r="176" spans="1:7" ht="245.25" customHeight="1" x14ac:dyDescent="0.3">
      <c r="A176" s="387" t="s">
        <v>453</v>
      </c>
      <c r="B176" s="275" t="s">
        <v>618</v>
      </c>
      <c r="C176" s="275"/>
      <c r="D176" s="275"/>
      <c r="E176" s="275" t="s">
        <v>1161</v>
      </c>
      <c r="F176" s="275" t="s">
        <v>1162</v>
      </c>
      <c r="G176" s="275" t="s">
        <v>1163</v>
      </c>
    </row>
    <row r="177" spans="1:7" ht="84.75" customHeight="1" x14ac:dyDescent="0.3">
      <c r="A177" s="389" t="s">
        <v>333</v>
      </c>
      <c r="B177" s="275" t="s">
        <v>213</v>
      </c>
      <c r="C177" s="275" t="s">
        <v>351</v>
      </c>
      <c r="D177" s="275" t="s">
        <v>1164</v>
      </c>
      <c r="E177" s="275" t="s">
        <v>1165</v>
      </c>
      <c r="F177" s="275" t="s">
        <v>1166</v>
      </c>
      <c r="G177" s="275" t="s">
        <v>1167</v>
      </c>
    </row>
    <row r="178" spans="1:7" ht="165.75" customHeight="1" x14ac:dyDescent="0.3">
      <c r="A178" s="389" t="s">
        <v>334</v>
      </c>
      <c r="B178" s="275" t="s">
        <v>1454</v>
      </c>
      <c r="C178" s="275" t="s">
        <v>351</v>
      </c>
      <c r="D178" s="275" t="s">
        <v>1168</v>
      </c>
      <c r="E178" s="275" t="s">
        <v>1455</v>
      </c>
      <c r="F178" s="275" t="s">
        <v>1456</v>
      </c>
      <c r="G178" s="275" t="s">
        <v>1457</v>
      </c>
    </row>
    <row r="179" spans="1:7" ht="85.5" customHeight="1" x14ac:dyDescent="0.3">
      <c r="A179" s="389" t="s">
        <v>335</v>
      </c>
      <c r="B179" s="275" t="s">
        <v>1458</v>
      </c>
      <c r="C179" s="275" t="s">
        <v>351</v>
      </c>
      <c r="D179" s="275" t="s">
        <v>1169</v>
      </c>
      <c r="E179" s="275" t="s">
        <v>1459</v>
      </c>
      <c r="F179" s="388" t="s">
        <v>1460</v>
      </c>
      <c r="G179" s="275" t="s">
        <v>1170</v>
      </c>
    </row>
    <row r="180" spans="1:7" ht="128.25" customHeight="1" x14ac:dyDescent="0.3">
      <c r="A180" s="387" t="s">
        <v>454</v>
      </c>
      <c r="B180" s="275" t="s">
        <v>136</v>
      </c>
      <c r="C180" s="275"/>
      <c r="D180" s="275"/>
      <c r="E180" s="275" t="s">
        <v>1171</v>
      </c>
      <c r="F180" s="275" t="s">
        <v>1461</v>
      </c>
      <c r="G180" s="275" t="s">
        <v>1462</v>
      </c>
    </row>
    <row r="181" spans="1:7" ht="104.25" customHeight="1" x14ac:dyDescent="0.3">
      <c r="A181" s="389" t="s">
        <v>336</v>
      </c>
      <c r="B181" s="275" t="s">
        <v>216</v>
      </c>
      <c r="C181" s="275" t="s">
        <v>351</v>
      </c>
      <c r="D181" s="275" t="s">
        <v>1172</v>
      </c>
      <c r="E181" s="275" t="s">
        <v>216</v>
      </c>
      <c r="F181" s="275" t="s">
        <v>1173</v>
      </c>
      <c r="G181" s="275" t="s">
        <v>1173</v>
      </c>
    </row>
    <row r="182" spans="1:7" ht="227.25" customHeight="1" x14ac:dyDescent="0.3">
      <c r="A182" s="389" t="s">
        <v>337</v>
      </c>
      <c r="B182" s="275" t="s">
        <v>217</v>
      </c>
      <c r="C182" s="275" t="s">
        <v>351</v>
      </c>
      <c r="D182" s="275" t="s">
        <v>1174</v>
      </c>
      <c r="E182" s="275" t="s">
        <v>1175</v>
      </c>
      <c r="F182" s="275" t="s">
        <v>1176</v>
      </c>
      <c r="G182" s="275" t="s">
        <v>1177</v>
      </c>
    </row>
    <row r="183" spans="1:7" ht="103.5" customHeight="1" x14ac:dyDescent="0.3">
      <c r="A183" s="393" t="s">
        <v>1247</v>
      </c>
      <c r="B183" s="394" t="s">
        <v>1248</v>
      </c>
      <c r="C183" s="394" t="s">
        <v>351</v>
      </c>
      <c r="D183" s="394"/>
      <c r="E183" s="394" t="s">
        <v>1248</v>
      </c>
      <c r="F183" s="394" t="s">
        <v>1463</v>
      </c>
      <c r="G183" s="394" t="s">
        <v>1463</v>
      </c>
    </row>
    <row r="184" spans="1:7" ht="153.75" customHeight="1" x14ac:dyDescent="0.3">
      <c r="A184" s="387" t="s">
        <v>338</v>
      </c>
      <c r="B184" s="275" t="s">
        <v>1178</v>
      </c>
      <c r="C184" s="275" t="s">
        <v>352</v>
      </c>
      <c r="D184" s="275" t="s">
        <v>1179</v>
      </c>
      <c r="E184" s="275" t="s">
        <v>1180</v>
      </c>
      <c r="F184" s="275" t="s">
        <v>1181</v>
      </c>
      <c r="G184" s="275" t="s">
        <v>1182</v>
      </c>
    </row>
    <row r="185" spans="1:7" ht="91.5" customHeight="1" x14ac:dyDescent="0.3">
      <c r="A185" s="387" t="s">
        <v>455</v>
      </c>
      <c r="B185" s="275" t="s">
        <v>138</v>
      </c>
      <c r="C185" s="275"/>
      <c r="D185" s="275"/>
      <c r="E185" s="275" t="s">
        <v>1183</v>
      </c>
      <c r="F185" s="275" t="s">
        <v>1184</v>
      </c>
      <c r="G185" s="275" t="s">
        <v>1185</v>
      </c>
    </row>
    <row r="186" spans="1:7" ht="96.75" customHeight="1" x14ac:dyDescent="0.3">
      <c r="A186" s="389" t="s">
        <v>339</v>
      </c>
      <c r="B186" s="275" t="s">
        <v>218</v>
      </c>
      <c r="C186" s="275" t="s">
        <v>352</v>
      </c>
      <c r="D186" s="275" t="s">
        <v>1186</v>
      </c>
      <c r="E186" s="275" t="s">
        <v>1187</v>
      </c>
      <c r="F186" s="275" t="s">
        <v>1188</v>
      </c>
      <c r="G186" s="275" t="s">
        <v>1189</v>
      </c>
    </row>
    <row r="187" spans="1:7" ht="84" customHeight="1" x14ac:dyDescent="0.3">
      <c r="A187" s="389" t="s">
        <v>340</v>
      </c>
      <c r="B187" s="275" t="s">
        <v>219</v>
      </c>
      <c r="C187" s="275" t="s">
        <v>352</v>
      </c>
      <c r="D187" s="275" t="s">
        <v>1190</v>
      </c>
      <c r="E187" s="275" t="s">
        <v>1191</v>
      </c>
      <c r="F187" s="275" t="s">
        <v>1192</v>
      </c>
      <c r="G187" s="275" t="s">
        <v>1193</v>
      </c>
    </row>
    <row r="188" spans="1:7" ht="79.5" customHeight="1" x14ac:dyDescent="0.3">
      <c r="A188" s="387" t="s">
        <v>341</v>
      </c>
      <c r="B188" s="275" t="s">
        <v>139</v>
      </c>
      <c r="C188" s="275" t="s">
        <v>352</v>
      </c>
      <c r="D188" s="275" t="s">
        <v>1194</v>
      </c>
      <c r="E188" s="275" t="s">
        <v>1195</v>
      </c>
      <c r="F188" s="275" t="s">
        <v>1196</v>
      </c>
      <c r="G188" s="275" t="s">
        <v>1197</v>
      </c>
    </row>
    <row r="189" spans="1:7" ht="56.25" customHeight="1" x14ac:dyDescent="0.3">
      <c r="A189" s="387" t="s">
        <v>342</v>
      </c>
      <c r="B189" s="275" t="s">
        <v>140</v>
      </c>
      <c r="C189" s="275" t="s">
        <v>352</v>
      </c>
      <c r="D189" s="275" t="s">
        <v>1198</v>
      </c>
      <c r="E189" s="275" t="s">
        <v>1199</v>
      </c>
      <c r="F189" s="275" t="s">
        <v>1200</v>
      </c>
      <c r="G189" s="275" t="s">
        <v>1201</v>
      </c>
    </row>
    <row r="190" spans="1:7" ht="18.75" customHeight="1" x14ac:dyDescent="0.3">
      <c r="A190" s="402" t="s">
        <v>1294</v>
      </c>
      <c r="B190" s="394" t="s">
        <v>1311</v>
      </c>
      <c r="C190" s="394" t="s">
        <v>352</v>
      </c>
      <c r="D190" s="394"/>
      <c r="E190" s="394" t="s">
        <v>1464</v>
      </c>
      <c r="F190" s="394" t="s">
        <v>1465</v>
      </c>
      <c r="G190" s="394" t="s">
        <v>1466</v>
      </c>
    </row>
    <row r="191" spans="1:7" ht="56.25" customHeight="1" x14ac:dyDescent="0.3">
      <c r="A191" s="387" t="s">
        <v>220</v>
      </c>
      <c r="B191" s="275" t="s">
        <v>381</v>
      </c>
      <c r="C191" s="275"/>
      <c r="D191" s="275"/>
      <c r="E191" s="275" t="s">
        <v>1202</v>
      </c>
      <c r="F191" s="275" t="s">
        <v>1203</v>
      </c>
      <c r="G191" s="275" t="s">
        <v>1204</v>
      </c>
    </row>
    <row r="192" spans="1:7" ht="80.25" customHeight="1" x14ac:dyDescent="0.3">
      <c r="A192" s="387" t="s">
        <v>221</v>
      </c>
      <c r="B192" s="275" t="s">
        <v>222</v>
      </c>
      <c r="C192" s="275"/>
      <c r="D192" s="275"/>
      <c r="E192" s="275" t="s">
        <v>1205</v>
      </c>
      <c r="F192" s="275" t="s">
        <v>1206</v>
      </c>
      <c r="G192" s="275" t="s">
        <v>1207</v>
      </c>
    </row>
    <row r="193" spans="1:7" ht="56.25" customHeight="1" x14ac:dyDescent="0.3">
      <c r="A193" s="389" t="s">
        <v>343</v>
      </c>
      <c r="B193" s="275" t="s">
        <v>223</v>
      </c>
      <c r="C193" s="275" t="s">
        <v>351</v>
      </c>
      <c r="D193" s="275" t="s">
        <v>1208</v>
      </c>
      <c r="E193" s="275" t="s">
        <v>1209</v>
      </c>
      <c r="F193" s="275" t="s">
        <v>1210</v>
      </c>
      <c r="G193" s="275" t="s">
        <v>1211</v>
      </c>
    </row>
    <row r="194" spans="1:7" ht="56.25" customHeight="1" x14ac:dyDescent="0.3">
      <c r="A194" s="393" t="s">
        <v>237</v>
      </c>
      <c r="B194" s="394" t="s">
        <v>1286</v>
      </c>
      <c r="C194" s="394" t="s">
        <v>351</v>
      </c>
      <c r="D194" s="394" t="s">
        <v>1212</v>
      </c>
      <c r="E194" s="394" t="s">
        <v>1467</v>
      </c>
      <c r="F194" s="404" t="s">
        <v>1468</v>
      </c>
      <c r="G194" s="394" t="s">
        <v>1469</v>
      </c>
    </row>
    <row r="195" spans="1:7" ht="56.25" customHeight="1" x14ac:dyDescent="0.3">
      <c r="A195" s="387" t="s">
        <v>236</v>
      </c>
      <c r="B195" s="275" t="s">
        <v>225</v>
      </c>
      <c r="C195" s="275" t="s">
        <v>352</v>
      </c>
      <c r="D195" s="275" t="s">
        <v>1213</v>
      </c>
      <c r="E195" s="275" t="s">
        <v>1214</v>
      </c>
      <c r="F195" s="275" t="s">
        <v>1215</v>
      </c>
      <c r="G195" s="275" t="s">
        <v>1216</v>
      </c>
    </row>
    <row r="196" spans="1:7" ht="56.25" customHeight="1" x14ac:dyDescent="0.3">
      <c r="A196" s="391" t="s">
        <v>141</v>
      </c>
      <c r="B196" s="392" t="s">
        <v>142</v>
      </c>
      <c r="C196" s="392"/>
      <c r="D196" s="392"/>
      <c r="E196" s="392" t="s">
        <v>1217</v>
      </c>
      <c r="F196" s="392" t="s">
        <v>1218</v>
      </c>
      <c r="G196" s="392" t="s">
        <v>1219</v>
      </c>
    </row>
    <row r="197" spans="1:7" x14ac:dyDescent="0.3">
      <c r="A197" s="389" t="s">
        <v>359</v>
      </c>
      <c r="B197" s="275" t="s">
        <v>601</v>
      </c>
      <c r="C197" s="275" t="s">
        <v>356</v>
      </c>
      <c r="D197" s="275"/>
      <c r="E197" s="275" t="s">
        <v>1220</v>
      </c>
      <c r="F197" s="275" t="s">
        <v>1221</v>
      </c>
      <c r="G197" s="275" t="s">
        <v>1222</v>
      </c>
    </row>
    <row r="198" spans="1:7" ht="37.5" x14ac:dyDescent="0.3">
      <c r="A198" s="389" t="s">
        <v>235</v>
      </c>
      <c r="B198" s="275" t="s">
        <v>143</v>
      </c>
      <c r="C198" s="275" t="s">
        <v>356</v>
      </c>
      <c r="D198" s="275"/>
      <c r="E198" s="275" t="s">
        <v>1223</v>
      </c>
      <c r="F198" s="275" t="s">
        <v>1224</v>
      </c>
      <c r="G198" s="275" t="s">
        <v>1225</v>
      </c>
    </row>
    <row r="199" spans="1:7" ht="37.5" x14ac:dyDescent="0.3">
      <c r="A199" s="391" t="s">
        <v>144</v>
      </c>
      <c r="B199" s="392" t="s">
        <v>146</v>
      </c>
      <c r="C199" s="392"/>
      <c r="D199" s="392"/>
      <c r="E199" s="392" t="s">
        <v>1226</v>
      </c>
      <c r="F199" s="392" t="s">
        <v>1227</v>
      </c>
      <c r="G199" s="392" t="s">
        <v>1228</v>
      </c>
    </row>
    <row r="200" spans="1:7" ht="56.25" x14ac:dyDescent="0.3">
      <c r="A200" s="389" t="s">
        <v>234</v>
      </c>
      <c r="B200" s="275" t="s">
        <v>148</v>
      </c>
      <c r="C200" s="275" t="s">
        <v>356</v>
      </c>
      <c r="D200" s="275"/>
      <c r="E200" s="275" t="s">
        <v>1229</v>
      </c>
      <c r="F200" s="275" t="s">
        <v>1230</v>
      </c>
      <c r="G200" s="275" t="s">
        <v>1231</v>
      </c>
    </row>
    <row r="201" spans="1:7" ht="37.5" x14ac:dyDescent="0.3">
      <c r="A201" s="391" t="s">
        <v>145</v>
      </c>
      <c r="B201" s="392" t="s">
        <v>147</v>
      </c>
      <c r="C201" s="392"/>
      <c r="D201" s="392"/>
      <c r="E201" s="392" t="s">
        <v>1232</v>
      </c>
      <c r="F201" s="392" t="s">
        <v>1233</v>
      </c>
      <c r="G201" s="392" t="s">
        <v>1234</v>
      </c>
    </row>
    <row r="202" spans="1:7" ht="16.5" customHeight="1" x14ac:dyDescent="0.3">
      <c r="A202" s="389" t="s">
        <v>233</v>
      </c>
      <c r="B202" s="275" t="s">
        <v>149</v>
      </c>
      <c r="C202" s="275" t="s">
        <v>356</v>
      </c>
      <c r="D202" s="275"/>
      <c r="E202" s="275" t="s">
        <v>1235</v>
      </c>
      <c r="F202" s="275" t="s">
        <v>1236</v>
      </c>
      <c r="G202" s="275" t="s">
        <v>1237</v>
      </c>
    </row>
    <row r="203" spans="1:7" ht="37.5" x14ac:dyDescent="0.3">
      <c r="A203" s="391" t="s">
        <v>1376</v>
      </c>
      <c r="B203" s="391" t="s">
        <v>1470</v>
      </c>
      <c r="C203" s="391" t="s">
        <v>356</v>
      </c>
      <c r="D203" s="391"/>
      <c r="E203" s="391" t="s">
        <v>1470</v>
      </c>
      <c r="F203" s="391" t="s">
        <v>1471</v>
      </c>
      <c r="G203" s="391"/>
    </row>
    <row r="204" spans="1:7" ht="27.75" customHeight="1" x14ac:dyDescent="0.3">
      <c r="A204" s="275" t="s">
        <v>1472</v>
      </c>
      <c r="B204" s="275" t="s">
        <v>1372</v>
      </c>
      <c r="C204" s="275"/>
      <c r="D204" s="275"/>
      <c r="E204" s="275" t="s">
        <v>1473</v>
      </c>
      <c r="F204" s="275" t="s">
        <v>1474</v>
      </c>
      <c r="G204" s="275" t="s">
        <v>1475</v>
      </c>
    </row>
    <row r="205" spans="1:7" ht="18" customHeight="1" x14ac:dyDescent="0.3">
      <c r="A205" s="389" t="s">
        <v>1518</v>
      </c>
      <c r="B205" s="275" t="s">
        <v>1476</v>
      </c>
      <c r="C205" s="275" t="s">
        <v>349</v>
      </c>
      <c r="D205" s="275"/>
      <c r="E205" s="275" t="s">
        <v>1476</v>
      </c>
      <c r="F205" s="275" t="s">
        <v>1477</v>
      </c>
      <c r="G205" s="275" t="s">
        <v>1477</v>
      </c>
    </row>
    <row r="206" spans="1:7" ht="15" customHeight="1" x14ac:dyDescent="0.3">
      <c r="A206" s="275" t="s">
        <v>1385</v>
      </c>
      <c r="B206" s="275" t="s">
        <v>1355</v>
      </c>
      <c r="C206" s="275" t="s">
        <v>349</v>
      </c>
      <c r="D206" s="275"/>
      <c r="E206" s="275" t="s">
        <v>1365</v>
      </c>
      <c r="F206" s="275" t="s">
        <v>1478</v>
      </c>
      <c r="G206" s="275" t="s">
        <v>1479</v>
      </c>
    </row>
    <row r="207" spans="1:7" ht="30" customHeight="1" x14ac:dyDescent="0.3">
      <c r="A207" s="275" t="s">
        <v>1378</v>
      </c>
      <c r="B207" s="275" t="s">
        <v>1356</v>
      </c>
      <c r="C207" s="275" t="s">
        <v>349</v>
      </c>
      <c r="D207" s="275"/>
      <c r="E207" s="275" t="s">
        <v>800</v>
      </c>
      <c r="F207" s="275" t="s">
        <v>801</v>
      </c>
      <c r="G207" s="275" t="s">
        <v>802</v>
      </c>
    </row>
    <row r="208" spans="1:7" ht="37.5" x14ac:dyDescent="0.3">
      <c r="A208" s="389" t="s">
        <v>1519</v>
      </c>
      <c r="B208" s="275" t="s">
        <v>1480</v>
      </c>
      <c r="C208" s="275" t="s">
        <v>348</v>
      </c>
      <c r="D208" s="275"/>
      <c r="E208" s="275" t="s">
        <v>1481</v>
      </c>
      <c r="F208" s="275" t="s">
        <v>1482</v>
      </c>
      <c r="G208" s="275" t="s">
        <v>1482</v>
      </c>
    </row>
    <row r="209" spans="1:7" x14ac:dyDescent="0.3">
      <c r="A209" s="275" t="s">
        <v>1386</v>
      </c>
      <c r="B209" s="275" t="s">
        <v>1483</v>
      </c>
      <c r="C209" s="275" t="s">
        <v>348</v>
      </c>
      <c r="D209" s="275"/>
      <c r="E209" s="275" t="s">
        <v>1483</v>
      </c>
      <c r="F209" s="275" t="s">
        <v>1484</v>
      </c>
      <c r="G209" s="275" t="s">
        <v>1484</v>
      </c>
    </row>
    <row r="210" spans="1:7" x14ac:dyDescent="0.3">
      <c r="A210" s="275" t="s">
        <v>1387</v>
      </c>
      <c r="B210" s="275" t="s">
        <v>1485</v>
      </c>
      <c r="C210" s="275" t="s">
        <v>348</v>
      </c>
      <c r="D210" s="275"/>
      <c r="E210" s="275" t="s">
        <v>1485</v>
      </c>
      <c r="F210" s="275" t="s">
        <v>1486</v>
      </c>
      <c r="G210" s="275" t="s">
        <v>1486</v>
      </c>
    </row>
    <row r="211" spans="1:7" ht="37.5" x14ac:dyDescent="0.3">
      <c r="A211" s="275" t="s">
        <v>1377</v>
      </c>
      <c r="B211" s="275" t="s">
        <v>1364</v>
      </c>
      <c r="C211" s="275" t="s">
        <v>350</v>
      </c>
      <c r="D211" s="275"/>
      <c r="E211" s="275" t="s">
        <v>1487</v>
      </c>
      <c r="F211" s="275" t="s">
        <v>1488</v>
      </c>
      <c r="G211" s="275" t="s">
        <v>1489</v>
      </c>
    </row>
    <row r="212" spans="1:7" x14ac:dyDescent="0.3">
      <c r="A212" s="389" t="s">
        <v>1388</v>
      </c>
      <c r="B212" s="275" t="s">
        <v>851</v>
      </c>
      <c r="C212" s="275" t="s">
        <v>350</v>
      </c>
      <c r="D212" s="275"/>
      <c r="E212" s="275" t="s">
        <v>1490</v>
      </c>
      <c r="F212" s="275" t="s">
        <v>1491</v>
      </c>
      <c r="G212" s="275" t="s">
        <v>1492</v>
      </c>
    </row>
    <row r="213" spans="1:7" ht="37.5" x14ac:dyDescent="0.3">
      <c r="A213" s="389" t="s">
        <v>1373</v>
      </c>
      <c r="B213" s="389" t="s">
        <v>1374</v>
      </c>
      <c r="C213" s="389" t="s">
        <v>355</v>
      </c>
      <c r="D213" s="389"/>
      <c r="E213" s="389" t="s">
        <v>1374</v>
      </c>
      <c r="F213" s="389" t="s">
        <v>1493</v>
      </c>
      <c r="G213" s="389" t="s">
        <v>1493</v>
      </c>
    </row>
    <row r="214" spans="1:7" ht="37.5" x14ac:dyDescent="0.3">
      <c r="A214" s="389" t="s">
        <v>1515</v>
      </c>
      <c r="B214" s="389" t="s">
        <v>1494</v>
      </c>
      <c r="C214" s="389" t="s">
        <v>352</v>
      </c>
      <c r="D214" s="389"/>
      <c r="E214" s="389" t="s">
        <v>1494</v>
      </c>
      <c r="F214" s="389" t="s">
        <v>1495</v>
      </c>
      <c r="G214" s="389" t="s">
        <v>1495</v>
      </c>
    </row>
    <row r="215" spans="1:7" ht="56.25" x14ac:dyDescent="0.3">
      <c r="A215" s="389" t="s">
        <v>1516</v>
      </c>
      <c r="B215" s="389" t="s">
        <v>1496</v>
      </c>
      <c r="C215" s="389" t="s">
        <v>349</v>
      </c>
      <c r="D215" s="389" t="s">
        <v>1497</v>
      </c>
      <c r="E215" s="389" t="s">
        <v>1548</v>
      </c>
      <c r="F215" s="389" t="s">
        <v>1498</v>
      </c>
      <c r="G215" s="389" t="s">
        <v>1499</v>
      </c>
    </row>
    <row r="216" spans="1:7" ht="37.5" customHeight="1" x14ac:dyDescent="0.3">
      <c r="A216" s="391" t="s">
        <v>1500</v>
      </c>
      <c r="B216" s="391" t="s">
        <v>1501</v>
      </c>
      <c r="C216" s="391"/>
      <c r="D216" s="391"/>
      <c r="E216" s="391" t="s">
        <v>1501</v>
      </c>
      <c r="F216" s="391" t="s">
        <v>1471</v>
      </c>
      <c r="G216" s="391"/>
    </row>
    <row r="217" spans="1:7" ht="56.25" x14ac:dyDescent="0.3">
      <c r="A217" s="387" t="s">
        <v>1502</v>
      </c>
      <c r="B217" s="389" t="s">
        <v>1503</v>
      </c>
      <c r="C217" s="389"/>
      <c r="D217" s="389"/>
      <c r="E217" s="389"/>
      <c r="F217" s="389" t="s">
        <v>1504</v>
      </c>
      <c r="G217" s="389"/>
    </row>
    <row r="218" spans="1:7" ht="37.5" x14ac:dyDescent="0.3">
      <c r="A218" s="387" t="s">
        <v>1517</v>
      </c>
      <c r="B218" s="389" t="s">
        <v>1505</v>
      </c>
      <c r="C218" s="389" t="s">
        <v>348</v>
      </c>
      <c r="D218" s="389"/>
      <c r="E218" s="389" t="s">
        <v>1505</v>
      </c>
      <c r="F218" s="389" t="s">
        <v>1506</v>
      </c>
      <c r="G218" s="389" t="s">
        <v>1506</v>
      </c>
    </row>
    <row r="219" spans="1:7" ht="37.5" x14ac:dyDescent="0.3">
      <c r="A219" s="389" t="s">
        <v>1390</v>
      </c>
      <c r="B219" s="389" t="s">
        <v>1049</v>
      </c>
      <c r="C219" s="389" t="s">
        <v>348</v>
      </c>
      <c r="D219" s="389"/>
      <c r="E219" s="389" t="s">
        <v>1049</v>
      </c>
      <c r="F219" s="389" t="s">
        <v>1507</v>
      </c>
      <c r="G219" s="389" t="s">
        <v>1051</v>
      </c>
    </row>
    <row r="220" spans="1:7" x14ac:dyDescent="0.3">
      <c r="A220" s="389" t="s">
        <v>1391</v>
      </c>
      <c r="B220" s="389" t="s">
        <v>1508</v>
      </c>
      <c r="C220" s="389" t="s">
        <v>348</v>
      </c>
      <c r="D220" s="389"/>
      <c r="E220" s="389" t="s">
        <v>1508</v>
      </c>
      <c r="F220" s="389" t="s">
        <v>1509</v>
      </c>
      <c r="G220" s="389" t="s">
        <v>1509</v>
      </c>
    </row>
    <row r="221" spans="1:7" ht="37.5" x14ac:dyDescent="0.3">
      <c r="A221" s="405" t="s">
        <v>1520</v>
      </c>
      <c r="B221" s="389" t="s">
        <v>1510</v>
      </c>
      <c r="C221" s="389" t="s">
        <v>351</v>
      </c>
      <c r="D221" s="389"/>
      <c r="E221" s="389" t="s">
        <v>1510</v>
      </c>
      <c r="F221" s="389" t="s">
        <v>1511</v>
      </c>
      <c r="G221" s="389" t="s">
        <v>1512</v>
      </c>
    </row>
    <row r="222" spans="1:7" ht="37.5" x14ac:dyDescent="0.3">
      <c r="A222" s="405" t="s">
        <v>1521</v>
      </c>
      <c r="B222" s="389" t="s">
        <v>1513</v>
      </c>
      <c r="C222" s="389" t="s">
        <v>352</v>
      </c>
      <c r="D222" s="389"/>
      <c r="E222" s="389" t="s">
        <v>1513</v>
      </c>
      <c r="F222" s="389" t="s">
        <v>1514</v>
      </c>
      <c r="G222" s="389" t="s">
        <v>1514</v>
      </c>
    </row>
    <row r="223" spans="1:7" ht="56.25" x14ac:dyDescent="0.3">
      <c r="A223" s="137" t="s">
        <v>1389</v>
      </c>
      <c r="B223" s="164" t="s">
        <v>1358</v>
      </c>
      <c r="C223" s="165"/>
      <c r="D223" s="166"/>
      <c r="E223" s="164" t="s">
        <v>1358</v>
      </c>
    </row>
    <row r="224" spans="1:7" x14ac:dyDescent="0.3">
      <c r="A224" s="137"/>
      <c r="B224" s="164"/>
      <c r="C224" s="165"/>
      <c r="D224" s="166"/>
    </row>
  </sheetData>
  <autoFilter ref="A6:D223" xr:uid="{00000000-0009-0000-0000-000000000000}"/>
  <mergeCells count="3">
    <mergeCell ref="A3:D3"/>
    <mergeCell ref="E3:G3"/>
    <mergeCell ref="A1:B1"/>
  </mergeCells>
  <phoneticPr fontId="80" type="noConversion"/>
  <pageMargins left="0.25" right="0.25" top="0.75" bottom="0.75" header="0.3" footer="0.3"/>
  <pageSetup paperSize="8" scale="19" fitToHeight="0" orientation="landscape"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59999389629810485"/>
    <pageSetUpPr fitToPage="1"/>
  </sheetPr>
  <dimension ref="A1:W58"/>
  <sheetViews>
    <sheetView topLeftCell="A7" zoomScale="60" zoomScaleNormal="60" workbookViewId="0">
      <selection activeCell="N27" sqref="N27"/>
    </sheetView>
  </sheetViews>
  <sheetFormatPr defaultColWidth="9.5703125" defaultRowHeight="15" x14ac:dyDescent="0.25"/>
  <cols>
    <col min="1" max="1" width="9.5703125" style="323"/>
    <col min="2" max="2" width="32" style="357" customWidth="1"/>
    <col min="3" max="3" width="16.5703125" style="323" bestFit="1" customWidth="1"/>
    <col min="4" max="4" width="23.5703125" style="323" customWidth="1"/>
    <col min="5" max="5" width="20.42578125" style="323" customWidth="1"/>
    <col min="6" max="6" width="25.5703125" style="323" customWidth="1"/>
    <col min="7" max="7" width="24.5703125" style="323" customWidth="1"/>
    <col min="8" max="8" width="23.5703125" style="360" bestFit="1" customWidth="1"/>
    <col min="9" max="9" width="23.42578125" style="360" customWidth="1"/>
    <col min="10" max="10" width="22" style="360" customWidth="1"/>
    <col min="11" max="11" width="21.42578125" style="360" bestFit="1" customWidth="1"/>
    <col min="12" max="12" width="21.42578125" style="360" customWidth="1"/>
    <col min="13" max="13" width="18.5703125" style="360" customWidth="1"/>
    <col min="14" max="14" width="42.42578125" style="323" customWidth="1"/>
    <col min="15" max="15" width="27.42578125" style="323" customWidth="1"/>
    <col min="16" max="16" width="29.5703125" style="323" bestFit="1" customWidth="1"/>
    <col min="17" max="17" width="22.5703125" style="323" customWidth="1"/>
    <col min="18" max="18" width="35.5703125" style="323" customWidth="1"/>
    <col min="19" max="19" width="14.5703125" style="323" bestFit="1" customWidth="1"/>
    <col min="20" max="20" width="9.5703125" style="323"/>
    <col min="21" max="21" width="26.42578125" style="323" customWidth="1"/>
    <col min="22" max="22" width="18" style="323" bestFit="1" customWidth="1"/>
    <col min="23" max="16384" width="9.5703125" style="323"/>
  </cols>
  <sheetData>
    <row r="1" spans="1:23" ht="35.1" customHeight="1" x14ac:dyDescent="0.25">
      <c r="B1" s="589" t="str">
        <f>("Kumulatīvais progress atbildīgo iestāžu dalījumā līdz ")&amp;RIGHT(Pasākumu_līmenis!A1,11)</f>
        <v>Kumulatīvais progress atbildīgo iestāžu dalījumā līdz 31.03.2025.</v>
      </c>
      <c r="C1" s="589"/>
      <c r="D1" s="589"/>
      <c r="E1" s="589"/>
      <c r="F1" s="589"/>
      <c r="G1" s="589"/>
      <c r="H1" s="589"/>
      <c r="I1" s="589"/>
      <c r="J1" s="589"/>
      <c r="K1" s="589"/>
      <c r="L1" s="589"/>
      <c r="M1" s="589"/>
      <c r="N1" s="589"/>
    </row>
    <row r="2" spans="1:23" ht="93.75" x14ac:dyDescent="0.3">
      <c r="B2" s="324"/>
      <c r="C2" s="325"/>
      <c r="D2" s="326" t="s">
        <v>1334</v>
      </c>
      <c r="E2" s="330" t="s">
        <v>1383</v>
      </c>
      <c r="F2" s="327" t="s">
        <v>1335</v>
      </c>
      <c r="G2" s="328"/>
      <c r="H2" s="326" t="s">
        <v>1336</v>
      </c>
      <c r="I2" s="329" t="s">
        <v>1315</v>
      </c>
      <c r="J2" s="327" t="s">
        <v>1337</v>
      </c>
      <c r="K2" s="330" t="s">
        <v>1379</v>
      </c>
      <c r="L2" s="330" t="s">
        <v>1382</v>
      </c>
      <c r="M2" s="329" t="s">
        <v>1316</v>
      </c>
      <c r="N2" s="461"/>
      <c r="O2" s="329" t="s">
        <v>1381</v>
      </c>
      <c r="P2" s="338" t="s">
        <v>1384</v>
      </c>
      <c r="Q2" s="439" t="s">
        <v>1534</v>
      </c>
      <c r="U2" s="329" t="s">
        <v>1536</v>
      </c>
    </row>
    <row r="3" spans="1:23" s="331" customFormat="1" ht="83.1" customHeight="1" x14ac:dyDescent="0.3">
      <c r="A3" s="331" t="s">
        <v>1317</v>
      </c>
      <c r="B3" s="332" t="s">
        <v>1318</v>
      </c>
      <c r="C3" s="333" t="s">
        <v>463</v>
      </c>
      <c r="D3" s="334" t="s">
        <v>1319</v>
      </c>
      <c r="E3" s="335" t="str">
        <f>("MK noteikumos nesadalītais finansējums ("&amp;(ROUND(E16/1000000,0)&amp;(" milj. €)")))</f>
        <v>MK noteikumos nesadalītais finansējums (12 milj. €)</v>
      </c>
      <c r="F3" s="336" t="s">
        <v>158</v>
      </c>
      <c r="G3" s="337" t="s">
        <v>1320</v>
      </c>
      <c r="H3" s="338" t="str">
        <f>("Maksājumu apjoms ("&amp;(ROUND(H16/1000000,0)&amp;(" milj. €)")))</f>
        <v>Maksājumu apjoms (4510 milj. €)</v>
      </c>
      <c r="I3" s="338" t="str">
        <f>("Līgumos plānotie, bet vēl neveiktie maksājumi ("&amp;(ROUND(I16/1000000,0)&amp;(" milj. €)")))</f>
        <v>Līgumos plānotie, bet vēl neveiktie maksājumi (343 milj. €)</v>
      </c>
      <c r="J3" s="338" t="str">
        <f>("Projektu līgumi, tai skaitā no virssaistībām ("&amp;(ROUND(J16/1000000,0)&amp;(" milj. €)")))</f>
        <v>Projektu līgumi, tai skaitā no virssaistībām (4536 milj. €)</v>
      </c>
      <c r="L3" s="338" t="str">
        <f>("Nav noslēgti līgumi par fondu finansējumu un virss. ("&amp;(ROUND(L16/1000000,0)&amp;(" milj. €)")))</f>
        <v>Nav noslēgti līgumi par fondu finansējumu un virss. (317 milj. €)</v>
      </c>
      <c r="M3" s="338" t="str">
        <f>("Līgumi uz valsts budžeta virssaistību rēķina ("&amp;(ROUND(M16/1000000,0)&amp;(" milj. €)")))</f>
        <v>Līgumi uz valsts budžeta virssaistību rēķina (0 milj. €)</v>
      </c>
      <c r="N3" s="462" t="s">
        <v>1552</v>
      </c>
      <c r="O3" s="338" t="s">
        <v>1346</v>
      </c>
      <c r="T3" s="340"/>
      <c r="U3" s="341"/>
      <c r="V3" s="341"/>
    </row>
    <row r="4" spans="1:23" s="331" customFormat="1" ht="25.35" customHeight="1" x14ac:dyDescent="0.25">
      <c r="B4" s="332">
        <v>1</v>
      </c>
      <c r="C4" s="333">
        <v>2</v>
      </c>
      <c r="D4" s="339">
        <v>3</v>
      </c>
      <c r="E4" s="332">
        <v>4</v>
      </c>
      <c r="F4" s="338">
        <v>5</v>
      </c>
      <c r="G4" s="338">
        <v>6</v>
      </c>
      <c r="H4" s="338">
        <v>7</v>
      </c>
      <c r="I4" s="338" t="s">
        <v>1321</v>
      </c>
      <c r="J4" s="338">
        <v>9</v>
      </c>
      <c r="K4" s="338">
        <v>10</v>
      </c>
      <c r="L4" s="338"/>
      <c r="M4" s="338">
        <v>11</v>
      </c>
      <c r="N4" s="339"/>
      <c r="O4" s="338"/>
      <c r="T4" s="340"/>
      <c r="U4" s="341"/>
      <c r="V4" s="341"/>
    </row>
    <row r="5" spans="1:23" ht="75" x14ac:dyDescent="0.3">
      <c r="B5" s="342" t="s">
        <v>1322</v>
      </c>
      <c r="C5" s="333" t="s">
        <v>354</v>
      </c>
      <c r="D5" s="343">
        <f>VLOOKUP(C5,AI!$A$65:$I$75,2,FALSE)+VLOOKUP(C5,AI!$A$65:$I$75,3,FALSE)+IFERROR(VLOOKUP(C5,AI!$A$80:$I$85,2,FALSE),0)+IFERROR(VLOOKUP(C5,AI!$A$80:$I$85,3,FALSE),0)</f>
        <v>8569373</v>
      </c>
      <c r="E5" s="344">
        <f>VLOOKUP(C5,AI!$A$65:$I$75,6,FALSE)+O5</f>
        <v>0</v>
      </c>
      <c r="F5" s="345">
        <f>VLOOKUP(C5,AI!$A$65:$I$75,3,FALSE)</f>
        <v>0</v>
      </c>
      <c r="G5" s="344">
        <f>VLOOKUP(C5,AI!$A$65:$I$75,7,FALSE)+IFERROR(VLOOKUP(C5,AI!$A$80:$I$85,7,FALSE),0)</f>
        <v>0</v>
      </c>
      <c r="H5" s="346">
        <f>VLOOKUP(C5,AI!$A$9:$L$19,12,FALSE)</f>
        <v>8501012.1500000004</v>
      </c>
      <c r="I5" s="346">
        <f t="shared" ref="I5:I15" si="0">D5-H5</f>
        <v>68360.849999999627</v>
      </c>
      <c r="J5" s="346">
        <f>VLOOKUP(C5,AI!$A$9:$L$19,10,FALSE)</f>
        <v>8501012.1500000004</v>
      </c>
      <c r="K5" s="346">
        <f t="shared" ref="K5:K15" si="1">D5-J5</f>
        <v>68360.849999999627</v>
      </c>
      <c r="L5" s="346">
        <f t="shared" ref="L5:L15" si="2">IF(K5&lt;0, 0,K5)</f>
        <v>68360.849999999627</v>
      </c>
      <c r="M5" s="346">
        <f t="shared" ref="M5:M15" si="3">IF(J5-D5&lt;0,0,J5-D5)</f>
        <v>0</v>
      </c>
      <c r="N5" s="382">
        <f t="shared" ref="N5:N15" si="4">D5+E5</f>
        <v>8569373</v>
      </c>
      <c r="O5" s="346"/>
      <c r="P5" s="383">
        <f>J5+L5+E5-F5</f>
        <v>8569373</v>
      </c>
      <c r="Q5" s="385">
        <f>F5+G5</f>
        <v>0</v>
      </c>
      <c r="R5" s="440"/>
      <c r="T5" s="347"/>
      <c r="U5" s="348">
        <f>SUMIFS(Pasākumu_līmenis!$AL$15:$AL$204, Pasākumu_līmenis!$E$15:$E$204,C5)</f>
        <v>0</v>
      </c>
      <c r="V5" s="348"/>
    </row>
    <row r="6" spans="1:23" ht="57.6" customHeight="1" x14ac:dyDescent="0.3">
      <c r="B6" s="342" t="s">
        <v>1323</v>
      </c>
      <c r="C6" s="333" t="s">
        <v>353</v>
      </c>
      <c r="D6" s="343">
        <f>VLOOKUP(C6,AI!$A$65:$I$75,2,FALSE)+VLOOKUP(C6,AI!$A$65:$I$75,3,FALSE)+IFERROR(VLOOKUP(C6,AI!$A$80:$I$85,2,FALSE),0)+IFERROR(VLOOKUP(C6,AI!$A$80:$I$85,3,FALSE),0)</f>
        <v>17490523</v>
      </c>
      <c r="E6" s="344">
        <f>VLOOKUP(C6,AI!$A$65:$I$75,6,FALSE)+O6</f>
        <v>0</v>
      </c>
      <c r="F6" s="345">
        <f>VLOOKUP(C6,AI!$A$65:$I$75,3,FALSE)</f>
        <v>0</v>
      </c>
      <c r="G6" s="344">
        <f>VLOOKUP(C6,AI!$A$65:$I$75,7,FALSE)+IFERROR(VLOOKUP(C6,AI!$A$80:$I$85,7,FALSE),0)</f>
        <v>0</v>
      </c>
      <c r="H6" s="346">
        <f>VLOOKUP(C6,AI!$A$9:$L$19,12,FALSE)</f>
        <v>17479673.399999999</v>
      </c>
      <c r="I6" s="346">
        <f t="shared" si="0"/>
        <v>10849.60000000149</v>
      </c>
      <c r="J6" s="346">
        <f>VLOOKUP(C6,AI!$A$9:$L$19,10,FALSE)</f>
        <v>17479673.399999999</v>
      </c>
      <c r="K6" s="346">
        <f t="shared" si="1"/>
        <v>10849.60000000149</v>
      </c>
      <c r="L6" s="346">
        <f t="shared" si="2"/>
        <v>10849.60000000149</v>
      </c>
      <c r="M6" s="346">
        <f t="shared" si="3"/>
        <v>0</v>
      </c>
      <c r="N6" s="382">
        <f t="shared" si="4"/>
        <v>17490523</v>
      </c>
      <c r="O6" s="346"/>
      <c r="P6" s="383">
        <f t="shared" ref="P6:P16" si="5">J6+L6+E6-F6</f>
        <v>17490523</v>
      </c>
      <c r="Q6" s="385">
        <f t="shared" ref="Q6:Q16" si="6">F6+G6</f>
        <v>0</v>
      </c>
      <c r="R6" s="440"/>
      <c r="T6" s="347"/>
      <c r="U6" s="348">
        <f>SUMIFS(Pasākumu_līmenis!$AL$15:$AL$204, Pasākumu_līmenis!$E$15:$E$204,C6)</f>
        <v>0</v>
      </c>
      <c r="V6" s="348"/>
    </row>
    <row r="7" spans="1:23" ht="37.5" x14ac:dyDescent="0.3">
      <c r="B7" s="342" t="s">
        <v>845</v>
      </c>
      <c r="C7" s="333" t="s">
        <v>400</v>
      </c>
      <c r="D7" s="343">
        <f>VLOOKUP(C7,AI!$A$65:$I$75,2,FALSE)+VLOOKUP(C7,AI!$A$65:$I$75,3,FALSE)+IFERROR(VLOOKUP(C7,AI!$A$80:$I$85,2,FALSE),0)+IFERROR(VLOOKUP(C7,AI!$A$80:$I$85,3,FALSE),0)</f>
        <v>36881516</v>
      </c>
      <c r="E7" s="344">
        <f>VLOOKUP(C7,AI!$A$65:$I$75,6,FALSE)+O7</f>
        <v>0</v>
      </c>
      <c r="F7" s="345">
        <f>VLOOKUP(C7,AI!$A$65:$I$75,3,FALSE)</f>
        <v>36881516</v>
      </c>
      <c r="G7" s="344">
        <f>VLOOKUP(C7,AI!$A$65:$I$75,7,FALSE)+IFERROR(VLOOKUP(C7,AI!$A$80:$I$85,7,FALSE),0)</f>
        <v>0</v>
      </c>
      <c r="H7" s="346">
        <f>VLOOKUP(C7,AI!$A$9:$L$19,12,FALSE)</f>
        <v>36460624.530000001</v>
      </c>
      <c r="I7" s="346">
        <f t="shared" si="0"/>
        <v>420891.46999999881</v>
      </c>
      <c r="J7" s="346">
        <f>VLOOKUP(C7,AI!$A$9:$L$19,10,FALSE)</f>
        <v>36460624.560000002</v>
      </c>
      <c r="K7" s="346">
        <f t="shared" si="1"/>
        <v>420891.43999999762</v>
      </c>
      <c r="L7" s="346">
        <f t="shared" si="2"/>
        <v>420891.43999999762</v>
      </c>
      <c r="M7" s="346">
        <f t="shared" si="3"/>
        <v>0</v>
      </c>
      <c r="N7" s="382">
        <f t="shared" si="4"/>
        <v>36881516</v>
      </c>
      <c r="O7" s="346"/>
      <c r="P7" s="383">
        <f t="shared" si="5"/>
        <v>0</v>
      </c>
      <c r="Q7" s="385">
        <f t="shared" si="6"/>
        <v>36881516</v>
      </c>
      <c r="R7" s="440"/>
      <c r="T7" s="347"/>
      <c r="U7" s="348">
        <f>SUMIFS(Pasākumu_līmenis!$AL$15:$AL$204, Pasākumu_līmenis!$E$15:$E$204,C7)</f>
        <v>0</v>
      </c>
      <c r="V7" s="348"/>
    </row>
    <row r="8" spans="1:23" ht="18.75" x14ac:dyDescent="0.3">
      <c r="B8" s="342" t="s">
        <v>1324</v>
      </c>
      <c r="C8" s="333" t="s">
        <v>356</v>
      </c>
      <c r="D8" s="343">
        <f>VLOOKUP(C8,AI!$A$65:$I$75,2,FALSE)+VLOOKUP(C8,AI!$A$65:$I$75,3,FALSE)+IFERROR(VLOOKUP(C8,AI!$A$80:$I$85,2,FALSE),0)+IFERROR(VLOOKUP(C8,AI!$A$80:$I$85,3,FALSE),0)</f>
        <v>101316303</v>
      </c>
      <c r="E8" s="344">
        <f>VLOOKUP(C8,AI!$A$65:$I$75,6,FALSE)+O8</f>
        <v>0</v>
      </c>
      <c r="F8" s="345">
        <f>VLOOKUP(C8,AI!$A$65:$I$75,3,FALSE)</f>
        <v>0</v>
      </c>
      <c r="G8" s="344">
        <f>VLOOKUP(C8,AI!$A$65:$I$75,7,FALSE)+IFERROR(VLOOKUP(C8,AI!$A$80:$I$85,7,FALSE),0)</f>
        <v>0</v>
      </c>
      <c r="H8" s="346">
        <f>VLOOKUP(C8,AI!$A$9:$L$19,12,FALSE)</f>
        <v>100806240.3</v>
      </c>
      <c r="I8" s="346">
        <f t="shared" si="0"/>
        <v>510062.70000000298</v>
      </c>
      <c r="J8" s="346">
        <f>VLOOKUP(C8,AI!$A$9:$L$19,10,FALSE)</f>
        <v>100806405.58</v>
      </c>
      <c r="K8" s="346">
        <f t="shared" si="1"/>
        <v>509897.42000000179</v>
      </c>
      <c r="L8" s="346">
        <f t="shared" si="2"/>
        <v>509897.42000000179</v>
      </c>
      <c r="M8" s="346">
        <f t="shared" si="3"/>
        <v>0</v>
      </c>
      <c r="N8" s="382">
        <f t="shared" si="4"/>
        <v>101316303</v>
      </c>
      <c r="O8" s="346"/>
      <c r="P8" s="383">
        <f t="shared" si="5"/>
        <v>101316303</v>
      </c>
      <c r="Q8" s="385">
        <f t="shared" si="6"/>
        <v>0</v>
      </c>
      <c r="R8" s="440"/>
      <c r="T8" s="347"/>
      <c r="U8" s="348">
        <f>SUMIFS(Pasākumu_līmenis!$AL$15:$AL$204, Pasākumu_līmenis!$E$15:$E$204,C8)</f>
        <v>0</v>
      </c>
      <c r="V8" s="348"/>
      <c r="W8" s="323" t="s">
        <v>1325</v>
      </c>
    </row>
    <row r="9" spans="1:23" ht="61.5" customHeight="1" x14ac:dyDescent="0.3">
      <c r="B9" s="342" t="s">
        <v>1326</v>
      </c>
      <c r="C9" s="333" t="s">
        <v>355</v>
      </c>
      <c r="D9" s="343">
        <f>VLOOKUP(C9,AI!$A$65:$I$75,2,FALSE)+VLOOKUP(C9,AI!$A$65:$I$75,3,FALSE)+IFERROR(VLOOKUP(C9,AI!$A$80:$I$85,2,FALSE),0)+IFERROR(VLOOKUP(C9,AI!$A$80:$I$85,3,FALSE),0)</f>
        <v>136168744</v>
      </c>
      <c r="E9" s="344">
        <f>VLOOKUP(C9,AI!$A$65:$I$75,6,FALSE)+O9</f>
        <v>0</v>
      </c>
      <c r="F9" s="345">
        <f>VLOOKUP(C9,AI!$A$65:$I$75,3,FALSE)</f>
        <v>0</v>
      </c>
      <c r="G9" s="344">
        <f>VLOOKUP(C9,AI!$A$65:$I$75,7,FALSE)+IFERROR(VLOOKUP(C9,AI!$A$80:$I$85,7,FALSE),0)</f>
        <v>0</v>
      </c>
      <c r="H9" s="346">
        <f>VLOOKUP(C9,AI!$A$9:$L$19,12,FALSE)</f>
        <v>127031938.24000001</v>
      </c>
      <c r="I9" s="346">
        <f t="shared" si="0"/>
        <v>9136805.7599999905</v>
      </c>
      <c r="J9" s="346">
        <f>VLOOKUP(C9,AI!$A$9:$L$19,10,FALSE)</f>
        <v>130290148.34</v>
      </c>
      <c r="K9" s="346">
        <f t="shared" si="1"/>
        <v>5878595.6599999964</v>
      </c>
      <c r="L9" s="346">
        <f t="shared" si="2"/>
        <v>5878595.6599999964</v>
      </c>
      <c r="M9" s="346">
        <f t="shared" si="3"/>
        <v>0</v>
      </c>
      <c r="N9" s="382">
        <f t="shared" si="4"/>
        <v>136168744</v>
      </c>
      <c r="O9" s="346">
        <f>AI!F82</f>
        <v>0</v>
      </c>
      <c r="P9" s="383">
        <f>J9+L9+E9-F9</f>
        <v>136168744</v>
      </c>
      <c r="Q9" s="385">
        <f t="shared" si="6"/>
        <v>0</v>
      </c>
      <c r="R9" s="440"/>
      <c r="S9" s="385"/>
      <c r="T9" s="347"/>
      <c r="U9" s="348">
        <f>SUMIFS(Pasākumu_līmenis!$AL$15:$AL$204, Pasākumu_līmenis!$E$15:$E$204,C9)</f>
        <v>0</v>
      </c>
      <c r="V9" s="348"/>
    </row>
    <row r="10" spans="1:23" ht="80.849999999999994" customHeight="1" x14ac:dyDescent="0.3">
      <c r="B10" s="342" t="s">
        <v>1327</v>
      </c>
      <c r="C10" s="333" t="s">
        <v>352</v>
      </c>
      <c r="D10" s="343">
        <f>VLOOKUP(C10,AI!$A$65:$I$75,2,FALSE)+VLOOKUP(C10,AI!$A$65:$I$75,3,FALSE)+IFERROR(VLOOKUP(C10,AI!$A$80:$I$85,2,FALSE),0)+IFERROR(VLOOKUP(C10,AI!$A$80:$I$85,3,FALSE),0)</f>
        <v>360681325</v>
      </c>
      <c r="E10" s="344">
        <f>VLOOKUP(C10,AI!$A$65:$I$75,6,FALSE)+O10</f>
        <v>0</v>
      </c>
      <c r="F10" s="345">
        <f>VLOOKUP(C10,AI!$A$65:$I$75,3,FALSE)</f>
        <v>14530393</v>
      </c>
      <c r="G10" s="344">
        <f>VLOOKUP(C10,AI!$A$65:$I$75,7,FALSE)+IFERROR(VLOOKUP(C10,AI!$A$80:$I$85,7,FALSE),0)</f>
        <v>0</v>
      </c>
      <c r="H10" s="346">
        <f>VLOOKUP(C10,AI!$A$9:$L$19,12,FALSE)</f>
        <v>328499391.27999997</v>
      </c>
      <c r="I10" s="346">
        <f t="shared" si="0"/>
        <v>32181933.720000029</v>
      </c>
      <c r="J10" s="346">
        <f>VLOOKUP(C10,AI!$A$9:$L$19,10,FALSE)</f>
        <v>329439163.95000005</v>
      </c>
      <c r="K10" s="346">
        <f t="shared" si="1"/>
        <v>31242161.049999952</v>
      </c>
      <c r="L10" s="346">
        <f t="shared" si="2"/>
        <v>31242161.049999952</v>
      </c>
      <c r="M10" s="346">
        <f t="shared" si="3"/>
        <v>0</v>
      </c>
      <c r="N10" s="382">
        <f t="shared" si="4"/>
        <v>360681325</v>
      </c>
      <c r="O10" s="346">
        <f>AI!F85</f>
        <v>0</v>
      </c>
      <c r="P10" s="383">
        <f t="shared" si="5"/>
        <v>346150932</v>
      </c>
      <c r="Q10" s="385">
        <f t="shared" si="6"/>
        <v>14530393</v>
      </c>
      <c r="R10" s="440"/>
      <c r="S10" s="385"/>
      <c r="T10" s="347"/>
      <c r="U10" s="348">
        <f>SUMIFS(Pasākumu_līmenis!$AL$15:$AL$204, Pasākumu_līmenis!$E$15:$E$204,C10)</f>
        <v>0</v>
      </c>
      <c r="V10" s="348"/>
    </row>
    <row r="11" spans="1:23" ht="37.5" x14ac:dyDescent="0.3">
      <c r="B11" s="342" t="s">
        <v>1328</v>
      </c>
      <c r="C11" s="333" t="s">
        <v>351</v>
      </c>
      <c r="D11" s="343">
        <f>VLOOKUP(C11,AI!$A$65:$I$75,2,FALSE)+VLOOKUP(C11,AI!$A$65:$I$75,3,FALSE)+IFERROR(VLOOKUP(C11,AI!$A$80:$I$85,2,FALSE),0)+IFERROR(VLOOKUP(C11,AI!$A$80:$I$85,3,FALSE),0)</f>
        <v>393309403</v>
      </c>
      <c r="E11" s="344">
        <f>VLOOKUP(C11,AI!$A$65:$I$75,6,FALSE)+O11</f>
        <v>0</v>
      </c>
      <c r="F11" s="345">
        <f>VLOOKUP(C11,AI!$A$65:$I$75,3,FALSE)</f>
        <v>782851</v>
      </c>
      <c r="G11" s="344">
        <f>VLOOKUP(C11,AI!$A$65:$I$75,7,FALSE)+IFERROR(VLOOKUP(C11,AI!$A$80:$I$85,7,FALSE),0)</f>
        <v>0</v>
      </c>
      <c r="H11" s="346">
        <f>VLOOKUP(C11,AI!$A$9:$L$19,12,FALSE)</f>
        <v>385198321.14999998</v>
      </c>
      <c r="I11" s="346">
        <f t="shared" si="0"/>
        <v>8111081.8500000238</v>
      </c>
      <c r="J11" s="346">
        <f>VLOOKUP(C11,AI!$A$9:$L$19,10,FALSE)</f>
        <v>386011400.57999998</v>
      </c>
      <c r="K11" s="346">
        <f t="shared" si="1"/>
        <v>7298002.4200000167</v>
      </c>
      <c r="L11" s="346">
        <f t="shared" si="2"/>
        <v>7298002.4200000167</v>
      </c>
      <c r="M11" s="346">
        <f t="shared" si="3"/>
        <v>0</v>
      </c>
      <c r="N11" s="382">
        <f t="shared" si="4"/>
        <v>393309403</v>
      </c>
      <c r="O11" s="346">
        <f>AI!F83</f>
        <v>0</v>
      </c>
      <c r="P11" s="383">
        <f t="shared" si="5"/>
        <v>392526552</v>
      </c>
      <c r="Q11" s="385">
        <f t="shared" si="6"/>
        <v>782851</v>
      </c>
      <c r="R11" s="440"/>
      <c r="S11" s="385"/>
      <c r="T11" s="347"/>
      <c r="U11" s="348">
        <f>SUMIFS(Pasākumu_līmenis!$AL$15:$AL$204, Pasākumu_līmenis!$E$15:$E$204,C11)</f>
        <v>-609727.16000000015</v>
      </c>
      <c r="V11" s="348"/>
    </row>
    <row r="12" spans="1:23" ht="56.25" x14ac:dyDescent="0.3">
      <c r="B12" s="342" t="s">
        <v>1329</v>
      </c>
      <c r="C12" s="333" t="s">
        <v>350</v>
      </c>
      <c r="D12" s="343">
        <f>VLOOKUP(C12,AI!$A$65:$I$75,2,FALSE)+VLOOKUP(C12,AI!$A$65:$I$75,3,FALSE)+IFERROR(VLOOKUP(C12,AI!$A$80:$I$85,2,FALSE),0)+IFERROR(VLOOKUP(C12,AI!$A$80:$I$85,3,FALSE),0)</f>
        <v>792155768</v>
      </c>
      <c r="E12" s="344">
        <f>VLOOKUP(C12,AI!$A$65:$I$75,6,FALSE)+O12</f>
        <v>1059959</v>
      </c>
      <c r="F12" s="345">
        <f>VLOOKUP(C12,AI!$A$65:$I$75,3,FALSE)</f>
        <v>46914125</v>
      </c>
      <c r="G12" s="344">
        <f>VLOOKUP(C12,AI!$A$65:$I$75,7,FALSE)+IFERROR(VLOOKUP(C12,AI!$A$80:$I$85,7,FALSE),0)</f>
        <v>0</v>
      </c>
      <c r="H12" s="346">
        <f>VLOOKUP(C12,AI!$A$9:$L$19,12,FALSE)</f>
        <v>736807876.96000004</v>
      </c>
      <c r="I12" s="346">
        <f t="shared" si="0"/>
        <v>55347891.039999962</v>
      </c>
      <c r="J12" s="346">
        <f>VLOOKUP(C12,AI!$A$9:$L$19,10,FALSE)</f>
        <v>737125548.18000007</v>
      </c>
      <c r="K12" s="346">
        <f t="shared" si="1"/>
        <v>55030219.819999933</v>
      </c>
      <c r="L12" s="346">
        <f t="shared" si="2"/>
        <v>55030219.819999933</v>
      </c>
      <c r="M12" s="346">
        <f t="shared" si="3"/>
        <v>0</v>
      </c>
      <c r="N12" s="382">
        <f t="shared" si="4"/>
        <v>793215727</v>
      </c>
      <c r="O12" s="346">
        <f>AI!F84</f>
        <v>0</v>
      </c>
      <c r="P12" s="383">
        <f t="shared" si="5"/>
        <v>746301602</v>
      </c>
      <c r="Q12" s="385">
        <f t="shared" si="6"/>
        <v>46914125</v>
      </c>
      <c r="R12" s="440"/>
      <c r="S12" s="385"/>
      <c r="T12" s="347"/>
      <c r="U12" s="348">
        <f>SUMIFS(Pasākumu_līmenis!$AL$15:$AL$204, Pasākumu_līmenis!$E$15:$E$204,C12)</f>
        <v>0</v>
      </c>
      <c r="V12" s="348"/>
    </row>
    <row r="13" spans="1:23" ht="37.5" x14ac:dyDescent="0.3">
      <c r="B13" s="342" t="s">
        <v>1331</v>
      </c>
      <c r="C13" s="333" t="s">
        <v>348</v>
      </c>
      <c r="D13" s="343">
        <f>VLOOKUP(C13,AI!$A$65:$I$75,2,FALSE)+VLOOKUP(C13,AI!$A$65:$I$75,3,FALSE)+IFERROR(VLOOKUP(C13,AI!$A$80:$I$85,2,FALSE),0)+IFERROR(VLOOKUP(C13,AI!$A$80:$I$85,3,FALSE),0)</f>
        <v>840272999</v>
      </c>
      <c r="E13" s="344">
        <f>VLOOKUP(C13,AI!$A$65:$I$75,6,FALSE)+O13</f>
        <v>3303845</v>
      </c>
      <c r="F13" s="345">
        <f>VLOOKUP(C13,AI!$A$65:$I$75,3,FALSE)</f>
        <v>8534803</v>
      </c>
      <c r="G13" s="344">
        <f>VLOOKUP(C13,AI!$A$65:$I$75,7,FALSE)+IFERROR(VLOOKUP(C13,AI!$A$80:$I$85,7,FALSE),0)</f>
        <v>0</v>
      </c>
      <c r="H13" s="346">
        <f>VLOOKUP(C13,AI!$A$9:$L$19,12,FALSE)</f>
        <v>809390465.46999979</v>
      </c>
      <c r="I13" s="346">
        <f t="shared" si="0"/>
        <v>30882533.53000021</v>
      </c>
      <c r="J13" s="346">
        <f>VLOOKUP(C13,AI!$A$9:$L$19,10,FALSE)</f>
        <v>816500954.24999964</v>
      </c>
      <c r="K13" s="346">
        <f t="shared" si="1"/>
        <v>23772044.750000358</v>
      </c>
      <c r="L13" s="346">
        <f t="shared" si="2"/>
        <v>23772044.750000358</v>
      </c>
      <c r="M13" s="346">
        <f t="shared" si="3"/>
        <v>0</v>
      </c>
      <c r="N13" s="382">
        <f t="shared" si="4"/>
        <v>843576844</v>
      </c>
      <c r="O13" s="346">
        <f>AI!F81</f>
        <v>2524642</v>
      </c>
      <c r="P13" s="383">
        <f t="shared" si="5"/>
        <v>835042041</v>
      </c>
      <c r="Q13" s="385">
        <f t="shared" si="6"/>
        <v>8534803</v>
      </c>
      <c r="R13" s="440"/>
      <c r="S13" s="385"/>
      <c r="T13" s="347"/>
      <c r="U13" s="348">
        <f>SUMIFS(Pasākumu_līmenis!$AL$15:$AL$204, Pasākumu_līmenis!$E$15:$E$204,C13)</f>
        <v>0</v>
      </c>
      <c r="V13" s="348"/>
    </row>
    <row r="14" spans="1:23" ht="73.349999999999994" customHeight="1" x14ac:dyDescent="0.3">
      <c r="B14" s="342" t="s">
        <v>1330</v>
      </c>
      <c r="C14" s="333" t="s">
        <v>349</v>
      </c>
      <c r="D14" s="343">
        <f>VLOOKUP(C14,AI!$A$65:$I$75,2,FALSE)+VLOOKUP(C14,AI!$A$65:$I$75,3,FALSE)+IFERROR(VLOOKUP(C14,AI!$A$80:$I$85,2,FALSE),0)+IFERROR(VLOOKUP(C14,AI!$A$80:$I$85,3,FALSE),0)</f>
        <v>950614350</v>
      </c>
      <c r="E14" s="344">
        <f>VLOOKUP(C14,AI!$A$65:$I$75,6,FALSE)+O14</f>
        <v>7399760</v>
      </c>
      <c r="F14" s="345">
        <f>VLOOKUP(C14,AI!$A$65:$I$75,3,FALSE)</f>
        <v>116550001</v>
      </c>
      <c r="G14" s="344">
        <f>VLOOKUP(C14,AI!$A$65:$I$75,7,FALSE)+IFERROR(VLOOKUP(C14,AI!$A$80:$I$85,7,FALSE),0)</f>
        <v>-7399760</v>
      </c>
      <c r="H14" s="346">
        <f>VLOOKUP(C14,AI!$A$9:$L$19,12,FALSE)</f>
        <v>845650621.65999985</v>
      </c>
      <c r="I14" s="346">
        <f>D14-H14</f>
        <v>104963728.34000015</v>
      </c>
      <c r="J14" s="346">
        <f>VLOOKUP(C14,AI!$A$9:$L$19,10,FALSE)</f>
        <v>859785882.42000008</v>
      </c>
      <c r="K14" s="346">
        <f>D14-J14</f>
        <v>90828467.579999924</v>
      </c>
      <c r="L14" s="346">
        <f>IF(K14&lt;0, 0,K14)</f>
        <v>90828467.579999924</v>
      </c>
      <c r="M14" s="346">
        <f>IF(J14-D14&lt;0,0,J14-D14)</f>
        <v>0</v>
      </c>
      <c r="N14" s="382">
        <f>D14+E14</f>
        <v>958014110</v>
      </c>
      <c r="O14" s="346">
        <f>AI!F80</f>
        <v>0</v>
      </c>
      <c r="P14" s="383">
        <f>J14+L14+E14-F14</f>
        <v>841464109</v>
      </c>
      <c r="Q14" s="385">
        <f>F14+G14</f>
        <v>109150241</v>
      </c>
      <c r="R14" s="440"/>
      <c r="S14" s="385"/>
      <c r="T14" s="347"/>
      <c r="U14" s="348">
        <f>SUMIFS(Pasākumu_līmenis!$AL$15:$AL$204, Pasākumu_līmenis!$E$15:$E$204,C14)</f>
        <v>0</v>
      </c>
      <c r="V14" s="348"/>
    </row>
    <row r="15" spans="1:23" ht="18.75" x14ac:dyDescent="0.3">
      <c r="B15" s="342" t="s">
        <v>1332</v>
      </c>
      <c r="C15" s="333" t="s">
        <v>347</v>
      </c>
      <c r="D15" s="343">
        <f>VLOOKUP(C15,AI!$A$65:$I$75,2,FALSE)+VLOOKUP(C15,AI!$A$65:$I$75,3,FALSE)+IFERROR(VLOOKUP(C15,AI!$A$80:$I$85,2,FALSE),0)+IFERROR(VLOOKUP(C15,AI!$A$80:$I$85,3,FALSE),0)</f>
        <v>1215646611</v>
      </c>
      <c r="E15" s="344">
        <f>VLOOKUP(C15,AI!$A$65:$I$75,6,FALSE)+O15</f>
        <v>0</v>
      </c>
      <c r="F15" s="345">
        <f>VLOOKUP(C15,AI!$A$65:$I$75,3,FALSE)</f>
        <v>0</v>
      </c>
      <c r="G15" s="344">
        <f>VLOOKUP(C15,AI!$A$65:$I$75,7,FALSE)+IFERROR(VLOOKUP(C15,AI!$A$80:$I$85,7,FALSE),0)</f>
        <v>0</v>
      </c>
      <c r="H15" s="346">
        <f>VLOOKUP(C15,AI!$A$9:$L$19,12,FALSE)</f>
        <v>1114375185.5400002</v>
      </c>
      <c r="I15" s="346">
        <f t="shared" si="0"/>
        <v>101271425.4599998</v>
      </c>
      <c r="J15" s="346">
        <f>VLOOKUP(C15,AI!$A$9:$L$19,10,FALSE)</f>
        <v>1113266512.7500002</v>
      </c>
      <c r="K15" s="346">
        <f t="shared" si="1"/>
        <v>102380098.24999976</v>
      </c>
      <c r="L15" s="346">
        <f t="shared" si="2"/>
        <v>102380098.24999976</v>
      </c>
      <c r="M15" s="346">
        <f t="shared" si="3"/>
        <v>0</v>
      </c>
      <c r="N15" s="382">
        <f t="shared" si="4"/>
        <v>1215646611</v>
      </c>
      <c r="O15" s="346"/>
      <c r="P15" s="383">
        <f t="shared" si="5"/>
        <v>1215646611</v>
      </c>
      <c r="Q15" s="385">
        <f t="shared" si="6"/>
        <v>0</v>
      </c>
      <c r="U15" s="348">
        <f>SUMIFS(Pasākumu_līmenis!$AL$15:$AL$204, Pasākumu_līmenis!$E$15:$E$204,C15)</f>
        <v>0</v>
      </c>
      <c r="V15" s="348"/>
    </row>
    <row r="16" spans="1:23" ht="18.75" x14ac:dyDescent="0.3">
      <c r="B16" s="349"/>
      <c r="C16" s="590" t="s">
        <v>1333</v>
      </c>
      <c r="D16" s="350">
        <f t="shared" ref="D16:M16" si="7">SUM(D5:D15)</f>
        <v>4853106915</v>
      </c>
      <c r="E16" s="350">
        <f t="shared" si="7"/>
        <v>11763564</v>
      </c>
      <c r="F16" s="350">
        <f t="shared" si="7"/>
        <v>224193689</v>
      </c>
      <c r="G16" s="350">
        <f t="shared" si="7"/>
        <v>-7399760</v>
      </c>
      <c r="H16" s="351">
        <f t="shared" si="7"/>
        <v>4510201350.6799994</v>
      </c>
      <c r="I16" s="351">
        <f>SUM(I5:I15)</f>
        <v>342905564.32000017</v>
      </c>
      <c r="J16" s="350">
        <f>SUM(J5:J15)</f>
        <v>4535667326.1599998</v>
      </c>
      <c r="K16" s="350">
        <f>SUMIFS(K5:K15,K5:K15,"&gt;0")</f>
        <v>317439588.83999991</v>
      </c>
      <c r="L16" s="350">
        <f>SUMIFS(L5:L15,L5:L15,"&gt;0")</f>
        <v>317439588.83999991</v>
      </c>
      <c r="M16" s="350">
        <f t="shared" si="7"/>
        <v>0</v>
      </c>
      <c r="N16" s="384">
        <f>SUM(N5:N15)</f>
        <v>4864870479</v>
      </c>
      <c r="O16" s="350">
        <f>SUM(O5:O15)</f>
        <v>2524642</v>
      </c>
      <c r="P16" s="383">
        <f t="shared" si="5"/>
        <v>4640676790</v>
      </c>
      <c r="Q16" s="385">
        <f t="shared" si="6"/>
        <v>216793929</v>
      </c>
      <c r="U16" s="348"/>
    </row>
    <row r="17" spans="2:16" ht="18.75" x14ac:dyDescent="0.3">
      <c r="B17" s="352"/>
      <c r="C17" s="590"/>
      <c r="D17" s="591">
        <f>SUM(D16:E16)</f>
        <v>4864870479</v>
      </c>
      <c r="E17" s="591"/>
      <c r="F17" s="592">
        <f>SUM(F16:G16)</f>
        <v>216793929</v>
      </c>
      <c r="G17" s="593"/>
      <c r="H17" s="353"/>
      <c r="I17" s="353"/>
      <c r="J17" s="353"/>
      <c r="K17" s="353"/>
      <c r="L17" s="353"/>
      <c r="M17" s="353"/>
      <c r="N17" s="325"/>
      <c r="P17" s="385"/>
    </row>
    <row r="18" spans="2:16" ht="18.75" x14ac:dyDescent="0.3">
      <c r="B18" s="352"/>
      <c r="C18" s="325"/>
      <c r="D18" s="354"/>
      <c r="E18" s="355"/>
      <c r="F18" s="325"/>
      <c r="G18" s="325"/>
      <c r="H18" s="355">
        <f>D17-J16</f>
        <v>329203152.84000015</v>
      </c>
      <c r="I18" s="356"/>
      <c r="J18" s="355"/>
      <c r="K18" s="386">
        <f>K9+K10+K13</f>
        <v>60892801.460000306</v>
      </c>
      <c r="L18" s="353"/>
      <c r="M18" s="353"/>
      <c r="N18" s="325"/>
    </row>
    <row r="19" spans="2:16" ht="15.75" x14ac:dyDescent="0.25">
      <c r="D19" s="358"/>
      <c r="E19" s="359"/>
      <c r="G19" s="360"/>
      <c r="H19" s="359"/>
      <c r="I19" s="359"/>
      <c r="J19" s="359"/>
      <c r="K19" s="359"/>
      <c r="L19" s="359"/>
    </row>
    <row r="20" spans="2:16" ht="15.75" x14ac:dyDescent="0.25">
      <c r="D20" s="358"/>
      <c r="E20" s="359"/>
      <c r="G20" s="360"/>
      <c r="H20" s="359"/>
      <c r="I20" s="359"/>
      <c r="J20" s="359"/>
      <c r="K20" s="359"/>
      <c r="L20" s="359"/>
    </row>
    <row r="21" spans="2:16" ht="15.75" x14ac:dyDescent="0.25">
      <c r="D21" s="358"/>
      <c r="E21" s="359"/>
      <c r="H21" s="359"/>
      <c r="I21" s="359"/>
      <c r="J21" s="359"/>
      <c r="K21" s="359"/>
      <c r="L21" s="359"/>
    </row>
    <row r="22" spans="2:16" ht="15.75" x14ac:dyDescent="0.25">
      <c r="D22" s="358"/>
      <c r="E22" s="359"/>
      <c r="H22" s="359"/>
      <c r="I22" s="359"/>
      <c r="J22" s="359"/>
      <c r="K22" s="359"/>
      <c r="L22" s="359"/>
    </row>
    <row r="23" spans="2:16" ht="23.25" x14ac:dyDescent="0.25">
      <c r="D23" s="358"/>
      <c r="E23" s="359"/>
      <c r="H23" s="359"/>
      <c r="I23" s="359"/>
      <c r="J23" s="359"/>
      <c r="K23" s="359"/>
      <c r="L23" s="359"/>
      <c r="O23" s="361"/>
    </row>
    <row r="24" spans="2:16" ht="23.25" x14ac:dyDescent="0.35">
      <c r="D24" s="358"/>
      <c r="E24" s="359"/>
      <c r="H24" s="359"/>
      <c r="I24" s="359"/>
      <c r="J24" s="359"/>
      <c r="K24" s="359"/>
      <c r="L24" s="359"/>
      <c r="M24" s="362"/>
      <c r="O24" s="361"/>
    </row>
    <row r="25" spans="2:16" ht="23.25" x14ac:dyDescent="0.25">
      <c r="D25" s="358"/>
      <c r="E25" s="359"/>
      <c r="H25" s="359"/>
      <c r="I25" s="359"/>
      <c r="J25" s="359"/>
      <c r="K25" s="359"/>
      <c r="L25" s="359"/>
      <c r="O25" s="361"/>
    </row>
    <row r="26" spans="2:16" ht="23.25" x14ac:dyDescent="0.25">
      <c r="D26" s="358"/>
      <c r="E26" s="359"/>
      <c r="H26" s="359"/>
      <c r="I26" s="359"/>
      <c r="J26" s="359"/>
      <c r="K26" s="359"/>
      <c r="L26" s="359"/>
      <c r="O26" s="361"/>
    </row>
    <row r="27" spans="2:16" ht="23.25" x14ac:dyDescent="0.25">
      <c r="D27" s="358"/>
      <c r="E27" s="359"/>
      <c r="H27" s="359"/>
      <c r="I27" s="359"/>
      <c r="J27" s="359"/>
      <c r="K27" s="359"/>
      <c r="L27" s="359"/>
      <c r="O27" s="361"/>
    </row>
    <row r="28" spans="2:16" ht="23.25" x14ac:dyDescent="0.25">
      <c r="D28" s="358"/>
      <c r="E28" s="359"/>
      <c r="H28" s="359"/>
      <c r="I28" s="359"/>
      <c r="J28" s="359"/>
      <c r="K28" s="359"/>
      <c r="L28" s="359"/>
      <c r="O28" s="361"/>
    </row>
    <row r="29" spans="2:16" ht="23.25" x14ac:dyDescent="0.25">
      <c r="D29" s="358"/>
      <c r="E29" s="359"/>
      <c r="H29" s="359"/>
      <c r="I29" s="359"/>
      <c r="J29" s="359"/>
      <c r="K29" s="359"/>
      <c r="L29" s="359"/>
      <c r="O29" s="361"/>
    </row>
    <row r="30" spans="2:16" ht="23.25" x14ac:dyDescent="0.25">
      <c r="O30" s="361"/>
    </row>
    <row r="31" spans="2:16" ht="23.25" x14ac:dyDescent="0.25">
      <c r="O31" s="361"/>
    </row>
    <row r="32" spans="2:16" ht="26.25" x14ac:dyDescent="0.4">
      <c r="M32" s="363"/>
      <c r="O32" s="361"/>
    </row>
    <row r="33" spans="13:15" ht="26.25" x14ac:dyDescent="0.4">
      <c r="M33" s="363"/>
      <c r="O33" s="361"/>
    </row>
    <row r="45" spans="13:15" ht="26.25" x14ac:dyDescent="0.4">
      <c r="M45" s="363"/>
    </row>
    <row r="46" spans="13:15" ht="26.25" x14ac:dyDescent="0.4">
      <c r="M46" s="363"/>
    </row>
    <row r="48" spans="13:15" ht="23.25" x14ac:dyDescent="0.25">
      <c r="O48" s="364"/>
    </row>
    <row r="49" spans="15:15" ht="23.25" x14ac:dyDescent="0.25">
      <c r="O49" s="364"/>
    </row>
    <row r="50" spans="15:15" ht="23.25" x14ac:dyDescent="0.25">
      <c r="O50" s="364"/>
    </row>
    <row r="51" spans="15:15" ht="23.25" x14ac:dyDescent="0.25">
      <c r="O51" s="364"/>
    </row>
    <row r="52" spans="15:15" ht="23.25" x14ac:dyDescent="0.25">
      <c r="O52" s="364"/>
    </row>
    <row r="53" spans="15:15" ht="23.25" x14ac:dyDescent="0.25">
      <c r="O53" s="364"/>
    </row>
    <row r="54" spans="15:15" ht="23.25" x14ac:dyDescent="0.25">
      <c r="O54" s="364"/>
    </row>
    <row r="55" spans="15:15" ht="23.25" x14ac:dyDescent="0.25">
      <c r="O55" s="364"/>
    </row>
    <row r="56" spans="15:15" ht="23.25" x14ac:dyDescent="0.25">
      <c r="O56" s="364"/>
    </row>
    <row r="57" spans="15:15" ht="23.25" x14ac:dyDescent="0.25">
      <c r="O57" s="364"/>
    </row>
    <row r="58" spans="15:15" ht="23.25" x14ac:dyDescent="0.25">
      <c r="O58" s="364"/>
    </row>
  </sheetData>
  <autoFilter ref="C3:N3" xr:uid="{00000000-0009-0000-0000-00000A000000}">
    <sortState xmlns:xlrd2="http://schemas.microsoft.com/office/spreadsheetml/2017/richdata2" ref="C4:L15">
      <sortCondition ref="J3"/>
    </sortState>
  </autoFilter>
  <sortState xmlns:xlrd2="http://schemas.microsoft.com/office/spreadsheetml/2017/richdata2" ref="B5:P15">
    <sortCondition ref="P5:P15"/>
  </sortState>
  <mergeCells count="4">
    <mergeCell ref="B1:N1"/>
    <mergeCell ref="C16:C17"/>
    <mergeCell ref="D17:E17"/>
    <mergeCell ref="F17:G17"/>
  </mergeCells>
  <conditionalFormatting sqref="C5:C15">
    <cfRule type="duplicateValues" dxfId="0" priority="1"/>
  </conditionalFormatting>
  <pageMargins left="0.25" right="0.25" top="0.75" bottom="0.75" header="0.3" footer="0.3"/>
  <pageSetup scale="3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6" tint="0.59999389629810485"/>
    <outlinePr summaryBelow="0"/>
  </sheetPr>
  <dimension ref="A1:D129"/>
  <sheetViews>
    <sheetView showGridLines="0" workbookViewId="0">
      <selection activeCell="L16" sqref="L16"/>
    </sheetView>
  </sheetViews>
  <sheetFormatPr defaultColWidth="9.42578125" defaultRowHeight="12.75" x14ac:dyDescent="0.2"/>
  <cols>
    <col min="1" max="16384" width="9.42578125" style="268"/>
  </cols>
  <sheetData>
    <row r="1" spans="1:4" ht="22.5" x14ac:dyDescent="0.2">
      <c r="A1" s="274" t="s">
        <v>1279</v>
      </c>
    </row>
    <row r="3" spans="1:4" x14ac:dyDescent="0.2">
      <c r="A3" s="273" t="s">
        <v>1278</v>
      </c>
    </row>
    <row r="4" spans="1:4" x14ac:dyDescent="0.2">
      <c r="A4" s="273" t="s">
        <v>1277</v>
      </c>
    </row>
    <row r="6" spans="1:4" ht="10.5" customHeight="1" x14ac:dyDescent="0.2">
      <c r="A6" s="594" t="s">
        <v>1276</v>
      </c>
      <c r="B6" s="594"/>
      <c r="C6" s="594"/>
      <c r="D6" s="594"/>
    </row>
    <row r="7" spans="1:4" ht="10.5" customHeight="1" x14ac:dyDescent="0.2">
      <c r="A7" s="595" t="s">
        <v>1275</v>
      </c>
      <c r="B7" s="595"/>
      <c r="C7" s="595"/>
      <c r="D7" s="595"/>
    </row>
    <row r="8" spans="1:4" ht="10.5" customHeight="1" x14ac:dyDescent="0.2">
      <c r="A8" s="595" t="s">
        <v>1274</v>
      </c>
      <c r="B8" s="595"/>
      <c r="C8" s="595"/>
      <c r="D8" s="595"/>
    </row>
    <row r="10" spans="1:4" x14ac:dyDescent="0.2">
      <c r="A10" s="596" t="s">
        <v>1273</v>
      </c>
      <c r="B10" s="596"/>
      <c r="C10" s="596"/>
      <c r="D10" s="596"/>
    </row>
    <row r="12" spans="1:4" ht="33.75" x14ac:dyDescent="0.2">
      <c r="A12" s="272" t="s">
        <v>1272</v>
      </c>
      <c r="B12" s="272" t="s">
        <v>1271</v>
      </c>
      <c r="C12" s="272" t="s">
        <v>1270</v>
      </c>
      <c r="D12" s="271" t="s">
        <v>1269</v>
      </c>
    </row>
    <row r="13" spans="1:4" ht="67.5" x14ac:dyDescent="0.2">
      <c r="A13" s="270" t="s">
        <v>428</v>
      </c>
      <c r="B13" s="270" t="s">
        <v>239</v>
      </c>
      <c r="C13" s="270" t="s">
        <v>1268</v>
      </c>
      <c r="D13" s="269">
        <v>65035942</v>
      </c>
    </row>
    <row r="14" spans="1:4" ht="67.5" x14ac:dyDescent="0.2">
      <c r="A14" s="270" t="s">
        <v>428</v>
      </c>
      <c r="B14" s="270" t="s">
        <v>240</v>
      </c>
      <c r="C14" s="270" t="s">
        <v>1268</v>
      </c>
      <c r="D14" s="269">
        <v>54424846</v>
      </c>
    </row>
    <row r="15" spans="1:4" ht="67.5" x14ac:dyDescent="0.2">
      <c r="A15" s="270" t="s">
        <v>428</v>
      </c>
      <c r="B15" s="270" t="s">
        <v>241</v>
      </c>
      <c r="C15" s="270" t="s">
        <v>1268</v>
      </c>
      <c r="D15" s="269">
        <v>20535658</v>
      </c>
    </row>
    <row r="16" spans="1:4" ht="67.5" x14ac:dyDescent="0.2">
      <c r="A16" s="270" t="s">
        <v>428</v>
      </c>
      <c r="B16" s="270" t="s">
        <v>242</v>
      </c>
      <c r="C16" s="270" t="s">
        <v>1268</v>
      </c>
      <c r="D16" s="269">
        <v>111453724</v>
      </c>
    </row>
    <row r="17" spans="1:4" ht="67.5" x14ac:dyDescent="0.2">
      <c r="A17" s="270" t="s">
        <v>428</v>
      </c>
      <c r="B17" s="270" t="s">
        <v>243</v>
      </c>
      <c r="C17" s="270" t="s">
        <v>1268</v>
      </c>
      <c r="D17" s="269">
        <v>32034210</v>
      </c>
    </row>
    <row r="18" spans="1:4" ht="67.5" x14ac:dyDescent="0.2">
      <c r="A18" s="270" t="s">
        <v>429</v>
      </c>
      <c r="B18" s="270" t="s">
        <v>244</v>
      </c>
      <c r="C18" s="270" t="s">
        <v>1268</v>
      </c>
      <c r="D18" s="269">
        <v>64314892</v>
      </c>
    </row>
    <row r="19" spans="1:4" ht="67.5" x14ac:dyDescent="0.2">
      <c r="A19" s="270" t="s">
        <v>429</v>
      </c>
      <c r="B19" s="270" t="s">
        <v>245</v>
      </c>
      <c r="C19" s="270" t="s">
        <v>1268</v>
      </c>
      <c r="D19" s="269">
        <v>30011000</v>
      </c>
    </row>
    <row r="20" spans="1:4" ht="67.5" x14ac:dyDescent="0.2">
      <c r="A20" s="270" t="s">
        <v>429</v>
      </c>
      <c r="B20" s="270" t="s">
        <v>246</v>
      </c>
      <c r="C20" s="270" t="s">
        <v>1268</v>
      </c>
      <c r="D20" s="269">
        <v>60000000</v>
      </c>
    </row>
    <row r="21" spans="1:4" ht="67.5" x14ac:dyDescent="0.2">
      <c r="A21" s="270" t="s">
        <v>430</v>
      </c>
      <c r="B21" s="270" t="s">
        <v>247</v>
      </c>
      <c r="C21" s="270" t="s">
        <v>1268</v>
      </c>
      <c r="D21" s="269">
        <v>18000000</v>
      </c>
    </row>
    <row r="22" spans="1:4" ht="67.5" x14ac:dyDescent="0.2">
      <c r="A22" s="270" t="s">
        <v>430</v>
      </c>
      <c r="B22" s="270" t="s">
        <v>248</v>
      </c>
      <c r="C22" s="270" t="s">
        <v>1268</v>
      </c>
      <c r="D22" s="269">
        <v>4801192</v>
      </c>
    </row>
    <row r="23" spans="1:4" ht="67.5" x14ac:dyDescent="0.2">
      <c r="A23" s="270" t="s">
        <v>430</v>
      </c>
      <c r="B23" s="270" t="s">
        <v>395</v>
      </c>
      <c r="C23" s="270" t="s">
        <v>1268</v>
      </c>
      <c r="D23" s="269">
        <v>6908242</v>
      </c>
    </row>
    <row r="24" spans="1:4" ht="112.5" x14ac:dyDescent="0.2">
      <c r="A24" s="270" t="s">
        <v>250</v>
      </c>
      <c r="B24" s="270" t="s">
        <v>250</v>
      </c>
      <c r="C24" s="270" t="s">
        <v>1267</v>
      </c>
      <c r="D24" s="269">
        <v>43974115</v>
      </c>
    </row>
    <row r="25" spans="1:4" ht="112.5" x14ac:dyDescent="0.2">
      <c r="A25" s="270" t="s">
        <v>431</v>
      </c>
      <c r="B25" s="270" t="s">
        <v>251</v>
      </c>
      <c r="C25" s="270" t="s">
        <v>1267</v>
      </c>
      <c r="D25" s="269">
        <v>118694714</v>
      </c>
    </row>
    <row r="26" spans="1:4" ht="112.5" x14ac:dyDescent="0.2">
      <c r="A26" s="270" t="s">
        <v>431</v>
      </c>
      <c r="B26" s="270" t="s">
        <v>252</v>
      </c>
      <c r="C26" s="270" t="s">
        <v>1267</v>
      </c>
      <c r="D26" s="269">
        <v>10115000</v>
      </c>
    </row>
    <row r="27" spans="1:4" ht="78.75" x14ac:dyDescent="0.2">
      <c r="A27" s="270" t="s">
        <v>432</v>
      </c>
      <c r="B27" s="270" t="s">
        <v>254</v>
      </c>
      <c r="C27" s="270" t="s">
        <v>1266</v>
      </c>
      <c r="D27" s="269">
        <v>44800000</v>
      </c>
    </row>
    <row r="28" spans="1:4" ht="78.75" x14ac:dyDescent="0.2">
      <c r="A28" s="270" t="s">
        <v>432</v>
      </c>
      <c r="B28" s="270" t="s">
        <v>255</v>
      </c>
      <c r="C28" s="270" t="s">
        <v>1266</v>
      </c>
      <c r="D28" s="269">
        <v>7000000</v>
      </c>
    </row>
    <row r="29" spans="1:4" ht="78.75" x14ac:dyDescent="0.2">
      <c r="A29" s="270" t="s">
        <v>432</v>
      </c>
      <c r="B29" s="270" t="s">
        <v>256</v>
      </c>
      <c r="C29" s="270" t="s">
        <v>1266</v>
      </c>
      <c r="D29" s="269">
        <v>0</v>
      </c>
    </row>
    <row r="30" spans="1:4" ht="78.75" x14ac:dyDescent="0.2">
      <c r="A30" s="270" t="s">
        <v>432</v>
      </c>
      <c r="B30" s="270" t="s">
        <v>257</v>
      </c>
      <c r="C30" s="270" t="s">
        <v>1266</v>
      </c>
      <c r="D30" s="269">
        <v>4000000</v>
      </c>
    </row>
    <row r="31" spans="1:4" ht="78.75" x14ac:dyDescent="0.2">
      <c r="A31" s="270" t="s">
        <v>432</v>
      </c>
      <c r="B31" s="270" t="s">
        <v>258</v>
      </c>
      <c r="C31" s="270" t="s">
        <v>1266</v>
      </c>
      <c r="D31" s="269">
        <v>50574609</v>
      </c>
    </row>
    <row r="32" spans="1:4" ht="78.75" x14ac:dyDescent="0.2">
      <c r="A32" s="270" t="s">
        <v>432</v>
      </c>
      <c r="B32" s="270" t="s">
        <v>259</v>
      </c>
      <c r="C32" s="270" t="s">
        <v>1266</v>
      </c>
      <c r="D32" s="269">
        <v>27900000</v>
      </c>
    </row>
    <row r="33" spans="1:4" ht="78.75" x14ac:dyDescent="0.2">
      <c r="A33" s="270" t="s">
        <v>433</v>
      </c>
      <c r="B33" s="270" t="s">
        <v>260</v>
      </c>
      <c r="C33" s="270" t="s">
        <v>1266</v>
      </c>
      <c r="D33" s="269">
        <v>32200000</v>
      </c>
    </row>
    <row r="34" spans="1:4" ht="78.75" x14ac:dyDescent="0.2">
      <c r="A34" s="270" t="s">
        <v>433</v>
      </c>
      <c r="B34" s="270" t="s">
        <v>261</v>
      </c>
      <c r="C34" s="270" t="s">
        <v>1266</v>
      </c>
      <c r="D34" s="269">
        <v>13000000</v>
      </c>
    </row>
    <row r="35" spans="1:4" ht="78.75" x14ac:dyDescent="0.2">
      <c r="A35" s="270" t="s">
        <v>434</v>
      </c>
      <c r="B35" s="270" t="s">
        <v>411</v>
      </c>
      <c r="C35" s="270" t="s">
        <v>1266</v>
      </c>
      <c r="D35" s="269">
        <v>6200001</v>
      </c>
    </row>
    <row r="36" spans="1:4" ht="78.75" x14ac:dyDescent="0.2">
      <c r="A36" s="270" t="s">
        <v>434</v>
      </c>
      <c r="B36" s="270" t="s">
        <v>364</v>
      </c>
      <c r="C36" s="270" t="s">
        <v>1266</v>
      </c>
      <c r="D36" s="269">
        <v>51527355</v>
      </c>
    </row>
    <row r="37" spans="1:4" ht="78.75" x14ac:dyDescent="0.2">
      <c r="A37" s="270" t="s">
        <v>262</v>
      </c>
      <c r="B37" s="270" t="s">
        <v>262</v>
      </c>
      <c r="C37" s="270" t="s">
        <v>1266</v>
      </c>
      <c r="D37" s="269">
        <v>59016742</v>
      </c>
    </row>
    <row r="38" spans="1:4" ht="123.75" x14ac:dyDescent="0.2">
      <c r="A38" s="270" t="s">
        <v>417</v>
      </c>
      <c r="B38" s="270" t="s">
        <v>417</v>
      </c>
      <c r="C38" s="270" t="s">
        <v>1265</v>
      </c>
      <c r="D38" s="269">
        <v>9995674</v>
      </c>
    </row>
    <row r="39" spans="1:4" ht="123.75" x14ac:dyDescent="0.2">
      <c r="A39" s="270" t="s">
        <v>418</v>
      </c>
      <c r="B39" s="270" t="s">
        <v>458</v>
      </c>
      <c r="C39" s="270" t="s">
        <v>1265</v>
      </c>
      <c r="D39" s="269">
        <v>8322683</v>
      </c>
    </row>
    <row r="40" spans="1:4" ht="123.75" x14ac:dyDescent="0.2">
      <c r="A40" s="270" t="s">
        <v>418</v>
      </c>
      <c r="B40" s="270" t="s">
        <v>457</v>
      </c>
      <c r="C40" s="270" t="s">
        <v>1265</v>
      </c>
      <c r="D40" s="269">
        <v>1275000</v>
      </c>
    </row>
    <row r="41" spans="1:4" ht="123.75" x14ac:dyDescent="0.2">
      <c r="A41" s="270" t="s">
        <v>418</v>
      </c>
      <c r="B41" s="270" t="s">
        <v>1242</v>
      </c>
      <c r="C41" s="270" t="s">
        <v>1265</v>
      </c>
      <c r="D41" s="269">
        <v>340000</v>
      </c>
    </row>
    <row r="42" spans="1:4" ht="101.25" x14ac:dyDescent="0.2">
      <c r="A42" s="270" t="s">
        <v>264</v>
      </c>
      <c r="B42" s="270" t="s">
        <v>264</v>
      </c>
      <c r="C42" s="270" t="s">
        <v>1264</v>
      </c>
      <c r="D42" s="269">
        <v>23733826</v>
      </c>
    </row>
    <row r="43" spans="1:4" ht="101.25" x14ac:dyDescent="0.2">
      <c r="A43" s="270" t="s">
        <v>435</v>
      </c>
      <c r="B43" s="270" t="s">
        <v>265</v>
      </c>
      <c r="C43" s="270" t="s">
        <v>1264</v>
      </c>
      <c r="D43" s="269">
        <v>149999999</v>
      </c>
    </row>
    <row r="44" spans="1:4" ht="101.25" x14ac:dyDescent="0.2">
      <c r="A44" s="270" t="s">
        <v>435</v>
      </c>
      <c r="B44" s="270" t="s">
        <v>266</v>
      </c>
      <c r="C44" s="270" t="s">
        <v>1264</v>
      </c>
      <c r="D44" s="269">
        <v>96013119</v>
      </c>
    </row>
    <row r="45" spans="1:4" ht="101.25" x14ac:dyDescent="0.2">
      <c r="A45" s="270" t="s">
        <v>267</v>
      </c>
      <c r="B45" s="270" t="s">
        <v>267</v>
      </c>
      <c r="C45" s="270" t="s">
        <v>1264</v>
      </c>
      <c r="D45" s="269">
        <v>31393658</v>
      </c>
    </row>
    <row r="46" spans="1:4" ht="101.25" x14ac:dyDescent="0.2">
      <c r="A46" s="270" t="s">
        <v>268</v>
      </c>
      <c r="B46" s="270" t="s">
        <v>268</v>
      </c>
      <c r="C46" s="270" t="s">
        <v>1264</v>
      </c>
      <c r="D46" s="269">
        <v>53194494</v>
      </c>
    </row>
    <row r="47" spans="1:4" ht="101.25" x14ac:dyDescent="0.2">
      <c r="A47" s="270" t="s">
        <v>269</v>
      </c>
      <c r="B47" s="270" t="s">
        <v>269</v>
      </c>
      <c r="C47" s="270" t="s">
        <v>1264</v>
      </c>
      <c r="D47" s="269">
        <v>7092599</v>
      </c>
    </row>
    <row r="48" spans="1:4" ht="101.25" x14ac:dyDescent="0.2">
      <c r="A48" s="270" t="s">
        <v>436</v>
      </c>
      <c r="B48" s="270" t="s">
        <v>270</v>
      </c>
      <c r="C48" s="270" t="s">
        <v>1264</v>
      </c>
      <c r="D48" s="269">
        <v>96000000</v>
      </c>
    </row>
    <row r="49" spans="1:4" ht="101.25" x14ac:dyDescent="0.2">
      <c r="A49" s="270" t="s">
        <v>436</v>
      </c>
      <c r="B49" s="270" t="s">
        <v>271</v>
      </c>
      <c r="C49" s="270" t="s">
        <v>1264</v>
      </c>
      <c r="D49" s="269">
        <v>12516768</v>
      </c>
    </row>
    <row r="50" spans="1:4" ht="90" x14ac:dyDescent="0.2">
      <c r="A50" s="270" t="s">
        <v>273</v>
      </c>
      <c r="B50" s="270" t="s">
        <v>273</v>
      </c>
      <c r="C50" s="270" t="s">
        <v>1263</v>
      </c>
      <c r="D50" s="269">
        <v>4026179</v>
      </c>
    </row>
    <row r="51" spans="1:4" ht="90" x14ac:dyDescent="0.2">
      <c r="A51" s="270" t="s">
        <v>274</v>
      </c>
      <c r="B51" s="270" t="s">
        <v>274</v>
      </c>
      <c r="C51" s="270" t="s">
        <v>1263</v>
      </c>
      <c r="D51" s="269">
        <v>36881516</v>
      </c>
    </row>
    <row r="52" spans="1:4" ht="101.25" x14ac:dyDescent="0.2">
      <c r="A52" s="270" t="s">
        <v>437</v>
      </c>
      <c r="B52" s="270" t="s">
        <v>275</v>
      </c>
      <c r="C52" s="270" t="s">
        <v>1262</v>
      </c>
      <c r="D52" s="269">
        <v>5478088</v>
      </c>
    </row>
    <row r="53" spans="1:4" ht="101.25" x14ac:dyDescent="0.2">
      <c r="A53" s="270" t="s">
        <v>437</v>
      </c>
      <c r="B53" s="270" t="s">
        <v>276</v>
      </c>
      <c r="C53" s="270" t="s">
        <v>1262</v>
      </c>
      <c r="D53" s="269">
        <v>24853746</v>
      </c>
    </row>
    <row r="54" spans="1:4" ht="101.25" x14ac:dyDescent="0.2">
      <c r="A54" s="270" t="s">
        <v>437</v>
      </c>
      <c r="B54" s="270" t="s">
        <v>405</v>
      </c>
      <c r="C54" s="270" t="s">
        <v>1262</v>
      </c>
      <c r="D54" s="269">
        <v>9184249</v>
      </c>
    </row>
    <row r="55" spans="1:4" ht="101.25" x14ac:dyDescent="0.2">
      <c r="A55" s="270" t="s">
        <v>277</v>
      </c>
      <c r="B55" s="270" t="s">
        <v>277</v>
      </c>
      <c r="C55" s="270" t="s">
        <v>1262</v>
      </c>
      <c r="D55" s="269">
        <v>116129889</v>
      </c>
    </row>
    <row r="56" spans="1:4" ht="101.25" x14ac:dyDescent="0.2">
      <c r="A56" s="270" t="s">
        <v>438</v>
      </c>
      <c r="B56" s="270" t="s">
        <v>278</v>
      </c>
      <c r="C56" s="270" t="s">
        <v>1262</v>
      </c>
      <c r="D56" s="269">
        <v>3400000</v>
      </c>
    </row>
    <row r="57" spans="1:4" ht="101.25" x14ac:dyDescent="0.2">
      <c r="A57" s="270" t="s">
        <v>439</v>
      </c>
      <c r="B57" s="270" t="s">
        <v>279</v>
      </c>
      <c r="C57" s="270" t="s">
        <v>1262</v>
      </c>
      <c r="D57" s="269">
        <v>8075000</v>
      </c>
    </row>
    <row r="58" spans="1:4" ht="101.25" x14ac:dyDescent="0.2">
      <c r="A58" s="270" t="s">
        <v>439</v>
      </c>
      <c r="B58" s="270" t="s">
        <v>280</v>
      </c>
      <c r="C58" s="270" t="s">
        <v>1262</v>
      </c>
      <c r="D58" s="269">
        <v>16038626</v>
      </c>
    </row>
    <row r="59" spans="1:4" ht="101.25" x14ac:dyDescent="0.2">
      <c r="A59" s="270" t="s">
        <v>1244</v>
      </c>
      <c r="B59" s="270" t="s">
        <v>1244</v>
      </c>
      <c r="C59" s="270" t="s">
        <v>1262</v>
      </c>
      <c r="D59" s="269">
        <v>7830726</v>
      </c>
    </row>
    <row r="60" spans="1:4" ht="101.25" x14ac:dyDescent="0.2">
      <c r="A60" s="270" t="s">
        <v>281</v>
      </c>
      <c r="B60" s="270" t="s">
        <v>281</v>
      </c>
      <c r="C60" s="270" t="s">
        <v>1262</v>
      </c>
      <c r="D60" s="269">
        <v>60110071</v>
      </c>
    </row>
    <row r="61" spans="1:4" ht="101.25" x14ac:dyDescent="0.2">
      <c r="A61" s="270" t="s">
        <v>282</v>
      </c>
      <c r="B61" s="270" t="s">
        <v>282</v>
      </c>
      <c r="C61" s="270" t="s">
        <v>1262</v>
      </c>
      <c r="D61" s="269">
        <v>80382791</v>
      </c>
    </row>
    <row r="62" spans="1:4" ht="101.25" x14ac:dyDescent="0.2">
      <c r="A62" s="270" t="s">
        <v>283</v>
      </c>
      <c r="B62" s="270" t="s">
        <v>283</v>
      </c>
      <c r="C62" s="270" t="s">
        <v>1262</v>
      </c>
      <c r="D62" s="269">
        <v>236524372</v>
      </c>
    </row>
    <row r="63" spans="1:4" ht="101.25" x14ac:dyDescent="0.2">
      <c r="A63" s="270" t="s">
        <v>462</v>
      </c>
      <c r="B63" s="270" t="s">
        <v>462</v>
      </c>
      <c r="C63" s="270" t="s">
        <v>1262</v>
      </c>
      <c r="D63" s="269">
        <v>11600000</v>
      </c>
    </row>
    <row r="64" spans="1:4" ht="112.5" x14ac:dyDescent="0.2">
      <c r="A64" s="270" t="s">
        <v>285</v>
      </c>
      <c r="B64" s="270" t="s">
        <v>285</v>
      </c>
      <c r="C64" s="270" t="s">
        <v>1261</v>
      </c>
      <c r="D64" s="269">
        <v>74112625</v>
      </c>
    </row>
    <row r="65" spans="1:4" ht="112.5" x14ac:dyDescent="0.2">
      <c r="A65" s="270" t="s">
        <v>286</v>
      </c>
      <c r="B65" s="270" t="s">
        <v>286</v>
      </c>
      <c r="C65" s="270" t="s">
        <v>1261</v>
      </c>
      <c r="D65" s="269">
        <v>11484765</v>
      </c>
    </row>
    <row r="66" spans="1:4" ht="112.5" x14ac:dyDescent="0.2">
      <c r="A66" s="270" t="s">
        <v>440</v>
      </c>
      <c r="B66" s="270" t="s">
        <v>287</v>
      </c>
      <c r="C66" s="270" t="s">
        <v>1261</v>
      </c>
      <c r="D66" s="269">
        <v>75109464</v>
      </c>
    </row>
    <row r="67" spans="1:4" ht="112.5" x14ac:dyDescent="0.2">
      <c r="A67" s="270" t="s">
        <v>440</v>
      </c>
      <c r="B67" s="270" t="s">
        <v>288</v>
      </c>
      <c r="C67" s="270" t="s">
        <v>1261</v>
      </c>
      <c r="D67" s="269">
        <v>7093340</v>
      </c>
    </row>
    <row r="68" spans="1:4" ht="112.5" x14ac:dyDescent="0.2">
      <c r="A68" s="270" t="s">
        <v>441</v>
      </c>
      <c r="B68" s="270" t="s">
        <v>289</v>
      </c>
      <c r="C68" s="270" t="s">
        <v>1261</v>
      </c>
      <c r="D68" s="269">
        <v>46413304</v>
      </c>
    </row>
    <row r="69" spans="1:4" ht="112.5" x14ac:dyDescent="0.2">
      <c r="A69" s="270" t="s">
        <v>441</v>
      </c>
      <c r="B69" s="270" t="s">
        <v>290</v>
      </c>
      <c r="C69" s="270" t="s">
        <v>1261</v>
      </c>
      <c r="D69" s="269">
        <v>37703628</v>
      </c>
    </row>
    <row r="70" spans="1:4" ht="112.5" x14ac:dyDescent="0.2">
      <c r="A70" s="270" t="s">
        <v>291</v>
      </c>
      <c r="B70" s="270" t="s">
        <v>291</v>
      </c>
      <c r="C70" s="270" t="s">
        <v>1261</v>
      </c>
      <c r="D70" s="269">
        <v>218449803</v>
      </c>
    </row>
    <row r="71" spans="1:4" ht="112.5" x14ac:dyDescent="0.2">
      <c r="A71" s="270" t="s">
        <v>442</v>
      </c>
      <c r="B71" s="270" t="s">
        <v>292</v>
      </c>
      <c r="C71" s="270" t="s">
        <v>1261</v>
      </c>
      <c r="D71" s="269">
        <v>346639348</v>
      </c>
    </row>
    <row r="72" spans="1:4" ht="112.5" x14ac:dyDescent="0.2">
      <c r="A72" s="270" t="s">
        <v>442</v>
      </c>
      <c r="B72" s="270" t="s">
        <v>293</v>
      </c>
      <c r="C72" s="270" t="s">
        <v>1261</v>
      </c>
      <c r="D72" s="269">
        <v>107288018</v>
      </c>
    </row>
    <row r="73" spans="1:4" ht="112.5" x14ac:dyDescent="0.2">
      <c r="A73" s="270" t="s">
        <v>294</v>
      </c>
      <c r="B73" s="270" t="s">
        <v>294</v>
      </c>
      <c r="C73" s="270" t="s">
        <v>1261</v>
      </c>
      <c r="D73" s="269">
        <v>235477563</v>
      </c>
    </row>
    <row r="74" spans="1:4" ht="101.25" x14ac:dyDescent="0.2">
      <c r="A74" s="270" t="s">
        <v>296</v>
      </c>
      <c r="B74" s="270" t="s">
        <v>296</v>
      </c>
      <c r="C74" s="270" t="s">
        <v>1259</v>
      </c>
      <c r="D74" s="269">
        <v>81963841</v>
      </c>
    </row>
    <row r="75" spans="1:4" ht="101.25" x14ac:dyDescent="0.2">
      <c r="A75" s="270" t="s">
        <v>443</v>
      </c>
      <c r="B75" s="270" t="s">
        <v>297</v>
      </c>
      <c r="C75" s="270" t="s">
        <v>1259</v>
      </c>
      <c r="D75" s="269">
        <v>502562</v>
      </c>
    </row>
    <row r="76" spans="1:4" ht="101.25" x14ac:dyDescent="0.2">
      <c r="A76" s="270" t="s">
        <v>443</v>
      </c>
      <c r="B76" s="270" t="s">
        <v>298</v>
      </c>
      <c r="C76" s="270" t="s">
        <v>1259</v>
      </c>
      <c r="D76" s="269">
        <v>1190655</v>
      </c>
    </row>
    <row r="77" spans="1:4" ht="101.25" x14ac:dyDescent="0.2">
      <c r="A77" s="270" t="s">
        <v>444</v>
      </c>
      <c r="B77" s="270" t="s">
        <v>299</v>
      </c>
      <c r="C77" s="270" t="s">
        <v>1259</v>
      </c>
      <c r="D77" s="269">
        <v>31207922</v>
      </c>
    </row>
    <row r="78" spans="1:4" ht="101.25" x14ac:dyDescent="0.2">
      <c r="A78" s="270" t="s">
        <v>444</v>
      </c>
      <c r="B78" s="270" t="s">
        <v>300</v>
      </c>
      <c r="C78" s="270" t="s">
        <v>1259</v>
      </c>
      <c r="D78" s="269">
        <v>32780847</v>
      </c>
    </row>
    <row r="79" spans="1:4" ht="101.25" x14ac:dyDescent="0.2">
      <c r="A79" s="270" t="s">
        <v>444</v>
      </c>
      <c r="B79" s="270" t="s">
        <v>301</v>
      </c>
      <c r="C79" s="270" t="s">
        <v>1259</v>
      </c>
      <c r="D79" s="269">
        <v>2770061</v>
      </c>
    </row>
    <row r="80" spans="1:4" ht="101.25" x14ac:dyDescent="0.2">
      <c r="A80" s="270" t="s">
        <v>302</v>
      </c>
      <c r="B80" s="270" t="s">
        <v>302</v>
      </c>
      <c r="C80" s="270" t="s">
        <v>1259</v>
      </c>
      <c r="D80" s="269">
        <v>10746951</v>
      </c>
    </row>
    <row r="81" spans="1:4" ht="101.25" x14ac:dyDescent="0.2">
      <c r="A81" s="270" t="s">
        <v>303</v>
      </c>
      <c r="B81" s="270" t="s">
        <v>303</v>
      </c>
      <c r="C81" s="270" t="s">
        <v>1259</v>
      </c>
      <c r="D81" s="269">
        <v>9006779</v>
      </c>
    </row>
    <row r="82" spans="1:4" ht="135" x14ac:dyDescent="0.2">
      <c r="A82" s="270" t="s">
        <v>305</v>
      </c>
      <c r="B82" s="270" t="s">
        <v>305</v>
      </c>
      <c r="C82" s="270" t="s">
        <v>1260</v>
      </c>
      <c r="D82" s="269">
        <v>37945407</v>
      </c>
    </row>
    <row r="83" spans="1:4" ht="135" x14ac:dyDescent="0.2">
      <c r="A83" s="270" t="s">
        <v>445</v>
      </c>
      <c r="B83" s="270" t="s">
        <v>445</v>
      </c>
      <c r="C83" s="270" t="s">
        <v>1260</v>
      </c>
      <c r="D83" s="269">
        <v>138866812</v>
      </c>
    </row>
    <row r="84" spans="1:4" ht="135" x14ac:dyDescent="0.2">
      <c r="A84" s="270" t="s">
        <v>306</v>
      </c>
      <c r="B84" s="270" t="s">
        <v>306</v>
      </c>
      <c r="C84" s="270" t="s">
        <v>1260</v>
      </c>
      <c r="D84" s="269">
        <v>88591148</v>
      </c>
    </row>
    <row r="85" spans="1:4" ht="135" x14ac:dyDescent="0.2">
      <c r="A85" s="270" t="s">
        <v>307</v>
      </c>
      <c r="B85" s="270" t="s">
        <v>307</v>
      </c>
      <c r="C85" s="270" t="s">
        <v>1260</v>
      </c>
      <c r="D85" s="269">
        <v>12057418</v>
      </c>
    </row>
    <row r="86" spans="1:4" ht="135" x14ac:dyDescent="0.2">
      <c r="A86" s="270" t="s">
        <v>308</v>
      </c>
      <c r="B86" s="270" t="s">
        <v>308</v>
      </c>
      <c r="C86" s="270" t="s">
        <v>1260</v>
      </c>
      <c r="D86" s="269">
        <v>9192750</v>
      </c>
    </row>
    <row r="87" spans="1:4" ht="135" x14ac:dyDescent="0.2">
      <c r="A87" s="270" t="s">
        <v>309</v>
      </c>
      <c r="B87" s="270" t="s">
        <v>309</v>
      </c>
      <c r="C87" s="270" t="s">
        <v>1260</v>
      </c>
      <c r="D87" s="269">
        <v>29189583</v>
      </c>
    </row>
    <row r="88" spans="1:4" ht="135" x14ac:dyDescent="0.2">
      <c r="A88" s="270" t="s">
        <v>310</v>
      </c>
      <c r="B88" s="270" t="s">
        <v>310</v>
      </c>
      <c r="C88" s="270" t="s">
        <v>1260</v>
      </c>
      <c r="D88" s="269">
        <v>17000000</v>
      </c>
    </row>
    <row r="89" spans="1:4" ht="135" x14ac:dyDescent="0.2">
      <c r="A89" s="270" t="s">
        <v>311</v>
      </c>
      <c r="B89" s="270" t="s">
        <v>311</v>
      </c>
      <c r="C89" s="270" t="s">
        <v>1260</v>
      </c>
      <c r="D89" s="269">
        <v>1275000</v>
      </c>
    </row>
    <row r="90" spans="1:4" ht="135" x14ac:dyDescent="0.2">
      <c r="A90" s="270" t="s">
        <v>446</v>
      </c>
      <c r="B90" s="270" t="s">
        <v>447</v>
      </c>
      <c r="C90" s="270" t="s">
        <v>1260</v>
      </c>
      <c r="D90" s="269">
        <v>11866751</v>
      </c>
    </row>
    <row r="91" spans="1:4" ht="135" x14ac:dyDescent="0.2">
      <c r="A91" s="270" t="s">
        <v>446</v>
      </c>
      <c r="B91" s="270" t="s">
        <v>312</v>
      </c>
      <c r="C91" s="270" t="s">
        <v>1260</v>
      </c>
      <c r="D91" s="269">
        <v>2626723</v>
      </c>
    </row>
    <row r="92" spans="1:4" ht="135" x14ac:dyDescent="0.2">
      <c r="A92" s="270" t="s">
        <v>448</v>
      </c>
      <c r="B92" s="270" t="s">
        <v>313</v>
      </c>
      <c r="C92" s="270" t="s">
        <v>1260</v>
      </c>
      <c r="D92" s="269">
        <v>2794247</v>
      </c>
    </row>
    <row r="93" spans="1:4" ht="135" x14ac:dyDescent="0.2">
      <c r="A93" s="270" t="s">
        <v>448</v>
      </c>
      <c r="B93" s="270" t="s">
        <v>314</v>
      </c>
      <c r="C93" s="270" t="s">
        <v>1260</v>
      </c>
      <c r="D93" s="269">
        <v>21445447</v>
      </c>
    </row>
    <row r="94" spans="1:4" ht="135" x14ac:dyDescent="0.2">
      <c r="A94" s="270" t="s">
        <v>315</v>
      </c>
      <c r="B94" s="270" t="s">
        <v>315</v>
      </c>
      <c r="C94" s="270" t="s">
        <v>1260</v>
      </c>
      <c r="D94" s="269">
        <v>7650000</v>
      </c>
    </row>
    <row r="95" spans="1:4" ht="135" x14ac:dyDescent="0.2">
      <c r="A95" s="270" t="s">
        <v>316</v>
      </c>
      <c r="B95" s="270" t="s">
        <v>316</v>
      </c>
      <c r="C95" s="270" t="s">
        <v>1260</v>
      </c>
      <c r="D95" s="269">
        <v>48909344</v>
      </c>
    </row>
    <row r="96" spans="1:4" ht="135" x14ac:dyDescent="0.2">
      <c r="A96" s="270" t="s">
        <v>317</v>
      </c>
      <c r="B96" s="270" t="s">
        <v>317</v>
      </c>
      <c r="C96" s="270" t="s">
        <v>1260</v>
      </c>
      <c r="D96" s="269">
        <v>19618584</v>
      </c>
    </row>
    <row r="97" spans="1:4" ht="135" x14ac:dyDescent="0.2">
      <c r="A97" s="270" t="s">
        <v>449</v>
      </c>
      <c r="B97" s="270" t="s">
        <v>318</v>
      </c>
      <c r="C97" s="270" t="s">
        <v>1260</v>
      </c>
      <c r="D97" s="269">
        <v>2040000</v>
      </c>
    </row>
    <row r="98" spans="1:4" ht="135" x14ac:dyDescent="0.2">
      <c r="A98" s="270" t="s">
        <v>449</v>
      </c>
      <c r="B98" s="270" t="s">
        <v>319</v>
      </c>
      <c r="C98" s="270" t="s">
        <v>1260</v>
      </c>
      <c r="D98" s="269">
        <v>4092205</v>
      </c>
    </row>
    <row r="99" spans="1:4" ht="135" x14ac:dyDescent="0.2">
      <c r="A99" s="270" t="s">
        <v>450</v>
      </c>
      <c r="B99" s="270" t="s">
        <v>450</v>
      </c>
      <c r="C99" s="270" t="s">
        <v>1260</v>
      </c>
      <c r="D99" s="269">
        <v>22979380</v>
      </c>
    </row>
    <row r="100" spans="1:4" ht="135" x14ac:dyDescent="0.2">
      <c r="A100" s="270" t="s">
        <v>320</v>
      </c>
      <c r="B100" s="270" t="s">
        <v>320</v>
      </c>
      <c r="C100" s="270" t="s">
        <v>1260</v>
      </c>
      <c r="D100" s="269">
        <v>18646580</v>
      </c>
    </row>
    <row r="101" spans="1:4" ht="135" x14ac:dyDescent="0.2">
      <c r="A101" s="270" t="s">
        <v>321</v>
      </c>
      <c r="B101" s="270" t="s">
        <v>321</v>
      </c>
      <c r="C101" s="270" t="s">
        <v>1260</v>
      </c>
      <c r="D101" s="269">
        <v>10996033</v>
      </c>
    </row>
    <row r="102" spans="1:4" ht="135" x14ac:dyDescent="0.2">
      <c r="A102" s="270" t="s">
        <v>322</v>
      </c>
      <c r="B102" s="270" t="s">
        <v>322</v>
      </c>
      <c r="C102" s="270" t="s">
        <v>1260</v>
      </c>
      <c r="D102" s="269">
        <v>5516580</v>
      </c>
    </row>
    <row r="103" spans="1:4" ht="101.25" x14ac:dyDescent="0.2">
      <c r="A103" s="270" t="s">
        <v>451</v>
      </c>
      <c r="B103" s="270" t="s">
        <v>324</v>
      </c>
      <c r="C103" s="270" t="s">
        <v>1259</v>
      </c>
      <c r="D103" s="269">
        <v>31636001</v>
      </c>
    </row>
    <row r="104" spans="1:4" ht="101.25" x14ac:dyDescent="0.2">
      <c r="A104" s="270" t="s">
        <v>451</v>
      </c>
      <c r="B104" s="270" t="s">
        <v>325</v>
      </c>
      <c r="C104" s="270" t="s">
        <v>1259</v>
      </c>
      <c r="D104" s="269">
        <v>27225595</v>
      </c>
    </row>
    <row r="105" spans="1:4" ht="101.25" x14ac:dyDescent="0.2">
      <c r="A105" s="270" t="s">
        <v>451</v>
      </c>
      <c r="B105" s="270" t="s">
        <v>326</v>
      </c>
      <c r="C105" s="270" t="s">
        <v>1258</v>
      </c>
      <c r="D105" s="269">
        <v>16932175</v>
      </c>
    </row>
    <row r="106" spans="1:4" ht="101.25" x14ac:dyDescent="0.2">
      <c r="A106" s="270" t="s">
        <v>327</v>
      </c>
      <c r="B106" s="270" t="s">
        <v>327</v>
      </c>
      <c r="C106" s="270" t="s">
        <v>1258</v>
      </c>
      <c r="D106" s="269">
        <v>4398750</v>
      </c>
    </row>
    <row r="107" spans="1:4" ht="101.25" x14ac:dyDescent="0.2">
      <c r="A107" s="270" t="s">
        <v>328</v>
      </c>
      <c r="B107" s="270" t="s">
        <v>328</v>
      </c>
      <c r="C107" s="270" t="s">
        <v>1258</v>
      </c>
      <c r="D107" s="269">
        <v>3597789</v>
      </c>
    </row>
    <row r="108" spans="1:4" ht="101.25" x14ac:dyDescent="0.2">
      <c r="A108" s="270" t="s">
        <v>452</v>
      </c>
      <c r="B108" s="270" t="s">
        <v>329</v>
      </c>
      <c r="C108" s="270" t="s">
        <v>1258</v>
      </c>
      <c r="D108" s="269">
        <v>1064308</v>
      </c>
    </row>
    <row r="109" spans="1:4" ht="101.25" x14ac:dyDescent="0.2">
      <c r="A109" s="270" t="s">
        <v>452</v>
      </c>
      <c r="B109" s="270" t="s">
        <v>330</v>
      </c>
      <c r="C109" s="270" t="s">
        <v>1258</v>
      </c>
      <c r="D109" s="269">
        <v>1124780</v>
      </c>
    </row>
    <row r="110" spans="1:4" ht="101.25" x14ac:dyDescent="0.2">
      <c r="A110" s="270" t="s">
        <v>452</v>
      </c>
      <c r="B110" s="270" t="s">
        <v>331</v>
      </c>
      <c r="C110" s="270" t="s">
        <v>1258</v>
      </c>
      <c r="D110" s="269">
        <v>270346</v>
      </c>
    </row>
    <row r="111" spans="1:4" ht="101.25" x14ac:dyDescent="0.2">
      <c r="A111" s="270" t="s">
        <v>452</v>
      </c>
      <c r="B111" s="270" t="s">
        <v>332</v>
      </c>
      <c r="C111" s="270" t="s">
        <v>1258</v>
      </c>
      <c r="D111" s="269">
        <v>5791088</v>
      </c>
    </row>
    <row r="112" spans="1:4" ht="101.25" x14ac:dyDescent="0.2">
      <c r="A112" s="270" t="s">
        <v>453</v>
      </c>
      <c r="B112" s="270" t="s">
        <v>333</v>
      </c>
      <c r="C112" s="270" t="s">
        <v>1258</v>
      </c>
      <c r="D112" s="269">
        <v>7247622</v>
      </c>
    </row>
    <row r="113" spans="1:4" ht="101.25" x14ac:dyDescent="0.2">
      <c r="A113" s="270" t="s">
        <v>453</v>
      </c>
      <c r="B113" s="270" t="s">
        <v>334</v>
      </c>
      <c r="C113" s="270" t="s">
        <v>1258</v>
      </c>
      <c r="D113" s="269">
        <v>917966</v>
      </c>
    </row>
    <row r="114" spans="1:4" ht="101.25" x14ac:dyDescent="0.2">
      <c r="A114" s="270" t="s">
        <v>453</v>
      </c>
      <c r="B114" s="270" t="s">
        <v>335</v>
      </c>
      <c r="C114" s="270" t="s">
        <v>1258</v>
      </c>
      <c r="D114" s="269">
        <v>1995577</v>
      </c>
    </row>
    <row r="115" spans="1:4" ht="101.25" x14ac:dyDescent="0.2">
      <c r="A115" s="270" t="s">
        <v>454</v>
      </c>
      <c r="B115" s="270" t="s">
        <v>336</v>
      </c>
      <c r="C115" s="270" t="s">
        <v>1258</v>
      </c>
      <c r="D115" s="269">
        <v>40127871</v>
      </c>
    </row>
    <row r="116" spans="1:4" ht="101.25" x14ac:dyDescent="0.2">
      <c r="A116" s="270" t="s">
        <v>454</v>
      </c>
      <c r="B116" s="270" t="s">
        <v>337</v>
      </c>
      <c r="C116" s="270" t="s">
        <v>1258</v>
      </c>
      <c r="D116" s="269">
        <v>4018012</v>
      </c>
    </row>
    <row r="117" spans="1:4" ht="101.25" x14ac:dyDescent="0.2">
      <c r="A117" s="270" t="s">
        <v>338</v>
      </c>
      <c r="B117" s="270" t="s">
        <v>338</v>
      </c>
      <c r="C117" s="270" t="s">
        <v>1258</v>
      </c>
      <c r="D117" s="269">
        <v>3699467</v>
      </c>
    </row>
    <row r="118" spans="1:4" ht="101.25" x14ac:dyDescent="0.2">
      <c r="A118" s="270" t="s">
        <v>455</v>
      </c>
      <c r="B118" s="270" t="s">
        <v>339</v>
      </c>
      <c r="C118" s="270" t="s">
        <v>1258</v>
      </c>
      <c r="D118" s="269">
        <v>14188877</v>
      </c>
    </row>
    <row r="119" spans="1:4" ht="101.25" x14ac:dyDescent="0.2">
      <c r="A119" s="270" t="s">
        <v>455</v>
      </c>
      <c r="B119" s="270" t="s">
        <v>340</v>
      </c>
      <c r="C119" s="270" t="s">
        <v>1258</v>
      </c>
      <c r="D119" s="269">
        <v>33107381</v>
      </c>
    </row>
    <row r="120" spans="1:4" ht="101.25" x14ac:dyDescent="0.2">
      <c r="A120" s="270" t="s">
        <v>341</v>
      </c>
      <c r="B120" s="270" t="s">
        <v>341</v>
      </c>
      <c r="C120" s="270" t="s">
        <v>1258</v>
      </c>
      <c r="D120" s="269">
        <v>0</v>
      </c>
    </row>
    <row r="121" spans="1:4" ht="101.25" x14ac:dyDescent="0.2">
      <c r="A121" s="270" t="s">
        <v>342</v>
      </c>
      <c r="B121" s="270" t="s">
        <v>342</v>
      </c>
      <c r="C121" s="270" t="s">
        <v>1258</v>
      </c>
      <c r="D121" s="269">
        <v>19351057</v>
      </c>
    </row>
    <row r="122" spans="1:4" ht="101.25" x14ac:dyDescent="0.2">
      <c r="A122" s="270" t="s">
        <v>596</v>
      </c>
      <c r="B122" s="270" t="s">
        <v>343</v>
      </c>
      <c r="C122" s="270" t="s">
        <v>1258</v>
      </c>
      <c r="D122" s="269">
        <v>37775681</v>
      </c>
    </row>
    <row r="123" spans="1:4" ht="101.25" x14ac:dyDescent="0.2">
      <c r="A123" s="270" t="s">
        <v>596</v>
      </c>
      <c r="B123" s="270" t="s">
        <v>237</v>
      </c>
      <c r="C123" s="270" t="s">
        <v>1258</v>
      </c>
      <c r="D123" s="269">
        <v>3465513</v>
      </c>
    </row>
    <row r="124" spans="1:4" ht="101.25" x14ac:dyDescent="0.2">
      <c r="A124" s="270" t="s">
        <v>236</v>
      </c>
      <c r="B124" s="270" t="s">
        <v>236</v>
      </c>
      <c r="C124" s="270" t="s">
        <v>1258</v>
      </c>
      <c r="D124" s="269">
        <v>152136153</v>
      </c>
    </row>
    <row r="125" spans="1:4" ht="56.25" x14ac:dyDescent="0.2">
      <c r="A125" s="270" t="s">
        <v>359</v>
      </c>
      <c r="B125" s="270" t="s">
        <v>359</v>
      </c>
      <c r="C125" s="270" t="s">
        <v>1257</v>
      </c>
      <c r="D125" s="269">
        <v>5926749</v>
      </c>
    </row>
    <row r="126" spans="1:4" ht="56.25" x14ac:dyDescent="0.2">
      <c r="A126" s="270" t="s">
        <v>235</v>
      </c>
      <c r="B126" s="270" t="s">
        <v>235</v>
      </c>
      <c r="C126" s="270" t="s">
        <v>1257</v>
      </c>
      <c r="D126" s="269">
        <v>6062936</v>
      </c>
    </row>
    <row r="127" spans="1:4" ht="56.25" x14ac:dyDescent="0.2">
      <c r="A127" s="270" t="s">
        <v>1250</v>
      </c>
      <c r="B127" s="270" t="s">
        <v>1250</v>
      </c>
      <c r="C127" s="270" t="s">
        <v>1257</v>
      </c>
      <c r="D127" s="269">
        <v>8080290</v>
      </c>
    </row>
    <row r="128" spans="1:4" ht="56.25" x14ac:dyDescent="0.2">
      <c r="A128" s="270" t="s">
        <v>234</v>
      </c>
      <c r="B128" s="270" t="s">
        <v>234</v>
      </c>
      <c r="C128" s="270" t="s">
        <v>1257</v>
      </c>
      <c r="D128" s="269">
        <v>36101098</v>
      </c>
    </row>
    <row r="129" spans="1:4" ht="56.25" x14ac:dyDescent="0.2">
      <c r="A129" s="270" t="s">
        <v>233</v>
      </c>
      <c r="B129" s="270" t="s">
        <v>233</v>
      </c>
      <c r="C129" s="270" t="s">
        <v>1257</v>
      </c>
      <c r="D129" s="269">
        <v>38093121</v>
      </c>
    </row>
  </sheetData>
  <mergeCells count="4">
    <mergeCell ref="A6:D6"/>
    <mergeCell ref="A7:D7"/>
    <mergeCell ref="A8:D8"/>
    <mergeCell ref="A10:D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4" tint="0.59999389629810485"/>
    <pageSetUpPr fitToPage="1"/>
  </sheetPr>
  <dimension ref="A1:AM251"/>
  <sheetViews>
    <sheetView tabSelected="1" zoomScale="60" zoomScaleNormal="60" zoomScaleSheetLayoutView="55" workbookViewId="0">
      <pane xSplit="6" ySplit="14" topLeftCell="H15" activePane="bottomRight" state="frozen"/>
      <selection pane="topRight" activeCell="F1" sqref="F1"/>
      <selection pane="bottomLeft" activeCell="A13" sqref="A13"/>
      <selection pane="bottomRight" activeCell="O17" sqref="O17"/>
    </sheetView>
  </sheetViews>
  <sheetFormatPr defaultColWidth="9.42578125" defaultRowHeight="18.75" outlineLevelCol="1" x14ac:dyDescent="0.3"/>
  <cols>
    <col min="1" max="1" width="12.5703125" style="17" customWidth="1"/>
    <col min="2" max="2" width="36.42578125" style="17" customWidth="1"/>
    <col min="3" max="3" width="28.42578125" style="1" hidden="1" customWidth="1" outlineLevel="1"/>
    <col min="4" max="4" width="7.5703125" style="1" customWidth="1" collapsed="1"/>
    <col min="5" max="5" width="9.42578125" style="1"/>
    <col min="6" max="6" width="12.5703125" style="1" customWidth="1"/>
    <col min="7" max="7" width="12.5703125" style="1" hidden="1" customWidth="1" outlineLevel="1"/>
    <col min="8" max="8" width="24.42578125" style="1" customWidth="1" collapsed="1"/>
    <col min="9" max="9" width="26.42578125" style="1" bestFit="1" customWidth="1"/>
    <col min="10" max="10" width="20.42578125" style="1" customWidth="1"/>
    <col min="11" max="11" width="27.5703125" style="1" hidden="1" customWidth="1"/>
    <col min="12" max="12" width="23" style="1" customWidth="1"/>
    <col min="13" max="15" width="18" style="1" customWidth="1"/>
    <col min="16" max="16" width="14.42578125" style="1" customWidth="1"/>
    <col min="17" max="17" width="20.42578125" style="55" hidden="1" customWidth="1" outlineLevel="1"/>
    <col min="18" max="18" width="18" style="1" hidden="1" customWidth="1" outlineLevel="1"/>
    <col min="19" max="19" width="21.5703125" style="1" customWidth="1" collapsed="1"/>
    <col min="20" max="20" width="17.42578125" style="1" customWidth="1"/>
    <col min="21" max="22" width="15.5703125" style="1" customWidth="1"/>
    <col min="23" max="23" width="12.42578125" style="1" customWidth="1"/>
    <col min="24" max="24" width="22.42578125" style="107" hidden="1" customWidth="1" outlineLevel="1"/>
    <col min="25" max="25" width="17" style="1" hidden="1" customWidth="1" outlineLevel="1"/>
    <col min="26" max="26" width="20.5703125" style="1" customWidth="1" collapsed="1"/>
    <col min="27" max="27" width="17.42578125" style="1" customWidth="1"/>
    <col min="28" max="29" width="16.5703125" style="1" customWidth="1"/>
    <col min="30" max="30" width="12.5703125" style="1" customWidth="1"/>
    <col min="31" max="31" width="28.42578125" style="1" hidden="1" customWidth="1" outlineLevel="1"/>
    <col min="32" max="32" width="15.5703125" style="1" hidden="1" customWidth="1" outlineLevel="1"/>
    <col min="33" max="33" width="21.42578125" style="1" customWidth="1" collapsed="1"/>
    <col min="34" max="34" width="17.42578125" style="1" customWidth="1"/>
    <col min="35" max="35" width="18" style="1" customWidth="1"/>
    <col min="36" max="36" width="21.42578125" style="1" customWidth="1"/>
    <col min="37" max="37" width="20.42578125" style="107" hidden="1" customWidth="1" outlineLevel="1"/>
    <col min="38" max="38" width="18" style="1" hidden="1" customWidth="1" outlineLevel="1"/>
    <col min="39" max="39" width="9.42578125" style="1" collapsed="1"/>
    <col min="40" max="16384" width="9.42578125" style="1"/>
  </cols>
  <sheetData>
    <row r="1" spans="1:38" ht="27.75" customHeight="1" x14ac:dyDescent="0.3">
      <c r="A1" s="264" t="str">
        <f>Pasākumu_līmenis!A2</f>
        <v>Sagatavots 08.04.2025.</v>
      </c>
      <c r="B1" s="140"/>
      <c r="C1" s="140"/>
      <c r="D1" s="505" t="str">
        <f>Pasākumu_līmenis!A1</f>
        <v>2014.-2020. gada plānošanas perioda ES fondu ieviešanas statuss (ES fondu daļa, EUR) uz 31.03.2025.</v>
      </c>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row>
    <row r="2" spans="1:38" ht="12.75" customHeight="1" x14ac:dyDescent="0.35">
      <c r="C2" s="11"/>
      <c r="AJ2" s="23"/>
    </row>
    <row r="3" spans="1:38" ht="21.75" customHeight="1" x14ac:dyDescent="0.3">
      <c r="A3" s="507" t="s">
        <v>154</v>
      </c>
      <c r="B3" s="507"/>
      <c r="C3" s="507"/>
      <c r="D3" s="507"/>
      <c r="E3" s="507"/>
      <c r="F3" s="507"/>
      <c r="G3" s="267"/>
      <c r="H3" s="508" t="s">
        <v>156</v>
      </c>
      <c r="I3" s="509"/>
      <c r="J3" s="509"/>
      <c r="K3" s="510"/>
      <c r="L3" s="507" t="s">
        <v>615</v>
      </c>
      <c r="M3" s="507"/>
      <c r="N3" s="507"/>
      <c r="O3" s="507"/>
      <c r="P3" s="507"/>
      <c r="Q3" s="507"/>
      <c r="R3" s="507"/>
      <c r="S3" s="507" t="s">
        <v>413</v>
      </c>
      <c r="T3" s="507"/>
      <c r="U3" s="507"/>
      <c r="V3" s="507"/>
      <c r="W3" s="507"/>
      <c r="X3" s="507"/>
      <c r="Y3" s="507"/>
      <c r="Z3" s="507" t="s">
        <v>414</v>
      </c>
      <c r="AA3" s="507"/>
      <c r="AB3" s="507"/>
      <c r="AC3" s="507"/>
      <c r="AD3" s="507"/>
      <c r="AE3" s="507"/>
      <c r="AF3" s="507"/>
      <c r="AG3" s="507" t="s">
        <v>155</v>
      </c>
      <c r="AH3" s="507"/>
      <c r="AI3" s="507"/>
      <c r="AJ3" s="507"/>
      <c r="AK3" s="507"/>
      <c r="AL3" s="507"/>
    </row>
    <row r="4" spans="1:38" ht="97.5" customHeight="1" x14ac:dyDescent="0.3">
      <c r="A4" s="138" t="s">
        <v>3</v>
      </c>
      <c r="B4" s="66" t="s">
        <v>157</v>
      </c>
      <c r="C4" s="66" t="s">
        <v>1240</v>
      </c>
      <c r="D4" s="66" t="s">
        <v>11</v>
      </c>
      <c r="E4" s="26" t="s">
        <v>2</v>
      </c>
      <c r="F4" s="66" t="s">
        <v>463</v>
      </c>
      <c r="G4" s="66" t="s">
        <v>1280</v>
      </c>
      <c r="H4" s="66" t="s">
        <v>419</v>
      </c>
      <c r="I4" s="12" t="s">
        <v>158</v>
      </c>
      <c r="J4" s="12" t="s">
        <v>409</v>
      </c>
      <c r="K4" s="12" t="str">
        <f>Pasākumu_līmenis!I4</f>
        <v>Snieguma rezerve atbilstoši MK noteikumiem,
ES fondu finansējums (pēdējo reizi aktualizēta 08.06.2020)</v>
      </c>
      <c r="L4" s="12" t="s">
        <v>406</v>
      </c>
      <c r="M4" s="12" t="s">
        <v>407</v>
      </c>
      <c r="N4" s="12" t="s">
        <v>1255</v>
      </c>
      <c r="O4" s="12" t="s">
        <v>460</v>
      </c>
      <c r="P4" s="12" t="s">
        <v>412</v>
      </c>
      <c r="Q4" s="13" t="s">
        <v>388</v>
      </c>
      <c r="R4" s="13" t="s">
        <v>396</v>
      </c>
      <c r="S4" s="12" t="s">
        <v>406</v>
      </c>
      <c r="T4" s="12" t="s">
        <v>407</v>
      </c>
      <c r="U4" s="12" t="s">
        <v>1255</v>
      </c>
      <c r="V4" s="12" t="s">
        <v>460</v>
      </c>
      <c r="W4" s="12" t="s">
        <v>412</v>
      </c>
      <c r="X4" s="108" t="s">
        <v>423</v>
      </c>
      <c r="Y4" s="13" t="s">
        <v>397</v>
      </c>
      <c r="Z4" s="12" t="s">
        <v>406</v>
      </c>
      <c r="AA4" s="12" t="s">
        <v>407</v>
      </c>
      <c r="AB4" s="12" t="s">
        <v>1255</v>
      </c>
      <c r="AC4" s="12" t="s">
        <v>460</v>
      </c>
      <c r="AD4" s="12" t="s">
        <v>412</v>
      </c>
      <c r="AE4" s="13" t="s">
        <v>422</v>
      </c>
      <c r="AF4" s="13" t="s">
        <v>398</v>
      </c>
      <c r="AG4" s="12" t="s">
        <v>410</v>
      </c>
      <c r="AH4" s="12" t="s">
        <v>408</v>
      </c>
      <c r="AI4" s="12" t="s">
        <v>426</v>
      </c>
      <c r="AJ4" s="12" t="s">
        <v>460</v>
      </c>
      <c r="AK4" s="108" t="s">
        <v>421</v>
      </c>
      <c r="AL4" s="13" t="s">
        <v>399</v>
      </c>
    </row>
    <row r="5" spans="1:38" ht="20.25" customHeight="1" x14ac:dyDescent="0.3">
      <c r="A5" s="2" t="s">
        <v>0</v>
      </c>
      <c r="B5" s="99" t="s">
        <v>4</v>
      </c>
      <c r="C5" s="2" t="s">
        <v>1238</v>
      </c>
      <c r="D5" s="2" t="s">
        <v>7</v>
      </c>
      <c r="E5" s="2" t="s">
        <v>153</v>
      </c>
      <c r="F5" s="2" t="s">
        <v>152</v>
      </c>
      <c r="G5" s="2"/>
      <c r="H5" s="129" t="s">
        <v>12</v>
      </c>
      <c r="I5" s="130" t="s">
        <v>10</v>
      </c>
      <c r="J5" s="130" t="s">
        <v>427</v>
      </c>
      <c r="K5" s="130" t="s">
        <v>614</v>
      </c>
      <c r="L5" s="130" t="s">
        <v>18</v>
      </c>
      <c r="M5" s="88" t="s">
        <v>373</v>
      </c>
      <c r="N5" s="88" t="s">
        <v>22</v>
      </c>
      <c r="O5" s="88" t="s">
        <v>23</v>
      </c>
      <c r="P5" s="88" t="s">
        <v>24</v>
      </c>
      <c r="Q5" s="101"/>
      <c r="R5" s="89"/>
      <c r="S5" s="88" t="s">
        <v>29</v>
      </c>
      <c r="T5" s="88" t="s">
        <v>374</v>
      </c>
      <c r="U5" s="88" t="s">
        <v>32</v>
      </c>
      <c r="V5" s="88" t="s">
        <v>45</v>
      </c>
      <c r="W5" s="88" t="s">
        <v>47</v>
      </c>
      <c r="X5" s="109"/>
      <c r="Y5" s="90"/>
      <c r="Z5" s="88" t="s">
        <v>51</v>
      </c>
      <c r="AA5" s="88" t="s">
        <v>375</v>
      </c>
      <c r="AB5" s="88" t="s">
        <v>53</v>
      </c>
      <c r="AC5" s="88" t="s">
        <v>54</v>
      </c>
      <c r="AD5" s="88" t="s">
        <v>55</v>
      </c>
      <c r="AE5" s="101"/>
      <c r="AF5" s="128"/>
      <c r="AG5" s="88" t="s">
        <v>71</v>
      </c>
      <c r="AH5" s="88" t="s">
        <v>376</v>
      </c>
      <c r="AI5" s="88" t="s">
        <v>73</v>
      </c>
      <c r="AJ5" s="88" t="s">
        <v>74</v>
      </c>
      <c r="AK5" s="90"/>
      <c r="AL5" s="90"/>
    </row>
    <row r="6" spans="1:38" ht="31.5" customHeight="1" x14ac:dyDescent="0.3">
      <c r="A6" s="103"/>
      <c r="B6" s="91" t="s">
        <v>227</v>
      </c>
      <c r="C6" s="91" t="s">
        <v>227</v>
      </c>
      <c r="D6" s="168"/>
      <c r="E6" s="4"/>
      <c r="F6" s="4"/>
      <c r="G6" s="4"/>
      <c r="H6" s="181">
        <f>SUM(H8:H13)+H235</f>
        <v>4640676789</v>
      </c>
      <c r="I6" s="181">
        <f>SUM(I8:I13)+I235</f>
        <v>216793929</v>
      </c>
      <c r="J6" s="181">
        <f>SUM(J8:J13)+J235</f>
        <v>4857470718</v>
      </c>
      <c r="K6" s="181">
        <f t="shared" ref="K6:L6" si="0">SUM(K8:K13)</f>
        <v>190574922.68716913</v>
      </c>
      <c r="L6" s="181">
        <f t="shared" si="0"/>
        <v>4535667326.1599998</v>
      </c>
      <c r="M6" s="182">
        <f>L6/$H6</f>
        <v>0.97737195077043315</v>
      </c>
      <c r="N6" s="182">
        <f>M6-R6</f>
        <v>-6.698178400116106E-3</v>
      </c>
      <c r="O6" s="182">
        <f>(L6-Q6)/Q6</f>
        <v>-6.8066067666963945E-3</v>
      </c>
      <c r="P6" s="181">
        <f>SUM(P8:P13)</f>
        <v>2452</v>
      </c>
      <c r="Q6" s="181">
        <v>4566751407.1899996</v>
      </c>
      <c r="R6" s="182">
        <v>0.98407012917054926</v>
      </c>
      <c r="S6" s="181">
        <f>SUM(S8:S13)</f>
        <v>4535667326.1599998</v>
      </c>
      <c r="T6" s="182">
        <f>S6/$H6</f>
        <v>0.97737195077043315</v>
      </c>
      <c r="U6" s="183">
        <f>T6-Y6</f>
        <v>-6.698178400116106E-3</v>
      </c>
      <c r="V6" s="183">
        <f>(S6-X6)/X6</f>
        <v>-6.8066067666963945E-3</v>
      </c>
      <c r="W6" s="184">
        <f>SUM(W8:W13)</f>
        <v>2452</v>
      </c>
      <c r="X6" s="181">
        <v>4566751407.1899996</v>
      </c>
      <c r="Y6" s="182">
        <v>0.98407012917054926</v>
      </c>
      <c r="Z6" s="181">
        <f>SUM(Z8:Z13)</f>
        <v>4535667326.1599998</v>
      </c>
      <c r="AA6" s="182">
        <f>Z6/$H6</f>
        <v>0.97737195077043315</v>
      </c>
      <c r="AB6" s="182">
        <f>AA6-AF6</f>
        <v>-6.698178400116106E-3</v>
      </c>
      <c r="AC6" s="182">
        <f t="shared" ref="AC6:AC75" si="1">IFERROR(((Z6-AE6)/AE6),0)</f>
        <v>-6.8066067666963945E-3</v>
      </c>
      <c r="AD6" s="181">
        <f>SUM(AD8:AD13)</f>
        <v>2452</v>
      </c>
      <c r="AE6" s="181">
        <v>4566751407.1899996</v>
      </c>
      <c r="AF6" s="182">
        <v>0.98407012917054926</v>
      </c>
      <c r="AG6" s="181">
        <f>SUM(AG8:AG13)</f>
        <v>4510201350.6800003</v>
      </c>
      <c r="AH6" s="182">
        <f>AG6/$H6</f>
        <v>0.9718843943992671</v>
      </c>
      <c r="AI6" s="182">
        <f>AH6-AL6</f>
        <v>5.941206477755312E-5</v>
      </c>
      <c r="AJ6" s="182">
        <f>IFERROR(((AG6-AK6)/AK6),0)</f>
        <v>6.113453127619494E-5</v>
      </c>
      <c r="AK6" s="181">
        <v>4509925638.4900007</v>
      </c>
      <c r="AL6" s="182">
        <v>0.97182498233448955</v>
      </c>
    </row>
    <row r="7" spans="1:38" ht="7.5" customHeight="1" x14ac:dyDescent="0.3">
      <c r="A7" s="100"/>
      <c r="B7" s="6"/>
      <c r="C7" s="6"/>
      <c r="D7" s="2"/>
      <c r="E7" s="6"/>
      <c r="F7" s="6"/>
      <c r="G7" s="6"/>
      <c r="H7" s="185"/>
      <c r="I7" s="185"/>
      <c r="J7" s="185"/>
      <c r="K7" s="185"/>
      <c r="L7" s="185"/>
      <c r="M7" s="186"/>
      <c r="N7" s="186"/>
      <c r="O7" s="186"/>
      <c r="P7" s="185"/>
      <c r="Q7" s="185"/>
      <c r="R7" s="186"/>
      <c r="S7" s="185"/>
      <c r="T7" s="186"/>
      <c r="U7" s="186"/>
      <c r="V7" s="186"/>
      <c r="W7" s="185"/>
      <c r="X7" s="185"/>
      <c r="Y7" s="186"/>
      <c r="Z7" s="185"/>
      <c r="AA7" s="186"/>
      <c r="AB7" s="186"/>
      <c r="AC7" s="186"/>
      <c r="AD7" s="185"/>
      <c r="AE7" s="185"/>
      <c r="AF7" s="186"/>
      <c r="AG7" s="185"/>
      <c r="AH7" s="186"/>
      <c r="AI7" s="186"/>
      <c r="AJ7" s="186"/>
      <c r="AK7" s="185"/>
      <c r="AL7" s="186"/>
    </row>
    <row r="8" spans="1:38" ht="20.25" x14ac:dyDescent="0.3">
      <c r="A8" s="103"/>
      <c r="B8" s="4" t="s">
        <v>231</v>
      </c>
      <c r="C8" s="4" t="s">
        <v>231</v>
      </c>
      <c r="D8" s="5" t="s">
        <v>253</v>
      </c>
      <c r="E8" s="4"/>
      <c r="F8" s="4"/>
      <c r="G8" s="4"/>
      <c r="H8" s="181">
        <f>SUMIF(E15:E237,"ESF",H15:H237)</f>
        <v>675925610</v>
      </c>
      <c r="I8" s="181">
        <f>SUMIF(E15:E237,"ESF",I15:I237)</f>
        <v>1589796</v>
      </c>
      <c r="J8" s="181">
        <f>SUMIF(E15:E237,"ESF",J15:J237)</f>
        <v>677515406</v>
      </c>
      <c r="K8" s="181">
        <f>K58+K126-K9+K148+K153+K166+K168+K173+K185+K207</f>
        <v>18276798.709648199</v>
      </c>
      <c r="L8" s="181">
        <f>SUMIF(E15:E237,"ESF",L15:L237)</f>
        <v>667741575.72000027</v>
      </c>
      <c r="M8" s="182">
        <f>L8/$H8</f>
        <v>0.98789210800875005</v>
      </c>
      <c r="N8" s="182">
        <f>M8-R8</f>
        <v>0</v>
      </c>
      <c r="O8" s="182">
        <f>(L8-Q8)/Q8</f>
        <v>0</v>
      </c>
      <c r="P8" s="181">
        <f>SUMIF(E15:E237,"ESF",P15:P237)</f>
        <v>325</v>
      </c>
      <c r="Q8" s="181">
        <v>667741575.72000027</v>
      </c>
      <c r="R8" s="182">
        <v>0.98789210800875005</v>
      </c>
      <c r="S8" s="181">
        <f>SUMIF(E15:E237,"ESF",S15:S237)</f>
        <v>667741575.72000027</v>
      </c>
      <c r="T8" s="182">
        <f>S8/$H8</f>
        <v>0.98789210800875005</v>
      </c>
      <c r="U8" s="182">
        <f>T8-Y8</f>
        <v>0</v>
      </c>
      <c r="V8" s="182">
        <f t="shared" ref="V8:V15" si="2">(S8-X8)/X8</f>
        <v>0</v>
      </c>
      <c r="W8" s="181">
        <f>SUMIF(E15:E237,"ESF",W15:W237)</f>
        <v>325</v>
      </c>
      <c r="X8" s="181">
        <v>667741575.72000027</v>
      </c>
      <c r="Y8" s="182">
        <v>0.98789210800875005</v>
      </c>
      <c r="Z8" s="181">
        <f>SUMIF(E15:E237,"ESF",Z15:Z237)</f>
        <v>667741575.72000027</v>
      </c>
      <c r="AA8" s="182">
        <f>Z8/$H8</f>
        <v>0.98789210800875005</v>
      </c>
      <c r="AB8" s="182">
        <f>AA8-AF8</f>
        <v>0</v>
      </c>
      <c r="AC8" s="182">
        <f t="shared" si="1"/>
        <v>0</v>
      </c>
      <c r="AD8" s="181">
        <f>SUMIF(E15:E237,"ESF",AD15:AD237)</f>
        <v>325</v>
      </c>
      <c r="AE8" s="181">
        <v>667741575.72000027</v>
      </c>
      <c r="AF8" s="182">
        <v>0.98789210800875005</v>
      </c>
      <c r="AG8" s="181">
        <f>SUMIF(E15:E237,"ESF",AG15:AG237)</f>
        <v>666918626.21000016</v>
      </c>
      <c r="AH8" s="182">
        <f>AG8/$H8</f>
        <v>0.98667459309612515</v>
      </c>
      <c r="AI8" s="182">
        <f>AH8-AL8</f>
        <v>0</v>
      </c>
      <c r="AJ8" s="182">
        <f t="shared" ref="AJ8:AJ77" si="3">IFERROR(((AG8-AK8)/AK8),0)</f>
        <v>0</v>
      </c>
      <c r="AK8" s="181">
        <v>666918626.21000016</v>
      </c>
      <c r="AL8" s="182">
        <v>0.98667459309612515</v>
      </c>
    </row>
    <row r="9" spans="1:38" ht="20.25" x14ac:dyDescent="0.3">
      <c r="A9" s="103"/>
      <c r="B9" s="16" t="s">
        <v>232</v>
      </c>
      <c r="C9" s="16" t="s">
        <v>232</v>
      </c>
      <c r="D9" s="5" t="s">
        <v>253</v>
      </c>
      <c r="E9" s="4"/>
      <c r="F9" s="4"/>
      <c r="G9" s="4"/>
      <c r="H9" s="181">
        <f>SUMIF(E15:E237,"JNI",H15:H237)</f>
        <v>29010639</v>
      </c>
      <c r="I9" s="181">
        <f>SUMIF(E15:E237,"JNI",I15:I237)</f>
        <v>0</v>
      </c>
      <c r="J9" s="181">
        <f>SUMIF(E15:E237,"JNI",J15:J237)</f>
        <v>29010639</v>
      </c>
      <c r="K9" s="181">
        <f>K135+K137</f>
        <v>0</v>
      </c>
      <c r="L9" s="181">
        <f>SUMIF(E15:E237,"JNI",L15:L237)</f>
        <v>28810403.620000001</v>
      </c>
      <c r="M9" s="182">
        <f>L9/$H9</f>
        <v>0.99309786385608401</v>
      </c>
      <c r="N9" s="182">
        <f>M9-R9</f>
        <v>0</v>
      </c>
      <c r="O9" s="182">
        <f>(L9-Q9)/Q9</f>
        <v>0</v>
      </c>
      <c r="P9" s="181">
        <f>SUMIF(E15:E237,"JNI",P15:P237)</f>
        <v>2</v>
      </c>
      <c r="Q9" s="181">
        <v>28810403.620000001</v>
      </c>
      <c r="R9" s="182">
        <v>0.99309786385608401</v>
      </c>
      <c r="S9" s="181">
        <f>SUMIF(E15:E237,"JNI",S15:S237)</f>
        <v>28810403.620000001</v>
      </c>
      <c r="T9" s="182">
        <f>S9/$H9</f>
        <v>0.99309786385608401</v>
      </c>
      <c r="U9" s="182">
        <f>T9-Y9</f>
        <v>0</v>
      </c>
      <c r="V9" s="182">
        <f t="shared" si="2"/>
        <v>0</v>
      </c>
      <c r="W9" s="181">
        <f>SUMIF(E15:E237,"JNI",W15:W237)</f>
        <v>2</v>
      </c>
      <c r="X9" s="181">
        <v>28810403.620000001</v>
      </c>
      <c r="Y9" s="182">
        <v>0.99309786385608401</v>
      </c>
      <c r="Z9" s="187">
        <f>SUMIF(E15:E237,"JNI",Z15:Z237)</f>
        <v>28810403.620000001</v>
      </c>
      <c r="AA9" s="182">
        <f>Z9/$H9</f>
        <v>0.99309786385608401</v>
      </c>
      <c r="AB9" s="182">
        <f>AA9-AF9</f>
        <v>0</v>
      </c>
      <c r="AC9" s="182">
        <f t="shared" si="1"/>
        <v>0</v>
      </c>
      <c r="AD9" s="181">
        <f>SUMIF(E15:E237,"JNI",AD15:AD237)</f>
        <v>2</v>
      </c>
      <c r="AE9" s="188">
        <v>28810403.620000001</v>
      </c>
      <c r="AF9" s="182">
        <v>0.99309786385608401</v>
      </c>
      <c r="AG9" s="181">
        <f>SUMIF(E15:E237,"JNI",AG15:AG237)</f>
        <v>28810403.620000001</v>
      </c>
      <c r="AH9" s="182">
        <f>AG9/$H9</f>
        <v>0.99309786385608401</v>
      </c>
      <c r="AI9" s="182">
        <f>AH9-AL9</f>
        <v>0</v>
      </c>
      <c r="AJ9" s="182">
        <f t="shared" si="3"/>
        <v>0</v>
      </c>
      <c r="AK9" s="181">
        <v>28810403.620000001</v>
      </c>
      <c r="AL9" s="182">
        <v>0.99309786385608401</v>
      </c>
    </row>
    <row r="10" spans="1:38" ht="20.25" x14ac:dyDescent="0.3">
      <c r="A10" s="103"/>
      <c r="B10" s="4" t="s">
        <v>229</v>
      </c>
      <c r="C10" s="4" t="s">
        <v>229</v>
      </c>
      <c r="D10" s="5" t="s">
        <v>253</v>
      </c>
      <c r="E10" s="4"/>
      <c r="F10" s="4"/>
      <c r="G10" s="4"/>
      <c r="H10" s="181">
        <f>SUMIF(E15:E237,"ERAF",H15:H237)</f>
        <v>2465883158</v>
      </c>
      <c r="I10" s="181">
        <f>SUMIF(E15:E237,"ERAF",I15:I237)</f>
        <v>27390925</v>
      </c>
      <c r="J10" s="181">
        <f>SUMIF(E15:E237,"ERAF",J15:J237)</f>
        <v>2493274083</v>
      </c>
      <c r="K10" s="181">
        <f>K15+K32+K40+K52+K56+K67+K74+K81+K92+K100+K102+K125+K143+K201+K212</f>
        <v>104744861.36031561</v>
      </c>
      <c r="L10" s="181">
        <f>SUMIF(E15:E237,"ERAF",L15:L237)</f>
        <v>2353252208.1399999</v>
      </c>
      <c r="M10" s="182">
        <f>L10/$H10</f>
        <v>0.95432429574183408</v>
      </c>
      <c r="N10" s="182">
        <f>M10-R10</f>
        <v>-1.2605658515957852E-2</v>
      </c>
      <c r="O10" s="182">
        <f>(L10-Q10)/Q10</f>
        <v>-1.3036785612494398E-2</v>
      </c>
      <c r="P10" s="181">
        <f>SUMIF(E15:E237,"ERAF",P15:P237)</f>
        <v>1601</v>
      </c>
      <c r="Q10" s="181">
        <v>2384336289.1699996</v>
      </c>
      <c r="R10" s="182">
        <v>0.96692995425779193</v>
      </c>
      <c r="S10" s="181">
        <f>SUMIF(E15:E237,"ERAF",S15:S237)</f>
        <v>2353252208.1399999</v>
      </c>
      <c r="T10" s="182">
        <f>S10/$H10</f>
        <v>0.95432429574183408</v>
      </c>
      <c r="U10" s="182">
        <f>T10-Y10</f>
        <v>-1.2605658515957852E-2</v>
      </c>
      <c r="V10" s="182">
        <f t="shared" si="2"/>
        <v>-1.3036785612494398E-2</v>
      </c>
      <c r="W10" s="181">
        <f>SUMIF(E15:E237,"ERAF",W15:W237)</f>
        <v>1601</v>
      </c>
      <c r="X10" s="181">
        <v>2384336289.1699996</v>
      </c>
      <c r="Y10" s="182">
        <v>0.96692995425779193</v>
      </c>
      <c r="Z10" s="181">
        <f>SUMIF(E15:E237,"ERAF",Z15:Z237)</f>
        <v>2353252208.1399999</v>
      </c>
      <c r="AA10" s="182">
        <f>Z10/$H10</f>
        <v>0.95432429574183408</v>
      </c>
      <c r="AB10" s="182">
        <f>AA10-AF10</f>
        <v>-1.2605658515957852E-2</v>
      </c>
      <c r="AC10" s="182">
        <f t="shared" si="1"/>
        <v>-1.3036785612494398E-2</v>
      </c>
      <c r="AD10" s="181">
        <f>SUMIF(E15:E237,"ERAF",AD15:AD237)</f>
        <v>1601</v>
      </c>
      <c r="AE10" s="181">
        <v>2384336289.1699996</v>
      </c>
      <c r="AF10" s="182">
        <v>0.96692995425779193</v>
      </c>
      <c r="AG10" s="181">
        <f>SUMIF(E15:E237,"ERAF",AG15:AG237)</f>
        <v>2328229938.21</v>
      </c>
      <c r="AH10" s="182">
        <f>AG10/$H10</f>
        <v>0.94417690905450435</v>
      </c>
      <c r="AI10" s="182">
        <f>AH10-AL10</f>
        <v>1.1606883686743341E-4</v>
      </c>
      <c r="AJ10" s="182">
        <f t="shared" si="3"/>
        <v>1.2294635252604825E-4</v>
      </c>
      <c r="AK10" s="181">
        <v>2327943726.02</v>
      </c>
      <c r="AL10" s="182">
        <v>0.94406084021763692</v>
      </c>
    </row>
    <row r="11" spans="1:38" ht="20.25" x14ac:dyDescent="0.3">
      <c r="A11" s="103"/>
      <c r="B11" s="4" t="s">
        <v>230</v>
      </c>
      <c r="C11" s="4" t="s">
        <v>230</v>
      </c>
      <c r="D11" s="5" t="s">
        <v>253</v>
      </c>
      <c r="E11" s="4"/>
      <c r="F11" s="4"/>
      <c r="G11" s="4"/>
      <c r="H11" s="181">
        <f>SUMIF(E15:E237,"KF",H15:H237)</f>
        <v>1238174873</v>
      </c>
      <c r="I11" s="181">
        <f>SUMIF(E15:E237,"KF",I15:I237)</f>
        <v>195212967</v>
      </c>
      <c r="J11" s="181">
        <f>SUMIF(E15:E237,"KF",J15:J237)</f>
        <v>1433387840</v>
      </c>
      <c r="K11" s="181">
        <f>K65+K72+K76+K84+K89+K94+K106-K124+K214+K98</f>
        <v>67553262.617205307</v>
      </c>
      <c r="L11" s="181">
        <f>SUMIF(E15:E237,"KF",L15:L237)</f>
        <v>1291746455.01</v>
      </c>
      <c r="M11" s="182">
        <f>L11/$H11</f>
        <v>1.0432665717728549</v>
      </c>
      <c r="N11" s="182">
        <f>M11-R11</f>
        <v>0</v>
      </c>
      <c r="O11" s="182">
        <f>(L11-Q11)/Q11</f>
        <v>0</v>
      </c>
      <c r="P11" s="181">
        <f>SUMIF(E15:E237,"KF",P15:P237)</f>
        <v>394</v>
      </c>
      <c r="Q11" s="181">
        <v>1291746455.01</v>
      </c>
      <c r="R11" s="182">
        <v>1.0432665717728549</v>
      </c>
      <c r="S11" s="181">
        <f>SUMIF(E15:E237,"KF",S15:S237)</f>
        <v>1291746455.01</v>
      </c>
      <c r="T11" s="182">
        <f>S11/$H11</f>
        <v>1.0432665717728549</v>
      </c>
      <c r="U11" s="182">
        <f>T11-Y11</f>
        <v>0</v>
      </c>
      <c r="V11" s="182">
        <f t="shared" si="2"/>
        <v>0</v>
      </c>
      <c r="W11" s="181">
        <f>SUMIF(E15:E237,"KF",W15:W237)</f>
        <v>394</v>
      </c>
      <c r="X11" s="181">
        <v>1291746455.01</v>
      </c>
      <c r="Y11" s="182">
        <v>1.0432665717728549</v>
      </c>
      <c r="Z11" s="181">
        <f>SUMIF(E15:E237,"KF",Z15:Z237)</f>
        <v>1291746455.01</v>
      </c>
      <c r="AA11" s="182">
        <f>Z11/$H11</f>
        <v>1.0432665717728549</v>
      </c>
      <c r="AB11" s="182">
        <f>AA11-AF11</f>
        <v>0</v>
      </c>
      <c r="AC11" s="182">
        <f t="shared" si="1"/>
        <v>0</v>
      </c>
      <c r="AD11" s="181">
        <f>SUMIF(E15:E237,"KF",AD15:AD237)</f>
        <v>394</v>
      </c>
      <c r="AE11" s="181">
        <v>1291746455.01</v>
      </c>
      <c r="AF11" s="182">
        <v>1.0432665717728549</v>
      </c>
      <c r="AG11" s="181">
        <f>SUMIF(E15:E237,"KF",AG15:AG237)</f>
        <v>1294530264.4199998</v>
      </c>
      <c r="AH11" s="182">
        <f>AG11/$H11</f>
        <v>1.0455148886065304</v>
      </c>
      <c r="AI11" s="182">
        <f>AH11-AL11</f>
        <v>-8.4802237785286394E-6</v>
      </c>
      <c r="AJ11" s="182">
        <f t="shared" si="3"/>
        <v>-8.1109844421966675E-6</v>
      </c>
      <c r="AK11" s="181">
        <v>1294540764.4199998</v>
      </c>
      <c r="AL11" s="182">
        <v>1.0455233688303089</v>
      </c>
    </row>
    <row r="12" spans="1:38" ht="20.25" x14ac:dyDescent="0.3">
      <c r="A12" s="103"/>
      <c r="B12" s="4" t="s">
        <v>1348</v>
      </c>
      <c r="C12" s="4"/>
      <c r="D12" s="5"/>
      <c r="E12" s="4"/>
      <c r="F12" s="4"/>
      <c r="G12" s="4"/>
      <c r="H12" s="181">
        <f>SUMIF(E15:E237,"ReactEU ERAF",H15:H237)</f>
        <v>199954500</v>
      </c>
      <c r="I12" s="181">
        <f>SUMIF(E15:E237,"ReactEU ERAF",I15:I237)</f>
        <v>1</v>
      </c>
      <c r="J12" s="181">
        <f>SUMIF(E15:E237,"ReactEU ERAF",J15:J237)</f>
        <v>199954501</v>
      </c>
      <c r="K12" s="181">
        <v>0</v>
      </c>
      <c r="L12" s="181">
        <f>SUMIF(E15:E237,"ReactEU ERAF",L15:L237)</f>
        <v>172648849.45000002</v>
      </c>
      <c r="M12" s="182">
        <f t="shared" ref="M12:M13" si="4">L12/$H12</f>
        <v>0.8634406800047012</v>
      </c>
      <c r="N12" s="182">
        <f t="shared" ref="N12:N13" si="5">M12-R12</f>
        <v>0</v>
      </c>
      <c r="O12" s="182">
        <f>IFERROR((L12-Q12)/Q12,0)</f>
        <v>0</v>
      </c>
      <c r="P12" s="181">
        <f>SUMIF(E15:E237,"ReactEU ERAF",P15:P237)</f>
        <v>126</v>
      </c>
      <c r="Q12" s="181">
        <v>172648849.45000002</v>
      </c>
      <c r="R12" s="181">
        <v>0.8634406800047012</v>
      </c>
      <c r="S12" s="181">
        <f>SUMIF(E15:E237,"ReactEU ERAF",S15:S237)</f>
        <v>172648849.45000002</v>
      </c>
      <c r="T12" s="182">
        <f t="shared" ref="T12:T13" si="6">S12/$H12</f>
        <v>0.8634406800047012</v>
      </c>
      <c r="U12" s="182">
        <f t="shared" ref="U12:U13" si="7">T12-Y12</f>
        <v>0</v>
      </c>
      <c r="V12" s="182">
        <f>IFERROR((S12-X12)/X12,0)</f>
        <v>0</v>
      </c>
      <c r="W12" s="181">
        <f>SUMIF(E15:E237,"ReactEU ERAF",W15:W237)</f>
        <v>126</v>
      </c>
      <c r="X12" s="181">
        <v>172648849.45000002</v>
      </c>
      <c r="Y12" s="182">
        <v>0.8634406800047012</v>
      </c>
      <c r="Z12" s="181">
        <f>SUMIF(E15:E237,"ReactEU ERAF",Z15:Z237)</f>
        <v>172648849.45000002</v>
      </c>
      <c r="AA12" s="182">
        <f t="shared" ref="AA12:AA13" si="8">Z12/$H12</f>
        <v>0.8634406800047012</v>
      </c>
      <c r="AB12" s="182">
        <f t="shared" ref="AB12:AB13" si="9">AA12-AF12</f>
        <v>0</v>
      </c>
      <c r="AC12" s="182">
        <f t="shared" ref="AC12:AC13" si="10">IFERROR(((Z12-AE12)/AE12),0)</f>
        <v>0</v>
      </c>
      <c r="AD12" s="181">
        <f>SUMIF(E15:E237,"ReactEU ERAF",AD15:AD237)</f>
        <v>126</v>
      </c>
      <c r="AE12" s="181">
        <v>172648849.45000002</v>
      </c>
      <c r="AF12" s="181">
        <v>0.8634406800047012</v>
      </c>
      <c r="AG12" s="181">
        <f>SUMIF(E15:E237,"ReactEU ERAF",AG15:AG237)</f>
        <v>170583248.70000002</v>
      </c>
      <c r="AH12" s="182">
        <f t="shared" ref="AH12:AH13" si="11">AG12/$H12</f>
        <v>0.85311032609918769</v>
      </c>
      <c r="AI12" s="182">
        <f t="shared" ref="AI12:AI13" si="12">AH12-AL12</f>
        <v>0</v>
      </c>
      <c r="AJ12" s="182">
        <f t="shared" ref="AJ12:AJ13" si="13">IFERROR(((AG12-AK12)/AK12),0)</f>
        <v>0</v>
      </c>
      <c r="AK12" s="181">
        <v>170583248.70000002</v>
      </c>
      <c r="AL12" s="182">
        <v>0.85311032609918769</v>
      </c>
    </row>
    <row r="13" spans="1:38" ht="20.25" x14ac:dyDescent="0.3">
      <c r="A13" s="103"/>
      <c r="B13" s="4" t="s">
        <v>1349</v>
      </c>
      <c r="C13" s="4"/>
      <c r="D13" s="5"/>
      <c r="E13" s="4"/>
      <c r="F13" s="4"/>
      <c r="G13" s="4"/>
      <c r="H13" s="181">
        <f>SUMIF(E15:E237,"ReactEU ESF",H15:H237)</f>
        <v>22489087</v>
      </c>
      <c r="I13" s="181">
        <f>SUMIF(E15:E237,"ReactEU ESF",I15:I237)</f>
        <v>0</v>
      </c>
      <c r="J13" s="181">
        <f>SUMIF(E15:E237,"ReactEU ESF",J15:J237)</f>
        <v>22489087</v>
      </c>
      <c r="K13" s="181">
        <v>0</v>
      </c>
      <c r="L13" s="181">
        <f>SUMIF(E15:E237,"ReactEU ESF",L15:L237)</f>
        <v>21467834.219999999</v>
      </c>
      <c r="M13" s="182">
        <f t="shared" si="4"/>
        <v>0.95458896219308498</v>
      </c>
      <c r="N13" s="182">
        <f t="shared" si="5"/>
        <v>0</v>
      </c>
      <c r="O13" s="182">
        <f>IFERROR((L13-Q13)/Q13,0)</f>
        <v>0</v>
      </c>
      <c r="P13" s="181">
        <f>SUMIF(E15:E237,"ReactEU ESF",P15:P237)</f>
        <v>4</v>
      </c>
      <c r="Q13" s="181">
        <v>21467834.219999999</v>
      </c>
      <c r="R13" s="181">
        <v>0.95458896219308498</v>
      </c>
      <c r="S13" s="181">
        <f>SUMIF(E15:E237,"ReactEU ESF",S15:S237)</f>
        <v>21467834.219999999</v>
      </c>
      <c r="T13" s="182">
        <f t="shared" si="6"/>
        <v>0.95458896219308498</v>
      </c>
      <c r="U13" s="182">
        <f t="shared" si="7"/>
        <v>0</v>
      </c>
      <c r="V13" s="182">
        <f>IFERROR((S13-X13)/X13,0)</f>
        <v>0</v>
      </c>
      <c r="W13" s="181">
        <f>SUMIF(E15:E237,"ReactEU ESF",W15:W237)</f>
        <v>4</v>
      </c>
      <c r="X13" s="181">
        <v>21467834.219999999</v>
      </c>
      <c r="Y13" s="182">
        <v>0.95458896219308498</v>
      </c>
      <c r="Z13" s="181">
        <f>SUMIF(E15:E237,"ReactEU ESF",Z15:Z237)</f>
        <v>21467834.219999999</v>
      </c>
      <c r="AA13" s="182">
        <f t="shared" si="8"/>
        <v>0.95458896219308498</v>
      </c>
      <c r="AB13" s="182">
        <f t="shared" si="9"/>
        <v>0</v>
      </c>
      <c r="AC13" s="182">
        <f t="shared" si="10"/>
        <v>0</v>
      </c>
      <c r="AD13" s="181">
        <f>SUMIF(E15:E237,"ReactEU ESF",AD15:AD237)</f>
        <v>4</v>
      </c>
      <c r="AE13" s="181">
        <v>21467834.219999999</v>
      </c>
      <c r="AF13" s="181">
        <v>0.95458896219308498</v>
      </c>
      <c r="AG13" s="181">
        <f>SUMIF(E15:E237,"ReactEU ESF",AG15:AG237)</f>
        <v>21128869.52</v>
      </c>
      <c r="AH13" s="182">
        <f t="shared" si="11"/>
        <v>0.93951655396237288</v>
      </c>
      <c r="AI13" s="182">
        <f t="shared" si="12"/>
        <v>0</v>
      </c>
      <c r="AJ13" s="182">
        <f t="shared" si="13"/>
        <v>0</v>
      </c>
      <c r="AK13" s="181">
        <v>21128869.52</v>
      </c>
      <c r="AL13" s="182">
        <v>0.93951655396237288</v>
      </c>
    </row>
    <row r="14" spans="1:38" ht="9" customHeight="1" x14ac:dyDescent="0.3">
      <c r="A14" s="100"/>
      <c r="B14" s="25"/>
      <c r="C14" s="99"/>
      <c r="D14" s="2"/>
      <c r="E14" s="6"/>
      <c r="F14" s="6"/>
      <c r="G14" s="6"/>
      <c r="H14" s="185"/>
      <c r="I14" s="185"/>
      <c r="J14" s="185"/>
      <c r="K14" s="185"/>
      <c r="L14" s="185"/>
      <c r="M14" s="186"/>
      <c r="N14" s="186"/>
      <c r="O14" s="186"/>
      <c r="P14" s="185"/>
      <c r="Q14" s="185"/>
      <c r="R14" s="186"/>
      <c r="S14" s="185"/>
      <c r="T14" s="186"/>
      <c r="U14" s="186"/>
      <c r="V14" s="186"/>
      <c r="W14" s="185"/>
      <c r="X14" s="185"/>
      <c r="Y14" s="186"/>
      <c r="Z14" s="185"/>
      <c r="AA14" s="186"/>
      <c r="AB14" s="186"/>
      <c r="AC14" s="186"/>
      <c r="AD14" s="185"/>
      <c r="AE14" s="185"/>
      <c r="AF14" s="186"/>
      <c r="AG14" s="185"/>
      <c r="AH14" s="186"/>
      <c r="AI14" s="186"/>
      <c r="AJ14" s="186"/>
      <c r="AK14" s="185"/>
      <c r="AL14" s="186"/>
    </row>
    <row r="15" spans="1:38" ht="22.5" customHeight="1" x14ac:dyDescent="0.3">
      <c r="A15" s="247" t="s">
        <v>0</v>
      </c>
      <c r="B15" s="248" t="str">
        <f>VLOOKUP(A15,saīsinājumi_LV_ENG!A:G,5,FALSE)</f>
        <v>P&amp;A&amp;I</v>
      </c>
      <c r="C15" s="8" t="s">
        <v>1</v>
      </c>
      <c r="D15" s="225"/>
      <c r="E15" s="225"/>
      <c r="F15" s="225"/>
      <c r="G15" s="225"/>
      <c r="H15" s="226">
        <f>H16+H23</f>
        <v>448221139</v>
      </c>
      <c r="I15" s="226">
        <f>I16+I23</f>
        <v>2927032</v>
      </c>
      <c r="J15" s="226">
        <f>J16+J23</f>
        <v>451148171</v>
      </c>
      <c r="K15" s="226">
        <f>K16+K23</f>
        <v>13053849.871961923</v>
      </c>
      <c r="L15" s="226">
        <f>L16+L23</f>
        <v>419955774.01999998</v>
      </c>
      <c r="M15" s="227">
        <f t="shared" ref="M15:M80" si="14">L15/$H15</f>
        <v>0.93693879533869995</v>
      </c>
      <c r="N15" s="227">
        <f t="shared" ref="N15:N81" si="15">M15-R15</f>
        <v>-1.1557176668546165E-2</v>
      </c>
      <c r="O15" s="227">
        <f>IFERROR(((L15-Q15)/Q15),0)</f>
        <v>-1.2184739850911954E-2</v>
      </c>
      <c r="P15" s="226">
        <f>P16+P23</f>
        <v>330</v>
      </c>
      <c r="Q15" s="175">
        <v>425135944.90999997</v>
      </c>
      <c r="R15" s="176">
        <v>0.94849597200724611</v>
      </c>
      <c r="S15" s="226">
        <f>S16+S23</f>
        <v>419955774.01999998</v>
      </c>
      <c r="T15" s="227">
        <f t="shared" ref="T15:T80" si="16">S15/$H15</f>
        <v>0.93693879533869995</v>
      </c>
      <c r="U15" s="227">
        <f t="shared" ref="U15:U81" si="17">T15-Y15</f>
        <v>-1.1557176668546165E-2</v>
      </c>
      <c r="V15" s="227">
        <f t="shared" si="2"/>
        <v>-1.2184739850911954E-2</v>
      </c>
      <c r="W15" s="226">
        <f>W16+W23</f>
        <v>330</v>
      </c>
      <c r="X15" s="226">
        <v>425135944.90999997</v>
      </c>
      <c r="Y15" s="227">
        <v>0.94849597200724611</v>
      </c>
      <c r="Z15" s="226">
        <f>Z16+Z23</f>
        <v>419955774.01999998</v>
      </c>
      <c r="AA15" s="227">
        <f t="shared" ref="AA15:AA80" si="18">Z15/$H15</f>
        <v>0.93693879533869995</v>
      </c>
      <c r="AB15" s="227">
        <f t="shared" ref="AB15:AB81" si="19">AA15-AF15</f>
        <v>-1.1557176668546165E-2</v>
      </c>
      <c r="AC15" s="227">
        <f t="shared" si="1"/>
        <v>-1.2184739850911954E-2</v>
      </c>
      <c r="AD15" s="226">
        <f>AD16+AD23</f>
        <v>330</v>
      </c>
      <c r="AE15" s="175">
        <v>425135944.90999997</v>
      </c>
      <c r="AF15" s="176">
        <v>0.94849597200724611</v>
      </c>
      <c r="AG15" s="226">
        <f>AG16+AG23</f>
        <v>407819159.95000005</v>
      </c>
      <c r="AH15" s="227">
        <f t="shared" ref="AH15:AH80" si="20">AG15/$H15</f>
        <v>0.90986150465786053</v>
      </c>
      <c r="AI15" s="227">
        <f t="shared" ref="AI15:AI81" si="21">AH15-AL15</f>
        <v>4.4105249127945889E-4</v>
      </c>
      <c r="AJ15" s="227">
        <f t="shared" si="3"/>
        <v>4.8498193572479832E-4</v>
      </c>
      <c r="AK15" s="226">
        <v>407621470.89999998</v>
      </c>
      <c r="AL15" s="227">
        <v>0.90942045216658107</v>
      </c>
    </row>
    <row r="16" spans="1:38" ht="39.75" customHeight="1" x14ac:dyDescent="0.3">
      <c r="A16" s="249" t="s">
        <v>4</v>
      </c>
      <c r="B16" s="250" t="str">
        <f>VLOOKUP(A16,saīsinājumi_LV_ENG!A:G,5,FALSE)</f>
        <v>Uzlabot P&amp;I infrastruktūru un attīstīt izcilību</v>
      </c>
      <c r="C16" s="215" t="s">
        <v>5</v>
      </c>
      <c r="D16" s="215" t="str">
        <f>IFERROR(IF((VLOOKUP(A16,Pasākumu_līmenis!A:H,3,0))=0,"",VLOOKUP(A16,Pasākumu_līmenis!A:H,3,0)),"")</f>
        <v/>
      </c>
      <c r="E16" s="216"/>
      <c r="F16" s="217"/>
      <c r="G16" s="217"/>
      <c r="H16" s="218">
        <f>H17</f>
        <v>284965533</v>
      </c>
      <c r="I16" s="218">
        <f>I17</f>
        <v>2927032</v>
      </c>
      <c r="J16" s="218">
        <f>J17</f>
        <v>287892565</v>
      </c>
      <c r="K16" s="218">
        <f>K17</f>
        <v>0</v>
      </c>
      <c r="L16" s="218">
        <f>L17</f>
        <v>275263565.81</v>
      </c>
      <c r="M16" s="219">
        <f>L16/$H16</f>
        <v>0.96595389243091379</v>
      </c>
      <c r="N16" s="219">
        <f t="shared" si="15"/>
        <v>0</v>
      </c>
      <c r="O16" s="219">
        <f t="shared" ref="O16:O83" si="22">IFERROR(((L16-Q16)/Q16),0)</f>
        <v>0</v>
      </c>
      <c r="P16" s="218">
        <f>P17</f>
        <v>260</v>
      </c>
      <c r="Q16" s="218">
        <v>275263565.81</v>
      </c>
      <c r="R16" s="219">
        <v>0.96595389243091379</v>
      </c>
      <c r="S16" s="218">
        <f>S17</f>
        <v>275263565.81</v>
      </c>
      <c r="T16" s="219">
        <f t="shared" si="16"/>
        <v>0.96595389243091379</v>
      </c>
      <c r="U16" s="219">
        <f t="shared" si="17"/>
        <v>0</v>
      </c>
      <c r="V16" s="219">
        <f t="shared" ref="V16:V83" si="23">IFERROR(((S16-X16)/X16),0)</f>
        <v>0</v>
      </c>
      <c r="W16" s="218">
        <f>W17</f>
        <v>260</v>
      </c>
      <c r="X16" s="218">
        <v>275263565.81</v>
      </c>
      <c r="Y16" s="219">
        <v>0.96595389243091379</v>
      </c>
      <c r="Z16" s="218">
        <f>Z17</f>
        <v>275263565.81</v>
      </c>
      <c r="AA16" s="219">
        <f t="shared" si="18"/>
        <v>0.96595389243091379</v>
      </c>
      <c r="AB16" s="219">
        <f t="shared" si="19"/>
        <v>0</v>
      </c>
      <c r="AC16" s="219">
        <f t="shared" si="1"/>
        <v>0</v>
      </c>
      <c r="AD16" s="218">
        <f>AD17</f>
        <v>260</v>
      </c>
      <c r="AE16" s="218">
        <v>275263565.81</v>
      </c>
      <c r="AF16" s="219">
        <v>0.96595389243091379</v>
      </c>
      <c r="AG16" s="218">
        <f>AG17</f>
        <v>271919675.92000002</v>
      </c>
      <c r="AH16" s="219">
        <f t="shared" si="20"/>
        <v>0.95421952633127749</v>
      </c>
      <c r="AI16" s="219">
        <f t="shared" si="21"/>
        <v>0</v>
      </c>
      <c r="AJ16" s="219">
        <f t="shared" si="3"/>
        <v>0</v>
      </c>
      <c r="AK16" s="218">
        <v>271919675.92000002</v>
      </c>
      <c r="AL16" s="219">
        <v>0.95421952633127749</v>
      </c>
    </row>
    <row r="17" spans="1:38" ht="39.75" customHeight="1" x14ac:dyDescent="0.3">
      <c r="A17" s="251" t="s">
        <v>428</v>
      </c>
      <c r="B17" s="252" t="str">
        <f>VLOOKUP(A17,saīsinājumi_LV_ENG!A:G,5,FALSE)</f>
        <v>Zinātnisko institūciju P&amp;I kapacitāte</v>
      </c>
      <c r="C17" s="220" t="s">
        <v>6</v>
      </c>
      <c r="D17" s="220" t="str">
        <f>IFERROR(IF((VLOOKUP(A17,Pasākumu_līmenis!A:H,3,0))=0,"",VLOOKUP(A17,Pasākumu_līmenis!A:H,3,0)),"")</f>
        <v/>
      </c>
      <c r="E17" s="221"/>
      <c r="F17" s="222"/>
      <c r="G17" s="222"/>
      <c r="H17" s="223">
        <f>SUM(H18:H22)</f>
        <v>284965533</v>
      </c>
      <c r="I17" s="223">
        <f>SUM(I18:I22)</f>
        <v>2927032</v>
      </c>
      <c r="J17" s="223">
        <f>SUM(J18:J22)</f>
        <v>287892565</v>
      </c>
      <c r="K17" s="223">
        <f>SUM(K18:K22)</f>
        <v>0</v>
      </c>
      <c r="L17" s="223">
        <f>SUM(L18:L22)</f>
        <v>275263565.81</v>
      </c>
      <c r="M17" s="224">
        <f t="shared" si="14"/>
        <v>0.96595389243091379</v>
      </c>
      <c r="N17" s="224">
        <f t="shared" si="15"/>
        <v>0</v>
      </c>
      <c r="O17" s="224">
        <f t="shared" si="22"/>
        <v>0</v>
      </c>
      <c r="P17" s="223">
        <f>SUM(P18:P22)</f>
        <v>260</v>
      </c>
      <c r="Q17" s="223">
        <v>275263565.81</v>
      </c>
      <c r="R17" s="224">
        <v>0.96595389243091379</v>
      </c>
      <c r="S17" s="223">
        <f>SUM(S18:S22)</f>
        <v>275263565.81</v>
      </c>
      <c r="T17" s="224">
        <f t="shared" si="16"/>
        <v>0.96595389243091379</v>
      </c>
      <c r="U17" s="224">
        <f t="shared" si="17"/>
        <v>0</v>
      </c>
      <c r="V17" s="224">
        <f t="shared" si="23"/>
        <v>0</v>
      </c>
      <c r="W17" s="223">
        <f>SUM(W18:W22)</f>
        <v>260</v>
      </c>
      <c r="X17" s="223">
        <v>275263565.81</v>
      </c>
      <c r="Y17" s="224">
        <v>0.96595389243091379</v>
      </c>
      <c r="Z17" s="223">
        <f>SUM(Z18:Z22)</f>
        <v>275263565.81</v>
      </c>
      <c r="AA17" s="224">
        <f t="shared" si="18"/>
        <v>0.96595389243091379</v>
      </c>
      <c r="AB17" s="224">
        <f t="shared" si="19"/>
        <v>0</v>
      </c>
      <c r="AC17" s="224">
        <f t="shared" si="1"/>
        <v>0</v>
      </c>
      <c r="AD17" s="223">
        <f>SUM(AD18:AD22)</f>
        <v>260</v>
      </c>
      <c r="AE17" s="223">
        <v>275263565.81</v>
      </c>
      <c r="AF17" s="224">
        <v>0.96595389243091379</v>
      </c>
      <c r="AG17" s="223">
        <f>SUM(AG18:AG22)</f>
        <v>271919675.92000002</v>
      </c>
      <c r="AH17" s="224">
        <f t="shared" si="20"/>
        <v>0.95421952633127749</v>
      </c>
      <c r="AI17" s="224">
        <f t="shared" si="21"/>
        <v>0</v>
      </c>
      <c r="AJ17" s="224">
        <f t="shared" si="3"/>
        <v>0</v>
      </c>
      <c r="AK17" s="223">
        <v>271919675.92000002</v>
      </c>
      <c r="AL17" s="224">
        <v>0.95421952633127749</v>
      </c>
    </row>
    <row r="18" spans="1:38" ht="21" customHeight="1" x14ac:dyDescent="0.3">
      <c r="A18" s="253" t="s">
        <v>239</v>
      </c>
      <c r="B18" s="254" t="str">
        <f>VLOOKUP(A18,saīsinājumi_LV_ENG!A:G,5,FALSE)</f>
        <v>Praktiskas ievirzes pētījumi</v>
      </c>
      <c r="C18" s="10" t="s">
        <v>161</v>
      </c>
      <c r="D18" s="10"/>
      <c r="E18" s="42" t="str">
        <f>Pasākumu_līmenis!D15</f>
        <v>ERAF</v>
      </c>
      <c r="F18" s="42" t="str">
        <f>Pasākumu_līmenis!E15</f>
        <v>IZM</v>
      </c>
      <c r="G18" s="275" t="str">
        <f>VLOOKUP(A18,'2. Intervences kategorijas - Pa'!B:D,2,FALSE)</f>
        <v>01 - Nostiprināt pētniecību, tehnoloģiju attīstību un inovāciju</v>
      </c>
      <c r="H18" s="171">
        <f>Pasākumu_līmenis!F15</f>
        <v>87328430</v>
      </c>
      <c r="I18" s="171">
        <f>Pasākumu_līmenis!G15</f>
        <v>2524642</v>
      </c>
      <c r="J18" s="171">
        <f>Pasākumu_līmenis!H15</f>
        <v>89853072</v>
      </c>
      <c r="K18" s="171">
        <f>Pasākumu_līmenis!I15</f>
        <v>0</v>
      </c>
      <c r="L18" s="171">
        <f>Pasākumu_līmenis!J15</f>
        <v>86531693.079999998</v>
      </c>
      <c r="M18" s="172">
        <f t="shared" si="14"/>
        <v>0.99087654593126195</v>
      </c>
      <c r="N18" s="172">
        <f>M18-R18</f>
        <v>0</v>
      </c>
      <c r="O18" s="170">
        <f t="shared" si="22"/>
        <v>0</v>
      </c>
      <c r="P18" s="171">
        <f>Pasākumu_līmenis!N15</f>
        <v>201</v>
      </c>
      <c r="Q18" s="171">
        <v>86531693.079999998</v>
      </c>
      <c r="R18" s="172">
        <v>0.99087654593126195</v>
      </c>
      <c r="S18" s="171">
        <f>Pasākumu_līmenis!Q15</f>
        <v>86531693.079999998</v>
      </c>
      <c r="T18" s="172">
        <f t="shared" si="16"/>
        <v>0.99087654593126195</v>
      </c>
      <c r="U18" s="172">
        <f t="shared" si="17"/>
        <v>0</v>
      </c>
      <c r="V18" s="172">
        <f t="shared" si="23"/>
        <v>0</v>
      </c>
      <c r="W18" s="171">
        <f>Pasākumu_līmenis!U15</f>
        <v>201</v>
      </c>
      <c r="X18" s="171">
        <v>86531693.079999998</v>
      </c>
      <c r="Y18" s="172">
        <v>0.99087654593126195</v>
      </c>
      <c r="Z18" s="171">
        <f>Pasākumu_līmenis!X15</f>
        <v>86531693.079999998</v>
      </c>
      <c r="AA18" s="172">
        <f t="shared" si="18"/>
        <v>0.99087654593126195</v>
      </c>
      <c r="AB18" s="172">
        <f t="shared" si="19"/>
        <v>0</v>
      </c>
      <c r="AC18" s="172">
        <f t="shared" si="1"/>
        <v>0</v>
      </c>
      <c r="AD18" s="171">
        <f>Pasākumu_līmenis!AB15</f>
        <v>201</v>
      </c>
      <c r="AE18" s="171">
        <v>86531693.079999998</v>
      </c>
      <c r="AF18" s="172">
        <v>0.99087654593126195</v>
      </c>
      <c r="AG18" s="171">
        <f>Pasākumu_līmenis!AE15</f>
        <v>85668926.370000005</v>
      </c>
      <c r="AH18" s="172">
        <f t="shared" si="20"/>
        <v>0.98099698311305961</v>
      </c>
      <c r="AI18" s="172">
        <f t="shared" si="21"/>
        <v>0</v>
      </c>
      <c r="AJ18" s="172">
        <f t="shared" si="3"/>
        <v>0</v>
      </c>
      <c r="AK18" s="171">
        <v>85668926.370000005</v>
      </c>
      <c r="AL18" s="172">
        <v>0.98099698311305961</v>
      </c>
    </row>
    <row r="19" spans="1:38" ht="21" customHeight="1" x14ac:dyDescent="0.3">
      <c r="A19" s="253" t="s">
        <v>240</v>
      </c>
      <c r="B19" s="254" t="str">
        <f>VLOOKUP(A19,saīsinājumi_LV_ENG!A:G,5,FALSE)</f>
        <v>Pēcdoktorantūras pētniecība</v>
      </c>
      <c r="C19" s="10" t="s">
        <v>162</v>
      </c>
      <c r="D19" s="10"/>
      <c r="E19" s="42" t="str">
        <f>Pasākumu_līmenis!D16</f>
        <v>ERAF</v>
      </c>
      <c r="F19" s="42" t="str">
        <f>Pasākumu_līmenis!E16</f>
        <v>IZM</v>
      </c>
      <c r="G19" s="275" t="str">
        <f>VLOOKUP(A19,'2. Intervences kategorijas - Pa'!B:D,2,FALSE)</f>
        <v>01 - Nostiprināt pētniecību, tehnoloģiju attīstību un inovāciju</v>
      </c>
      <c r="H19" s="171">
        <f>Pasākumu_līmenis!F16</f>
        <v>39898294</v>
      </c>
      <c r="I19" s="171">
        <f>Pasākumu_līmenis!G16</f>
        <v>0</v>
      </c>
      <c r="J19" s="171">
        <f>Pasākumu_līmenis!H16</f>
        <v>39898294</v>
      </c>
      <c r="K19" s="171">
        <f>Pasākumu_līmenis!I16</f>
        <v>0</v>
      </c>
      <c r="L19" s="171">
        <f>Pasākumu_līmenis!J16</f>
        <v>38000134.719999999</v>
      </c>
      <c r="M19" s="172">
        <f t="shared" si="14"/>
        <v>0.95242505155734225</v>
      </c>
      <c r="N19" s="172">
        <f t="shared" si="15"/>
        <v>0</v>
      </c>
      <c r="O19" s="170">
        <f t="shared" si="22"/>
        <v>0</v>
      </c>
      <c r="P19" s="171">
        <f>Pasākumu_līmenis!N16</f>
        <v>1</v>
      </c>
      <c r="Q19" s="171">
        <v>38000134.719999999</v>
      </c>
      <c r="R19" s="172">
        <v>0.95242505155734225</v>
      </c>
      <c r="S19" s="171">
        <f>Pasākumu_līmenis!Q16</f>
        <v>38000134.719999999</v>
      </c>
      <c r="T19" s="172">
        <f t="shared" si="16"/>
        <v>0.95242505155734225</v>
      </c>
      <c r="U19" s="172">
        <f>T19-Y19</f>
        <v>0</v>
      </c>
      <c r="V19" s="172">
        <f t="shared" si="23"/>
        <v>0</v>
      </c>
      <c r="W19" s="171">
        <f>Pasākumu_līmenis!U16</f>
        <v>1</v>
      </c>
      <c r="X19" s="171">
        <v>38000134.719999999</v>
      </c>
      <c r="Y19" s="172">
        <v>0.95242505155734225</v>
      </c>
      <c r="Z19" s="171">
        <f>Pasākumu_līmenis!X16</f>
        <v>38000134.719999999</v>
      </c>
      <c r="AA19" s="172">
        <f t="shared" si="18"/>
        <v>0.95242505155734225</v>
      </c>
      <c r="AB19" s="172">
        <f t="shared" si="19"/>
        <v>0</v>
      </c>
      <c r="AC19" s="172">
        <f t="shared" si="1"/>
        <v>0</v>
      </c>
      <c r="AD19" s="171">
        <f>Pasākumu_līmenis!AB16</f>
        <v>1</v>
      </c>
      <c r="AE19" s="171">
        <v>38000134.719999999</v>
      </c>
      <c r="AF19" s="172">
        <v>0.95242505155734225</v>
      </c>
      <c r="AG19" s="171">
        <f>Pasākumu_līmenis!AE16</f>
        <v>38000134.719999999</v>
      </c>
      <c r="AH19" s="172">
        <f t="shared" si="20"/>
        <v>0.95242505155734225</v>
      </c>
      <c r="AI19" s="172">
        <f t="shared" si="21"/>
        <v>0</v>
      </c>
      <c r="AJ19" s="172">
        <f t="shared" si="3"/>
        <v>0</v>
      </c>
      <c r="AK19" s="171">
        <v>38000134.719999999</v>
      </c>
      <c r="AL19" s="172">
        <v>0.95242505155734225</v>
      </c>
    </row>
    <row r="20" spans="1:38" ht="21" customHeight="1" x14ac:dyDescent="0.3">
      <c r="A20" s="253" t="s">
        <v>241</v>
      </c>
      <c r="B20" s="254" t="str">
        <f>VLOOKUP(A20,saīsinājumi_LV_ENG!A:G,5,FALSE)</f>
        <v>Inovāciju granti studentiem</v>
      </c>
      <c r="C20" s="10" t="s">
        <v>163</v>
      </c>
      <c r="D20" s="10"/>
      <c r="E20" s="42" t="str">
        <f>Pasākumu_līmenis!D17</f>
        <v>ERAF</v>
      </c>
      <c r="F20" s="42" t="str">
        <f>Pasākumu_līmenis!E17</f>
        <v>IZM</v>
      </c>
      <c r="G20" s="275" t="str">
        <f>VLOOKUP(A20,'2. Intervences kategorijas - Pa'!B:D,2,FALSE)</f>
        <v>01 - Nostiprināt pētniecību, tehnoloģiju attīstību un inovāciju</v>
      </c>
      <c r="H20" s="171">
        <f>Pasākumu_līmenis!F17</f>
        <v>15370399</v>
      </c>
      <c r="I20" s="171">
        <f>Pasākumu_līmenis!G17</f>
        <v>0</v>
      </c>
      <c r="J20" s="171">
        <f>Pasākumu_līmenis!H17</f>
        <v>15370399</v>
      </c>
      <c r="K20" s="171">
        <f>Pasākumu_līmenis!I17</f>
        <v>0</v>
      </c>
      <c r="L20" s="171">
        <f>Pasākumu_līmenis!J17</f>
        <v>11654365.91</v>
      </c>
      <c r="M20" s="172">
        <f>L20/$H20</f>
        <v>0.75823444205970192</v>
      </c>
      <c r="N20" s="172">
        <f>M20-R20</f>
        <v>0</v>
      </c>
      <c r="O20" s="172">
        <f>IFERROR(((L20-Q20)/Q20),0)</f>
        <v>0</v>
      </c>
      <c r="P20" s="171">
        <f>Pasākumu_līmenis!N17</f>
        <v>11</v>
      </c>
      <c r="Q20" s="171">
        <v>11654365.91</v>
      </c>
      <c r="R20" s="172">
        <v>0.75823444205970192</v>
      </c>
      <c r="S20" s="171">
        <f>Pasākumu_līmenis!Q17</f>
        <v>11654365.91</v>
      </c>
      <c r="T20" s="172">
        <f t="shared" si="16"/>
        <v>0.75823444205970192</v>
      </c>
      <c r="U20" s="172">
        <f t="shared" si="17"/>
        <v>0</v>
      </c>
      <c r="V20" s="172">
        <f t="shared" si="23"/>
        <v>0</v>
      </c>
      <c r="W20" s="171">
        <f>Pasākumu_līmenis!U17</f>
        <v>11</v>
      </c>
      <c r="X20" s="171">
        <v>11654365.91</v>
      </c>
      <c r="Y20" s="172">
        <v>0.75823444205970192</v>
      </c>
      <c r="Z20" s="171">
        <f>Pasākumu_līmenis!X17</f>
        <v>11654365.91</v>
      </c>
      <c r="AA20" s="172">
        <f t="shared" si="18"/>
        <v>0.75823444205970192</v>
      </c>
      <c r="AB20" s="172">
        <f t="shared" si="19"/>
        <v>0</v>
      </c>
      <c r="AC20" s="172">
        <f t="shared" si="1"/>
        <v>0</v>
      </c>
      <c r="AD20" s="171">
        <f>Pasākumu_līmenis!AB17</f>
        <v>11</v>
      </c>
      <c r="AE20" s="171">
        <v>11654365.91</v>
      </c>
      <c r="AF20" s="172">
        <v>0.75823444205970192</v>
      </c>
      <c r="AG20" s="171">
        <f>Pasākumu_līmenis!AE17</f>
        <v>10860993.67</v>
      </c>
      <c r="AH20" s="172">
        <f t="shared" si="20"/>
        <v>0.70661754909550489</v>
      </c>
      <c r="AI20" s="172">
        <f t="shared" si="21"/>
        <v>0</v>
      </c>
      <c r="AJ20" s="172">
        <f t="shared" si="3"/>
        <v>0</v>
      </c>
      <c r="AK20" s="171">
        <v>10860993.67</v>
      </c>
      <c r="AL20" s="172">
        <v>0.70661754909550489</v>
      </c>
    </row>
    <row r="21" spans="1:38" ht="21" customHeight="1" x14ac:dyDescent="0.3">
      <c r="A21" s="253" t="s">
        <v>242</v>
      </c>
      <c r="B21" s="254" t="str">
        <f>VLOOKUP(A21,saīsinājumi_LV_ENG!A:G,5,FALSE)</f>
        <v>P&amp;A infrastruktūra</v>
      </c>
      <c r="C21" s="10" t="s">
        <v>164</v>
      </c>
      <c r="D21" s="10"/>
      <c r="E21" s="42" t="str">
        <f>Pasākumu_līmenis!D18</f>
        <v>ERAF</v>
      </c>
      <c r="F21" s="42" t="str">
        <f>Pasākumu_līmenis!E18</f>
        <v>IZM</v>
      </c>
      <c r="G21" s="275" t="str">
        <f>VLOOKUP(A21,'2. Intervences kategorijas - Pa'!B:D,2,FALSE)</f>
        <v>01 - Nostiprināt pētniecību, tehnoloģiju attīstību un inovāciju</v>
      </c>
      <c r="H21" s="171">
        <f>Pasākumu_līmenis!F18</f>
        <v>111692482</v>
      </c>
      <c r="I21" s="171">
        <f>Pasākumu_līmenis!G18</f>
        <v>0</v>
      </c>
      <c r="J21" s="171">
        <f>Pasākumu_līmenis!H18</f>
        <v>111692482</v>
      </c>
      <c r="K21" s="171">
        <f>Pasākumu_līmenis!I18</f>
        <v>0</v>
      </c>
      <c r="L21" s="171">
        <f>Pasākumu_līmenis!J18</f>
        <v>111452668.62</v>
      </c>
      <c r="M21" s="172">
        <f t="shared" si="14"/>
        <v>0.99785291386039754</v>
      </c>
      <c r="N21" s="172">
        <f t="shared" si="15"/>
        <v>0</v>
      </c>
      <c r="O21" s="172">
        <f t="shared" si="22"/>
        <v>0</v>
      </c>
      <c r="P21" s="171">
        <f>Pasākumu_līmenis!N18</f>
        <v>14</v>
      </c>
      <c r="Q21" s="171">
        <v>111452668.62</v>
      </c>
      <c r="R21" s="172">
        <v>0.99785291386039754</v>
      </c>
      <c r="S21" s="171">
        <f>Pasākumu_līmenis!Q18</f>
        <v>111452668.62</v>
      </c>
      <c r="T21" s="172">
        <f t="shared" si="16"/>
        <v>0.99785291386039754</v>
      </c>
      <c r="U21" s="172">
        <f t="shared" si="17"/>
        <v>0</v>
      </c>
      <c r="V21" s="172">
        <f t="shared" si="23"/>
        <v>0</v>
      </c>
      <c r="W21" s="171">
        <f>Pasākumu_līmenis!U18</f>
        <v>14</v>
      </c>
      <c r="X21" s="171">
        <v>111452668.62</v>
      </c>
      <c r="Y21" s="172">
        <v>0.99785291386039754</v>
      </c>
      <c r="Z21" s="171">
        <f>Pasākumu_līmenis!X18</f>
        <v>111452668.62</v>
      </c>
      <c r="AA21" s="172">
        <f t="shared" si="18"/>
        <v>0.99785291386039754</v>
      </c>
      <c r="AB21" s="172">
        <f t="shared" si="19"/>
        <v>0</v>
      </c>
      <c r="AC21" s="172">
        <f t="shared" si="1"/>
        <v>0</v>
      </c>
      <c r="AD21" s="171">
        <f>Pasākumu_līmenis!AB18</f>
        <v>14</v>
      </c>
      <c r="AE21" s="171">
        <v>111452668.62</v>
      </c>
      <c r="AF21" s="172">
        <v>0.99785291386039754</v>
      </c>
      <c r="AG21" s="171">
        <f>Pasākumu_līmenis!AE18</f>
        <v>109826066.93000001</v>
      </c>
      <c r="AH21" s="172">
        <f t="shared" si="20"/>
        <v>0.98328969831649016</v>
      </c>
      <c r="AI21" s="172">
        <f t="shared" si="21"/>
        <v>0</v>
      </c>
      <c r="AJ21" s="172">
        <f t="shared" si="3"/>
        <v>0</v>
      </c>
      <c r="AK21" s="171">
        <v>109826066.93000001</v>
      </c>
      <c r="AL21" s="172">
        <v>0.98328969831649016</v>
      </c>
    </row>
    <row r="22" spans="1:38" ht="21" customHeight="1" x14ac:dyDescent="0.3">
      <c r="A22" s="253" t="s">
        <v>243</v>
      </c>
      <c r="B22" s="254" t="str">
        <f>VLOOKUP(A22,saīsinājumi_LV_ENG!A:G,5,FALSE)</f>
        <v>Starptautiskā sadarbība P&amp;I</v>
      </c>
      <c r="C22" s="10" t="s">
        <v>165</v>
      </c>
      <c r="D22" s="10"/>
      <c r="E22" s="42" t="str">
        <f>Pasākumu_līmenis!D19</f>
        <v>ERAF</v>
      </c>
      <c r="F22" s="42" t="str">
        <f>Pasākumu_līmenis!E19</f>
        <v>IZM</v>
      </c>
      <c r="G22" s="275" t="str">
        <f>VLOOKUP(A22,'2. Intervences kategorijas - Pa'!B:D,2,FALSE)</f>
        <v>01 - Nostiprināt pētniecību, tehnoloģiju attīstību un inovāciju</v>
      </c>
      <c r="H22" s="171">
        <f>Pasākumu_līmenis!F19</f>
        <v>30675928</v>
      </c>
      <c r="I22" s="171">
        <f>Pasākumu_līmenis!G19</f>
        <v>402390</v>
      </c>
      <c r="J22" s="171">
        <f>Pasākumu_līmenis!H19</f>
        <v>31078318</v>
      </c>
      <c r="K22" s="171">
        <f>Pasākumu_līmenis!I19</f>
        <v>0</v>
      </c>
      <c r="L22" s="171">
        <f>Pasākumu_līmenis!J19</f>
        <v>27624703.48</v>
      </c>
      <c r="M22" s="172">
        <f t="shared" si="14"/>
        <v>0.90053358711756004</v>
      </c>
      <c r="N22" s="172">
        <f t="shared" si="15"/>
        <v>0</v>
      </c>
      <c r="O22" s="172">
        <f t="shared" si="22"/>
        <v>0</v>
      </c>
      <c r="P22" s="171">
        <f>Pasākumu_līmenis!N19</f>
        <v>33</v>
      </c>
      <c r="Q22" s="171">
        <v>27624703.48</v>
      </c>
      <c r="R22" s="172">
        <v>0.90053358711756004</v>
      </c>
      <c r="S22" s="171">
        <f>Pasākumu_līmenis!Q19</f>
        <v>27624703.48</v>
      </c>
      <c r="T22" s="172">
        <f t="shared" si="16"/>
        <v>0.90053358711756004</v>
      </c>
      <c r="U22" s="172">
        <f t="shared" si="17"/>
        <v>0</v>
      </c>
      <c r="V22" s="172">
        <f t="shared" si="23"/>
        <v>0</v>
      </c>
      <c r="W22" s="171">
        <f>Pasākumu_līmenis!U19</f>
        <v>33</v>
      </c>
      <c r="X22" s="171">
        <v>27624703.48</v>
      </c>
      <c r="Y22" s="172">
        <v>0.90053358711756004</v>
      </c>
      <c r="Z22" s="171">
        <f>Pasākumu_līmenis!X19</f>
        <v>27624703.48</v>
      </c>
      <c r="AA22" s="172">
        <f t="shared" si="18"/>
        <v>0.90053358711756004</v>
      </c>
      <c r="AB22" s="172">
        <f t="shared" si="19"/>
        <v>0</v>
      </c>
      <c r="AC22" s="172">
        <f t="shared" si="1"/>
        <v>0</v>
      </c>
      <c r="AD22" s="171">
        <f>Pasākumu_līmenis!AB19</f>
        <v>33</v>
      </c>
      <c r="AE22" s="171">
        <v>27624703.48</v>
      </c>
      <c r="AF22" s="172">
        <v>0.90053358711756004</v>
      </c>
      <c r="AG22" s="171">
        <f>Pasākumu_līmenis!AE19</f>
        <v>27563554.23</v>
      </c>
      <c r="AH22" s="172">
        <f t="shared" si="20"/>
        <v>0.89854019184032508</v>
      </c>
      <c r="AI22" s="172">
        <f t="shared" si="21"/>
        <v>0</v>
      </c>
      <c r="AJ22" s="172">
        <f t="shared" si="3"/>
        <v>0</v>
      </c>
      <c r="AK22" s="171">
        <v>27563554.23</v>
      </c>
      <c r="AL22" s="172">
        <v>0.89854019184032508</v>
      </c>
    </row>
    <row r="23" spans="1:38" ht="59.25" customHeight="1" x14ac:dyDescent="0.3">
      <c r="A23" s="249" t="s">
        <v>7</v>
      </c>
      <c r="B23" s="250" t="str">
        <f>VLOOKUP(A23,saīsinājumi_LV_ENG!A:G,5,FALSE)</f>
        <v>Uzņēmumu P&amp;I un sadarbība ar pētniecības un augstākās izglītības nozarēm.</v>
      </c>
      <c r="C23" s="229" t="s">
        <v>377</v>
      </c>
      <c r="D23" s="215" t="str">
        <f>IFERROR(IF((VLOOKUP(A23,Pasākumu_līmenis!A:H,3,0))=0,"",VLOOKUP(A23,Pasākumu_līmenis!A:H,3,0)),"")</f>
        <v/>
      </c>
      <c r="E23" s="217"/>
      <c r="F23" s="217"/>
      <c r="G23" s="276"/>
      <c r="H23" s="218">
        <f>H24+H28</f>
        <v>163255606</v>
      </c>
      <c r="I23" s="218">
        <f>I24+I28</f>
        <v>0</v>
      </c>
      <c r="J23" s="218">
        <f>J24+J28</f>
        <v>163255606</v>
      </c>
      <c r="K23" s="218">
        <f>K24+K28</f>
        <v>13053849.871961923</v>
      </c>
      <c r="L23" s="218">
        <f>L24+L28</f>
        <v>144692208.21000001</v>
      </c>
      <c r="M23" s="219">
        <f t="shared" si="14"/>
        <v>0.88629243280013315</v>
      </c>
      <c r="N23" s="219">
        <f t="shared" si="15"/>
        <v>-3.1730431909333556E-2</v>
      </c>
      <c r="O23" s="219">
        <f t="shared" si="22"/>
        <v>-3.4563879756279829E-2</v>
      </c>
      <c r="P23" s="218">
        <f>P24+P28</f>
        <v>70</v>
      </c>
      <c r="Q23" s="218">
        <v>149872379.09999999</v>
      </c>
      <c r="R23" s="219">
        <v>0.9180228647094667</v>
      </c>
      <c r="S23" s="218">
        <f>S24+S28</f>
        <v>144692208.21000001</v>
      </c>
      <c r="T23" s="219">
        <f t="shared" si="16"/>
        <v>0.88629243280013315</v>
      </c>
      <c r="U23" s="219">
        <f t="shared" si="17"/>
        <v>-3.1730431909333556E-2</v>
      </c>
      <c r="V23" s="219">
        <f>IFERROR(((S23-X23)/X23),0)</f>
        <v>-3.4563879756279829E-2</v>
      </c>
      <c r="W23" s="218">
        <f>W24+W28</f>
        <v>70</v>
      </c>
      <c r="X23" s="218">
        <v>149872379.09999999</v>
      </c>
      <c r="Y23" s="219">
        <v>0.9180228647094667</v>
      </c>
      <c r="Z23" s="218">
        <f>Z24+Z28</f>
        <v>144692208.21000001</v>
      </c>
      <c r="AA23" s="219">
        <f t="shared" si="18"/>
        <v>0.88629243280013315</v>
      </c>
      <c r="AB23" s="219">
        <f t="shared" si="19"/>
        <v>-3.1730431909333556E-2</v>
      </c>
      <c r="AC23" s="219">
        <f t="shared" si="1"/>
        <v>-3.4563879756279829E-2</v>
      </c>
      <c r="AD23" s="218">
        <f>AD24+AD28</f>
        <v>70</v>
      </c>
      <c r="AE23" s="218">
        <v>149872379.09999999</v>
      </c>
      <c r="AF23" s="219">
        <v>0.9180228647094667</v>
      </c>
      <c r="AG23" s="218">
        <f>AG24+AG28</f>
        <v>135899484.03</v>
      </c>
      <c r="AH23" s="219">
        <f t="shared" si="20"/>
        <v>0.83243379728105626</v>
      </c>
      <c r="AI23" s="219">
        <f t="shared" si="21"/>
        <v>1.2109173757868241E-3</v>
      </c>
      <c r="AJ23" s="219">
        <f t="shared" si="3"/>
        <v>1.4567902364824852E-3</v>
      </c>
      <c r="AK23" s="218">
        <v>135701794.97999999</v>
      </c>
      <c r="AL23" s="219">
        <v>0.83122287990526944</v>
      </c>
    </row>
    <row r="24" spans="1:38" ht="21" customHeight="1" x14ac:dyDescent="0.3">
      <c r="A24" s="251" t="s">
        <v>429</v>
      </c>
      <c r="B24" s="252" t="str">
        <f>VLOOKUP(A24,saīsinājumi_LV_ENG!A:G,5,FALSE)</f>
        <v>Privātā sektora P&amp;A</v>
      </c>
      <c r="C24" s="220" t="s">
        <v>8</v>
      </c>
      <c r="D24" s="220" t="str">
        <f>IFERROR(IF((VLOOKUP(A24,Pasākumu_līmenis!A:H,3,0))=0,"",VLOOKUP(A24,Pasākumu_līmenis!A:H,3,0)),"")</f>
        <v/>
      </c>
      <c r="E24" s="222"/>
      <c r="F24" s="222"/>
      <c r="G24" s="277"/>
      <c r="H24" s="223">
        <f>SUM(H25:H27)</f>
        <v>139060328</v>
      </c>
      <c r="I24" s="223">
        <f>SUM(I25:I27)</f>
        <v>0</v>
      </c>
      <c r="J24" s="223">
        <f>SUM(J25:J27)</f>
        <v>139060328</v>
      </c>
      <c r="K24" s="223">
        <f>SUM(K25:K27)</f>
        <v>12761000</v>
      </c>
      <c r="L24" s="223">
        <f>SUM(L25:L27)</f>
        <v>124893179.39</v>
      </c>
      <c r="M24" s="224">
        <f t="shared" si="14"/>
        <v>0.89812228394858962</v>
      </c>
      <c r="N24" s="224">
        <f t="shared" si="15"/>
        <v>-3.7251248896809641E-2</v>
      </c>
      <c r="O24" s="224">
        <f t="shared" si="22"/>
        <v>-3.9824997809689698E-2</v>
      </c>
      <c r="P24" s="223">
        <f>SUM(P25:P27)</f>
        <v>51</v>
      </c>
      <c r="Q24" s="223">
        <v>130073350.28</v>
      </c>
      <c r="R24" s="224">
        <v>0.93537353284539926</v>
      </c>
      <c r="S24" s="223">
        <f>SUM(S25:S27)</f>
        <v>124893179.39</v>
      </c>
      <c r="T24" s="224">
        <f t="shared" si="16"/>
        <v>0.89812228394858962</v>
      </c>
      <c r="U24" s="224">
        <f t="shared" si="17"/>
        <v>-3.7251248896809641E-2</v>
      </c>
      <c r="V24" s="224">
        <f t="shared" si="23"/>
        <v>-3.9824997809689698E-2</v>
      </c>
      <c r="W24" s="223">
        <f>SUM(W25:W27)</f>
        <v>51</v>
      </c>
      <c r="X24" s="223">
        <v>130073350.28</v>
      </c>
      <c r="Y24" s="224">
        <v>0.93537353284539926</v>
      </c>
      <c r="Z24" s="223">
        <f>SUM(Z25:Z27)</f>
        <v>124893179.39</v>
      </c>
      <c r="AA24" s="224">
        <f t="shared" si="18"/>
        <v>0.89812228394858962</v>
      </c>
      <c r="AB24" s="224">
        <f t="shared" si="19"/>
        <v>-3.7251248896809641E-2</v>
      </c>
      <c r="AC24" s="224">
        <f t="shared" si="1"/>
        <v>-3.9824997809689698E-2</v>
      </c>
      <c r="AD24" s="223">
        <f>SUM(AD25:AD27)</f>
        <v>51</v>
      </c>
      <c r="AE24" s="223">
        <v>130073350.28</v>
      </c>
      <c r="AF24" s="224">
        <v>0.93537353284539926</v>
      </c>
      <c r="AG24" s="223">
        <f>SUM(AG25:AG27)</f>
        <v>117587446.84999999</v>
      </c>
      <c r="AH24" s="224">
        <f t="shared" si="20"/>
        <v>0.84558585860663293</v>
      </c>
      <c r="AI24" s="224">
        <f t="shared" si="21"/>
        <v>1.4431797543293934E-3</v>
      </c>
      <c r="AJ24" s="224">
        <f t="shared" si="3"/>
        <v>1.7096396029774069E-3</v>
      </c>
      <c r="AK24" s="223">
        <v>117386757.8</v>
      </c>
      <c r="AL24" s="224">
        <v>0.84414267885230354</v>
      </c>
    </row>
    <row r="25" spans="1:38" ht="21" customHeight="1" x14ac:dyDescent="0.3">
      <c r="A25" s="253" t="s">
        <v>244</v>
      </c>
      <c r="B25" s="254" t="str">
        <f>VLOOKUP(A25,saīsinājumi_LV_ENG!A:G,5,FALSE)</f>
        <v>Kompetences centri</v>
      </c>
      <c r="C25" s="10" t="s">
        <v>166</v>
      </c>
      <c r="D25" s="10" t="str">
        <f>IFERROR(IF((VLOOKUP(A25,Pasākumu_līmenis!A:H,3,0))=0,"",VLOOKUP(A25,Pasākumu_līmenis!A:H,3,0)),"")</f>
        <v/>
      </c>
      <c r="E25" s="38" t="str">
        <f>Pasākumu_līmenis!D20</f>
        <v>ERAF</v>
      </c>
      <c r="F25" s="38" t="str">
        <f>Pasākumu_līmenis!E20</f>
        <v>EM</v>
      </c>
      <c r="G25" s="278" t="str">
        <f>VLOOKUP(A25,'2. Intervences kategorijas - Pa'!B:D,2,FALSE)</f>
        <v>01 - Nostiprināt pētniecību, tehnoloģiju attīstību un inovāciju</v>
      </c>
      <c r="H25" s="169">
        <f>Pasākumu_līmenis!F20</f>
        <v>63150605</v>
      </c>
      <c r="I25" s="169">
        <f>Pasākumu_līmenis!G20</f>
        <v>0</v>
      </c>
      <c r="J25" s="169">
        <f>Pasākumu_līmenis!H20</f>
        <v>63150605</v>
      </c>
      <c r="K25" s="169">
        <f>Pasākumu_līmenis!I20</f>
        <v>0</v>
      </c>
      <c r="L25" s="169">
        <f>Pasākumu_līmenis!J20</f>
        <v>62365526.159999996</v>
      </c>
      <c r="M25" s="170">
        <f t="shared" si="14"/>
        <v>0.98756815013886246</v>
      </c>
      <c r="N25" s="170">
        <f t="shared" si="15"/>
        <v>0</v>
      </c>
      <c r="O25" s="170">
        <f t="shared" si="22"/>
        <v>0</v>
      </c>
      <c r="P25" s="169">
        <f>Pasākumu_līmenis!N20</f>
        <v>17</v>
      </c>
      <c r="Q25" s="169">
        <v>62365526.159999996</v>
      </c>
      <c r="R25" s="170">
        <v>0.98756815013886246</v>
      </c>
      <c r="S25" s="169">
        <f>Pasākumu_līmenis!Q20</f>
        <v>62365526.159999996</v>
      </c>
      <c r="T25" s="170">
        <f t="shared" si="16"/>
        <v>0.98756815013886246</v>
      </c>
      <c r="U25" s="170">
        <f t="shared" si="17"/>
        <v>0</v>
      </c>
      <c r="V25" s="170">
        <f t="shared" si="23"/>
        <v>0</v>
      </c>
      <c r="W25" s="169">
        <f>Pasākumu_līmenis!U20</f>
        <v>17</v>
      </c>
      <c r="X25" s="169">
        <v>62365526.159999996</v>
      </c>
      <c r="Y25" s="170">
        <v>0.98756815013886246</v>
      </c>
      <c r="Z25" s="169">
        <f>Pasākumu_līmenis!X20</f>
        <v>62365526.159999996</v>
      </c>
      <c r="AA25" s="170">
        <f t="shared" si="18"/>
        <v>0.98756815013886246</v>
      </c>
      <c r="AB25" s="170">
        <f t="shared" si="19"/>
        <v>0</v>
      </c>
      <c r="AC25" s="170">
        <f t="shared" si="1"/>
        <v>0</v>
      </c>
      <c r="AD25" s="169">
        <f>Pasākumu_līmenis!AB20</f>
        <v>17</v>
      </c>
      <c r="AE25" s="169">
        <v>62365526.159999996</v>
      </c>
      <c r="AF25" s="170">
        <v>0.98756815013886246</v>
      </c>
      <c r="AG25" s="169">
        <f>Pasākumu_līmenis!AE20</f>
        <v>55285734.359999999</v>
      </c>
      <c r="AH25" s="170">
        <f t="shared" si="20"/>
        <v>0.87545850685040938</v>
      </c>
      <c r="AI25" s="170">
        <f t="shared" si="21"/>
        <v>0</v>
      </c>
      <c r="AJ25" s="170">
        <f t="shared" si="3"/>
        <v>0</v>
      </c>
      <c r="AK25" s="169">
        <v>55285734.359999999</v>
      </c>
      <c r="AL25" s="170">
        <v>0.87545850685040938</v>
      </c>
    </row>
    <row r="26" spans="1:38" ht="21" customHeight="1" x14ac:dyDescent="0.3">
      <c r="A26" s="253" t="s">
        <v>245</v>
      </c>
      <c r="B26" s="254" t="str">
        <f>VLOOKUP(A26,saīsinājumi_LV_ENG!A:G,5,FALSE)</f>
        <v>Tehnoloģiju pārneses sistēma</v>
      </c>
      <c r="C26" s="10" t="s">
        <v>167</v>
      </c>
      <c r="D26" s="10" t="str">
        <f>IFERROR(IF((VLOOKUP(A26,Pasākumu_līmenis!A:H,3,0))=0,"",VLOOKUP(A26,Pasākumu_līmenis!A:H,3,0)),"")</f>
        <v/>
      </c>
      <c r="E26" s="38" t="str">
        <f>Pasākumu_līmenis!D21</f>
        <v>ERAF</v>
      </c>
      <c r="F26" s="38" t="str">
        <f>Pasākumu_līmenis!E21</f>
        <v>EM</v>
      </c>
      <c r="G26" s="278" t="str">
        <f>VLOOKUP(A26,'2. Intervences kategorijas - Pa'!B:D,2,FALSE)</f>
        <v>01 - Nostiprināt pētniecību, tehnoloģiju attīstību un inovāciju</v>
      </c>
      <c r="H26" s="169">
        <f>Pasākumu_līmenis!F21</f>
        <v>30779847</v>
      </c>
      <c r="I26" s="169">
        <f>Pasākumu_līmenis!G21</f>
        <v>0</v>
      </c>
      <c r="J26" s="169">
        <f>Pasākumu_līmenis!H21</f>
        <v>30779847</v>
      </c>
      <c r="K26" s="169">
        <f>Pasākumu_līmenis!I21</f>
        <v>12761000</v>
      </c>
      <c r="L26" s="169">
        <f>Pasākumu_līmenis!J21</f>
        <v>25072837.949999999</v>
      </c>
      <c r="M26" s="170">
        <f t="shared" si="14"/>
        <v>0.81458617874221395</v>
      </c>
      <c r="N26" s="170">
        <f t="shared" si="15"/>
        <v>-0.16829748666392008</v>
      </c>
      <c r="O26" s="170">
        <f t="shared" si="22"/>
        <v>-0.1712282873216521</v>
      </c>
      <c r="P26" s="169">
        <f>Pasākumu_līmenis!N21</f>
        <v>1</v>
      </c>
      <c r="Q26" s="169">
        <v>30253008.84</v>
      </c>
      <c r="R26" s="170">
        <v>0.98288366540613403</v>
      </c>
      <c r="S26" s="169">
        <f>Pasākumu_līmenis!Q21</f>
        <v>25072837.949999999</v>
      </c>
      <c r="T26" s="170">
        <f t="shared" si="16"/>
        <v>0.81458617874221395</v>
      </c>
      <c r="U26" s="170">
        <f t="shared" si="17"/>
        <v>-0.16829748666392008</v>
      </c>
      <c r="V26" s="170">
        <f t="shared" si="23"/>
        <v>-0.1712282873216521</v>
      </c>
      <c r="W26" s="169">
        <f>Pasākumu_līmenis!U21</f>
        <v>1</v>
      </c>
      <c r="X26" s="169">
        <v>30253008.84</v>
      </c>
      <c r="Y26" s="170">
        <v>0.98288366540613403</v>
      </c>
      <c r="Z26" s="169">
        <f>Pasākumu_līmenis!X21</f>
        <v>25072837.949999999</v>
      </c>
      <c r="AA26" s="170">
        <f t="shared" si="18"/>
        <v>0.81458617874221395</v>
      </c>
      <c r="AB26" s="170">
        <f t="shared" si="19"/>
        <v>-0.16829748666392008</v>
      </c>
      <c r="AC26" s="170">
        <f t="shared" si="1"/>
        <v>-0.1712282873216521</v>
      </c>
      <c r="AD26" s="169">
        <f>Pasākumu_līmenis!AB21</f>
        <v>1</v>
      </c>
      <c r="AE26" s="169">
        <v>30253008.84</v>
      </c>
      <c r="AF26" s="170">
        <v>0.98288366540613403</v>
      </c>
      <c r="AG26" s="169">
        <f>Pasākumu_līmenis!AE21</f>
        <v>25072837.949999999</v>
      </c>
      <c r="AH26" s="170">
        <f t="shared" si="20"/>
        <v>0.81458617874221395</v>
      </c>
      <c r="AI26" s="170">
        <f t="shared" si="21"/>
        <v>6.5201448207328205E-3</v>
      </c>
      <c r="AJ26" s="170">
        <f t="shared" si="3"/>
        <v>8.068826738194982E-3</v>
      </c>
      <c r="AK26" s="169">
        <v>24872148.890000001</v>
      </c>
      <c r="AL26" s="170">
        <v>0.80806603392148113</v>
      </c>
    </row>
    <row r="27" spans="1:38" ht="21" customHeight="1" x14ac:dyDescent="0.3">
      <c r="A27" s="253" t="s">
        <v>246</v>
      </c>
      <c r="B27" s="254" t="str">
        <f>VLOOKUP(A27,saīsinājumi_LV_ENG!A:G,5,FALSE)</f>
        <v xml:space="preserve">Jaunu produktu ieviešana </v>
      </c>
      <c r="C27" s="10" t="s">
        <v>168</v>
      </c>
      <c r="D27" s="10" t="str">
        <f>IFERROR(IF((VLOOKUP(A27,Pasākumu_līmenis!A:H,3,0))=0,"",VLOOKUP(A27,Pasākumu_līmenis!A:H,3,0)),"")</f>
        <v/>
      </c>
      <c r="E27" s="38" t="str">
        <f>Pasākumu_līmenis!D22</f>
        <v>ERAF</v>
      </c>
      <c r="F27" s="38" t="str">
        <f>Pasākumu_līmenis!E22</f>
        <v>EM</v>
      </c>
      <c r="G27" s="278" t="str">
        <f>VLOOKUP(A27,'2. Intervences kategorijas - Pa'!B:D,2,FALSE)</f>
        <v>01 - Nostiprināt pētniecību, tehnoloģiju attīstību un inovāciju</v>
      </c>
      <c r="H27" s="169">
        <f>Pasākumu_līmenis!F22</f>
        <v>45129876</v>
      </c>
      <c r="I27" s="169">
        <f>Pasākumu_līmenis!G22</f>
        <v>0</v>
      </c>
      <c r="J27" s="169">
        <f>Pasākumu_līmenis!H22</f>
        <v>45129876</v>
      </c>
      <c r="K27" s="169">
        <f>Pasākumu_līmenis!I22</f>
        <v>0</v>
      </c>
      <c r="L27" s="169">
        <f>Pasākumu_līmenis!J22</f>
        <v>37454815.280000001</v>
      </c>
      <c r="M27" s="170">
        <f t="shared" si="14"/>
        <v>0.82993392846902569</v>
      </c>
      <c r="N27" s="170">
        <f t="shared" si="15"/>
        <v>0</v>
      </c>
      <c r="O27" s="170">
        <f t="shared" si="22"/>
        <v>0</v>
      </c>
      <c r="P27" s="169">
        <f>Pasākumu_līmenis!N22</f>
        <v>33</v>
      </c>
      <c r="Q27" s="169">
        <v>37454815.280000001</v>
      </c>
      <c r="R27" s="170">
        <v>0.82993392846902569</v>
      </c>
      <c r="S27" s="169">
        <f>Pasākumu_līmenis!Q22</f>
        <v>37454815.280000001</v>
      </c>
      <c r="T27" s="170">
        <f t="shared" si="16"/>
        <v>0.82993392846902569</v>
      </c>
      <c r="U27" s="170">
        <f t="shared" si="17"/>
        <v>0</v>
      </c>
      <c r="V27" s="170">
        <f t="shared" si="23"/>
        <v>0</v>
      </c>
      <c r="W27" s="169">
        <f>Pasākumu_līmenis!U22</f>
        <v>33</v>
      </c>
      <c r="X27" s="169">
        <v>37454815.280000001</v>
      </c>
      <c r="Y27" s="170">
        <v>0.82993392846902569</v>
      </c>
      <c r="Z27" s="169">
        <f>Pasākumu_līmenis!X22</f>
        <v>37454815.280000001</v>
      </c>
      <c r="AA27" s="170">
        <f t="shared" si="18"/>
        <v>0.82993392846902569</v>
      </c>
      <c r="AB27" s="170">
        <f t="shared" si="19"/>
        <v>0</v>
      </c>
      <c r="AC27" s="170">
        <f t="shared" si="1"/>
        <v>0</v>
      </c>
      <c r="AD27" s="169">
        <f>Pasākumu_līmenis!AB22</f>
        <v>33</v>
      </c>
      <c r="AE27" s="169">
        <v>37454815.280000001</v>
      </c>
      <c r="AF27" s="170">
        <v>0.82993392846902569</v>
      </c>
      <c r="AG27" s="169">
        <f>Pasākumu_līmenis!AE22</f>
        <v>37228874.539999999</v>
      </c>
      <c r="AH27" s="170">
        <f t="shared" si="20"/>
        <v>0.82492747243533304</v>
      </c>
      <c r="AI27" s="170">
        <f t="shared" si="21"/>
        <v>-2.2158264112448478E-10</v>
      </c>
      <c r="AJ27" s="170">
        <f t="shared" si="3"/>
        <v>-2.6860865483341433E-10</v>
      </c>
      <c r="AK27" s="169">
        <v>37228874.549999997</v>
      </c>
      <c r="AL27" s="170">
        <v>0.82492747265691568</v>
      </c>
    </row>
    <row r="28" spans="1:38" ht="29.25" customHeight="1" x14ac:dyDescent="0.3">
      <c r="A28" s="251" t="s">
        <v>430</v>
      </c>
      <c r="B28" s="252" t="str">
        <f>VLOOKUP(A28,saīsinājumi_LV_ENG!A:G,5,FALSE)</f>
        <v>Inovāciju ieviešana komersantos</v>
      </c>
      <c r="C28" s="220" t="s">
        <v>9</v>
      </c>
      <c r="D28" s="220" t="str">
        <f>IFERROR(IF((VLOOKUP(A28,Pasākumu_līmenis!A:H,3,0))=0,"",VLOOKUP(A28,Pasākumu_līmenis!A:H,3,0)),"")</f>
        <v/>
      </c>
      <c r="E28" s="222"/>
      <c r="F28" s="222"/>
      <c r="G28" s="277"/>
      <c r="H28" s="223">
        <f>SUM(H29:H31)</f>
        <v>24195278</v>
      </c>
      <c r="I28" s="223">
        <f>SUM(I29:I31)</f>
        <v>0</v>
      </c>
      <c r="J28" s="223">
        <f>SUM(J29:J31)</f>
        <v>24195278</v>
      </c>
      <c r="K28" s="223">
        <f>SUM(K29:K31)</f>
        <v>292849.87196192303</v>
      </c>
      <c r="L28" s="223">
        <f>SUM(L29:L31)</f>
        <v>19799028.82</v>
      </c>
      <c r="M28" s="224">
        <f t="shared" si="14"/>
        <v>0.81830135698378836</v>
      </c>
      <c r="N28" s="224">
        <f t="shared" si="15"/>
        <v>0</v>
      </c>
      <c r="O28" s="224">
        <f t="shared" si="22"/>
        <v>0</v>
      </c>
      <c r="P28" s="223">
        <f>SUM(P29:P31)</f>
        <v>19</v>
      </c>
      <c r="Q28" s="223">
        <v>19799028.82</v>
      </c>
      <c r="R28" s="224">
        <v>0.81830135698378836</v>
      </c>
      <c r="S28" s="223">
        <f>SUM(S29:S31)</f>
        <v>19799028.82</v>
      </c>
      <c r="T28" s="224">
        <f t="shared" si="16"/>
        <v>0.81830135698378836</v>
      </c>
      <c r="U28" s="224">
        <f t="shared" si="17"/>
        <v>0</v>
      </c>
      <c r="V28" s="224">
        <f t="shared" si="23"/>
        <v>0</v>
      </c>
      <c r="W28" s="223">
        <f>SUM(W29:W31)</f>
        <v>19</v>
      </c>
      <c r="X28" s="223">
        <v>19799028.82</v>
      </c>
      <c r="Y28" s="224">
        <v>0.81830135698378836</v>
      </c>
      <c r="Z28" s="223">
        <f>SUM(Z29:Z31)</f>
        <v>19799028.82</v>
      </c>
      <c r="AA28" s="224">
        <f t="shared" si="18"/>
        <v>0.81830135698378836</v>
      </c>
      <c r="AB28" s="224">
        <f t="shared" si="19"/>
        <v>0</v>
      </c>
      <c r="AC28" s="224">
        <f t="shared" si="1"/>
        <v>0</v>
      </c>
      <c r="AD28" s="223">
        <f>SUM(AD29:AD31)</f>
        <v>19</v>
      </c>
      <c r="AE28" s="223">
        <v>19799028.82</v>
      </c>
      <c r="AF28" s="224">
        <v>0.81830135698378836</v>
      </c>
      <c r="AG28" s="223">
        <f>SUM(AG29:AG31)</f>
        <v>18312037.18</v>
      </c>
      <c r="AH28" s="224">
        <f t="shared" si="20"/>
        <v>0.75684342953199379</v>
      </c>
      <c r="AI28" s="224">
        <f t="shared" si="21"/>
        <v>-1.2399113579109056E-4</v>
      </c>
      <c r="AJ28" s="224">
        <f t="shared" si="3"/>
        <v>-1.6379983128158738E-4</v>
      </c>
      <c r="AK28" s="223">
        <v>18315037.18</v>
      </c>
      <c r="AL28" s="224">
        <v>0.75696742066778488</v>
      </c>
    </row>
    <row r="29" spans="1:38" ht="21" customHeight="1" x14ac:dyDescent="0.3">
      <c r="A29" s="253" t="s">
        <v>247</v>
      </c>
      <c r="B29" s="254" t="str">
        <f>VLOOKUP(A29,saīsinājumi_LV_ENG!A:G,5,FALSE)</f>
        <v>Nodarbināto apmācības</v>
      </c>
      <c r="C29" s="10" t="s">
        <v>169</v>
      </c>
      <c r="D29" s="10" t="str">
        <f>IFERROR(IF((VLOOKUP(A29,Pasākumu_līmenis!A:H,3,0))=0,"",VLOOKUP(A29,Pasākumu_līmenis!A:H,3,0)),"")</f>
        <v/>
      </c>
      <c r="E29" s="38" t="str">
        <f>Pasākumu_līmenis!D23</f>
        <v>ERAF</v>
      </c>
      <c r="F29" s="38" t="str">
        <f>Pasākumu_līmenis!E23</f>
        <v>EM</v>
      </c>
      <c r="G29" s="278" t="str">
        <f>VLOOKUP(A29,'2. Intervences kategorijas - Pa'!B:D,2,FALSE)</f>
        <v>01 - Nostiprināt pētniecību, tehnoloģiju attīstību un inovāciju</v>
      </c>
      <c r="H29" s="169">
        <f>Pasākumu_līmenis!F23</f>
        <v>14735844</v>
      </c>
      <c r="I29" s="169">
        <f>Pasākumu_līmenis!G23</f>
        <v>0</v>
      </c>
      <c r="J29" s="169">
        <f>Pasākumu_līmenis!H23</f>
        <v>14735844</v>
      </c>
      <c r="K29" s="169">
        <f>Pasākumu_līmenis!I23</f>
        <v>0</v>
      </c>
      <c r="L29" s="169">
        <f>Pasākumu_līmenis!J23</f>
        <v>10450395.23</v>
      </c>
      <c r="M29" s="170">
        <f t="shared" si="14"/>
        <v>0.70918199391904535</v>
      </c>
      <c r="N29" s="170">
        <f t="shared" si="15"/>
        <v>0</v>
      </c>
      <c r="O29" s="170">
        <f t="shared" si="22"/>
        <v>0</v>
      </c>
      <c r="P29" s="169">
        <f>Pasākumu_līmenis!N23</f>
        <v>15</v>
      </c>
      <c r="Q29" s="169">
        <v>10450395.23</v>
      </c>
      <c r="R29" s="170">
        <v>0.70918199391904535</v>
      </c>
      <c r="S29" s="169">
        <f>Pasākumu_līmenis!Q23</f>
        <v>10450395.23</v>
      </c>
      <c r="T29" s="170">
        <f t="shared" si="16"/>
        <v>0.70918199391904535</v>
      </c>
      <c r="U29" s="170">
        <f t="shared" si="17"/>
        <v>0</v>
      </c>
      <c r="V29" s="170">
        <f t="shared" si="23"/>
        <v>0</v>
      </c>
      <c r="W29" s="169">
        <f>Pasākumu_līmenis!U23</f>
        <v>15</v>
      </c>
      <c r="X29" s="169">
        <v>10450395.23</v>
      </c>
      <c r="Y29" s="170">
        <v>0.70918199391904535</v>
      </c>
      <c r="Z29" s="169">
        <f>Pasākumu_līmenis!X23</f>
        <v>10450395.23</v>
      </c>
      <c r="AA29" s="170">
        <f t="shared" si="18"/>
        <v>0.70918199391904535</v>
      </c>
      <c r="AB29" s="170">
        <f t="shared" si="19"/>
        <v>0</v>
      </c>
      <c r="AC29" s="170">
        <f t="shared" si="1"/>
        <v>0</v>
      </c>
      <c r="AD29" s="169">
        <f>Pasākumu_līmenis!AB23</f>
        <v>15</v>
      </c>
      <c r="AE29" s="169">
        <v>10450395.23</v>
      </c>
      <c r="AF29" s="170">
        <v>0.70918199391904535</v>
      </c>
      <c r="AG29" s="169">
        <f>Pasākumu_līmenis!AE23</f>
        <v>10498076.439999999</v>
      </c>
      <c r="AH29" s="170">
        <f t="shared" si="20"/>
        <v>0.71241772374897561</v>
      </c>
      <c r="AI29" s="170">
        <f t="shared" si="21"/>
        <v>0</v>
      </c>
      <c r="AJ29" s="170">
        <f t="shared" si="3"/>
        <v>0</v>
      </c>
      <c r="AK29" s="169">
        <v>10498076.439999999</v>
      </c>
      <c r="AL29" s="170">
        <v>0.71241772374897561</v>
      </c>
    </row>
    <row r="30" spans="1:38" ht="21" customHeight="1" x14ac:dyDescent="0.3">
      <c r="A30" s="253" t="s">
        <v>248</v>
      </c>
      <c r="B30" s="254" t="str">
        <f>VLOOKUP(A30,saīsinājumi_LV_ENG!A:G,5,FALSE)</f>
        <v>Inovāciju motivācija</v>
      </c>
      <c r="C30" s="10" t="s">
        <v>170</v>
      </c>
      <c r="D30" s="10" t="str">
        <f>IFERROR(IF((VLOOKUP(A30,Pasākumu_līmenis!A:H,3,0))=0,"",VLOOKUP(A30,Pasākumu_līmenis!A:H,3,0)),"")</f>
        <v/>
      </c>
      <c r="E30" s="38" t="str">
        <f>Pasākumu_līmenis!D24</f>
        <v>ERAF</v>
      </c>
      <c r="F30" s="38" t="str">
        <f>Pasākumu_līmenis!E24</f>
        <v>EM</v>
      </c>
      <c r="G30" s="278" t="str">
        <f>VLOOKUP(A30,'2. Intervences kategorijas - Pa'!B:D,2,FALSE)</f>
        <v>01 - Nostiprināt pētniecību, tehnoloģiju attīstību un inovāciju</v>
      </c>
      <c r="H30" s="169">
        <f>Pasākumu_līmenis!F24</f>
        <v>4801192</v>
      </c>
      <c r="I30" s="169">
        <f>Pasākumu_līmenis!G24</f>
        <v>0</v>
      </c>
      <c r="J30" s="169">
        <f>Pasākumu_līmenis!H24</f>
        <v>4801192</v>
      </c>
      <c r="K30" s="169">
        <f>Pasākumu_līmenis!I24</f>
        <v>292849.87196192303</v>
      </c>
      <c r="L30" s="169">
        <f>Pasākumu_līmenis!J24</f>
        <v>4785304.3499999996</v>
      </c>
      <c r="M30" s="170">
        <f t="shared" si="14"/>
        <v>0.99669089467782157</v>
      </c>
      <c r="N30" s="170">
        <f t="shared" si="15"/>
        <v>0</v>
      </c>
      <c r="O30" s="170">
        <f t="shared" si="22"/>
        <v>0</v>
      </c>
      <c r="P30" s="169">
        <f>Pasākumu_līmenis!N24</f>
        <v>1</v>
      </c>
      <c r="Q30" s="169">
        <v>4785304.3499999996</v>
      </c>
      <c r="R30" s="170">
        <v>0.99669089467782157</v>
      </c>
      <c r="S30" s="169">
        <f>Pasākumu_līmenis!Q24</f>
        <v>4785304.3499999996</v>
      </c>
      <c r="T30" s="170">
        <f t="shared" si="16"/>
        <v>0.99669089467782157</v>
      </c>
      <c r="U30" s="170">
        <f t="shared" si="17"/>
        <v>0</v>
      </c>
      <c r="V30" s="170">
        <f t="shared" si="23"/>
        <v>0</v>
      </c>
      <c r="W30" s="169">
        <f>Pasākumu_līmenis!U24</f>
        <v>1</v>
      </c>
      <c r="X30" s="169">
        <v>4785304.3499999996</v>
      </c>
      <c r="Y30" s="170">
        <v>0.99669089467782157</v>
      </c>
      <c r="Z30" s="169">
        <f>Pasākumu_līmenis!X24</f>
        <v>4785304.3499999996</v>
      </c>
      <c r="AA30" s="170">
        <f t="shared" si="18"/>
        <v>0.99669089467782157</v>
      </c>
      <c r="AB30" s="170">
        <f t="shared" si="19"/>
        <v>0</v>
      </c>
      <c r="AC30" s="170">
        <f t="shared" si="1"/>
        <v>0</v>
      </c>
      <c r="AD30" s="169">
        <f>Pasākumu_līmenis!AB24</f>
        <v>1</v>
      </c>
      <c r="AE30" s="169">
        <v>4785304.3499999996</v>
      </c>
      <c r="AF30" s="170">
        <v>0.99669089467782157</v>
      </c>
      <c r="AG30" s="169">
        <f>Pasākumu_līmenis!AE24</f>
        <v>4785304.3499999996</v>
      </c>
      <c r="AH30" s="170">
        <f t="shared" si="20"/>
        <v>0.99669089467782157</v>
      </c>
      <c r="AI30" s="170">
        <f t="shared" si="21"/>
        <v>0</v>
      </c>
      <c r="AJ30" s="170">
        <f t="shared" si="3"/>
        <v>0</v>
      </c>
      <c r="AK30" s="169">
        <v>4785304.3499999996</v>
      </c>
      <c r="AL30" s="170">
        <v>0.99669089467782157</v>
      </c>
    </row>
    <row r="31" spans="1:38" ht="39.75" customHeight="1" x14ac:dyDescent="0.3">
      <c r="A31" s="253" t="s">
        <v>395</v>
      </c>
      <c r="B31" s="254" t="str">
        <f>VLOOKUP(A31,saīsinājumi_LV_ENG!A:G,5,FALSE)</f>
        <v>IKT un netehnoloģiskās apmācības</v>
      </c>
      <c r="C31" s="10" t="s">
        <v>394</v>
      </c>
      <c r="D31" s="10" t="str">
        <f>IFERROR(IF((VLOOKUP(A31,Pasākumu_līmenis!A:H,3,0))=0,"",VLOOKUP(A31,Pasākumu_līmenis!A:H,3,0)),"")</f>
        <v/>
      </c>
      <c r="E31" s="38" t="str">
        <f>Pasākumu_līmenis!D25</f>
        <v>ERAF</v>
      </c>
      <c r="F31" s="38" t="s">
        <v>349</v>
      </c>
      <c r="G31" s="278" t="str">
        <f>VLOOKUP(A31,'2. Intervences kategorijas - Pa'!B:D,2,FALSE)</f>
        <v>01 - Nostiprināt pētniecību, tehnoloģiju attīstību un inovāciju</v>
      </c>
      <c r="H31" s="169">
        <f>Pasākumu_līmenis!F25</f>
        <v>4658242</v>
      </c>
      <c r="I31" s="169">
        <f>Pasākumu_līmenis!G25</f>
        <v>0</v>
      </c>
      <c r="J31" s="169">
        <f>Pasākumu_līmenis!H25</f>
        <v>4658242</v>
      </c>
      <c r="K31" s="169">
        <f>Pasākumu_līmenis!I25</f>
        <v>0</v>
      </c>
      <c r="L31" s="169">
        <f>Pasākumu_līmenis!J25</f>
        <v>4563329.24</v>
      </c>
      <c r="M31" s="170">
        <f>L31/$H31</f>
        <v>0.97962476831388323</v>
      </c>
      <c r="N31" s="170">
        <f>M31-R31</f>
        <v>0</v>
      </c>
      <c r="O31" s="170">
        <f t="shared" si="22"/>
        <v>0</v>
      </c>
      <c r="P31" s="169">
        <f>Pasākumu_līmenis!N25</f>
        <v>3</v>
      </c>
      <c r="Q31" s="169">
        <v>4563329.24</v>
      </c>
      <c r="R31" s="170">
        <v>0.97962476831388323</v>
      </c>
      <c r="S31" s="169">
        <f>Pasākumu_līmenis!Q25</f>
        <v>4563329.24</v>
      </c>
      <c r="T31" s="170">
        <f>S31/$H31</f>
        <v>0.97962476831388323</v>
      </c>
      <c r="U31" s="170">
        <f>T31-Y31</f>
        <v>0</v>
      </c>
      <c r="V31" s="170">
        <f t="shared" si="23"/>
        <v>0</v>
      </c>
      <c r="W31" s="169">
        <f>Pasākumu_līmenis!U25</f>
        <v>3</v>
      </c>
      <c r="X31" s="169">
        <v>4563329.24</v>
      </c>
      <c r="Y31" s="170">
        <v>0.97962476831388323</v>
      </c>
      <c r="Z31" s="169">
        <f>Pasākumu_līmenis!X25</f>
        <v>4563329.24</v>
      </c>
      <c r="AA31" s="170">
        <f>Z31/$H31</f>
        <v>0.97962476831388323</v>
      </c>
      <c r="AB31" s="170">
        <f>AA31-AF31</f>
        <v>0</v>
      </c>
      <c r="AC31" s="170">
        <f t="shared" si="1"/>
        <v>0</v>
      </c>
      <c r="AD31" s="169">
        <f>Pasākumu_līmenis!AB25</f>
        <v>3</v>
      </c>
      <c r="AE31" s="169">
        <v>4563329.24</v>
      </c>
      <c r="AF31" s="170">
        <v>0.97962476831388323</v>
      </c>
      <c r="AG31" s="169">
        <f>Pasākumu_līmenis!AE25</f>
        <v>3028656.3900000006</v>
      </c>
      <c r="AH31" s="170">
        <f>AG31/$H31</f>
        <v>0.65017154325601823</v>
      </c>
      <c r="AI31" s="170">
        <f>AH31-AL31</f>
        <v>-6.4401978257022652E-4</v>
      </c>
      <c r="AJ31" s="170">
        <f t="shared" si="3"/>
        <v>-9.895580547635873E-4</v>
      </c>
      <c r="AK31" s="169">
        <v>3031656.3900000006</v>
      </c>
      <c r="AL31" s="170">
        <v>0.65081556303858845</v>
      </c>
    </row>
    <row r="32" spans="1:38" s="22" customFormat="1" ht="36.75" customHeight="1" x14ac:dyDescent="0.3">
      <c r="A32" s="247" t="s">
        <v>12</v>
      </c>
      <c r="B32" s="248" t="str">
        <f>VLOOKUP(A32,saīsinājumi_LV_ENG!A:G,5,FALSE)</f>
        <v>Informāciju un komunikāciju tehnoloģijas (IKT)</v>
      </c>
      <c r="C32" s="8" t="s">
        <v>13</v>
      </c>
      <c r="D32" s="228"/>
      <c r="E32" s="26"/>
      <c r="F32" s="26"/>
      <c r="G32" s="279"/>
      <c r="H32" s="185">
        <f>H33+H35</f>
        <v>171083829</v>
      </c>
      <c r="I32" s="185">
        <f>I33+I35</f>
        <v>0</v>
      </c>
      <c r="J32" s="185">
        <f>J33+J35</f>
        <v>171083829</v>
      </c>
      <c r="K32" s="185">
        <f>K33+K35</f>
        <v>7856779.6605614899</v>
      </c>
      <c r="L32" s="185">
        <f>L33+L35</f>
        <v>165233954.75</v>
      </c>
      <c r="M32" s="186">
        <f t="shared" si="14"/>
        <v>0.96580697144672856</v>
      </c>
      <c r="N32" s="186">
        <f t="shared" si="15"/>
        <v>5.1742552476996551E-4</v>
      </c>
      <c r="O32" s="186">
        <f t="shared" si="22"/>
        <v>5.3603141871364597E-4</v>
      </c>
      <c r="P32" s="185">
        <f>P33+P35</f>
        <v>59</v>
      </c>
      <c r="Q32" s="173">
        <v>165145431.61000001</v>
      </c>
      <c r="R32" s="174">
        <v>0.96528954592195859</v>
      </c>
      <c r="S32" s="185">
        <f>S33+S35</f>
        <v>165233954.75</v>
      </c>
      <c r="T32" s="186">
        <f t="shared" si="16"/>
        <v>0.96580697144672856</v>
      </c>
      <c r="U32" s="186">
        <f t="shared" si="17"/>
        <v>5.1742552476996551E-4</v>
      </c>
      <c r="V32" s="186">
        <f t="shared" si="23"/>
        <v>5.3603141871364597E-4</v>
      </c>
      <c r="W32" s="185">
        <f>W33+W35</f>
        <v>59</v>
      </c>
      <c r="X32" s="185">
        <v>165145431.61000001</v>
      </c>
      <c r="Y32" s="186">
        <v>0.96528954592195859</v>
      </c>
      <c r="Z32" s="185">
        <f>Z33+Z35</f>
        <v>165233954.75</v>
      </c>
      <c r="AA32" s="186">
        <f t="shared" si="18"/>
        <v>0.96580697144672856</v>
      </c>
      <c r="AB32" s="186">
        <f t="shared" si="19"/>
        <v>5.1742552476996551E-4</v>
      </c>
      <c r="AC32" s="186">
        <f t="shared" si="1"/>
        <v>5.3603141871364597E-4</v>
      </c>
      <c r="AD32" s="185">
        <f>AD33+AD35</f>
        <v>59</v>
      </c>
      <c r="AE32" s="173">
        <v>165145431.61000001</v>
      </c>
      <c r="AF32" s="174">
        <v>0.96528954592195859</v>
      </c>
      <c r="AG32" s="185">
        <f>AG33+AG35</f>
        <v>165233206.75</v>
      </c>
      <c r="AH32" s="186">
        <f t="shared" si="20"/>
        <v>0.96580259932106149</v>
      </c>
      <c r="AI32" s="186">
        <f t="shared" si="21"/>
        <v>5.1742552476996551E-4</v>
      </c>
      <c r="AJ32" s="186">
        <f t="shared" si="3"/>
        <v>5.3603384659380797E-4</v>
      </c>
      <c r="AK32" s="185">
        <v>165144683.61000001</v>
      </c>
      <c r="AL32" s="186">
        <v>0.96528517379629153</v>
      </c>
    </row>
    <row r="33" spans="1:38" ht="21" customHeight="1" x14ac:dyDescent="0.3">
      <c r="A33" s="249" t="s">
        <v>10</v>
      </c>
      <c r="B33" s="250" t="str">
        <f>VLOOKUP(A33,saīsinājumi_LV_ENG!A:G,5,FALSE)</f>
        <v>Platjoslu pakalpojumi</v>
      </c>
      <c r="C33" s="215" t="s">
        <v>14</v>
      </c>
      <c r="D33" s="215" t="str">
        <f>IFERROR(IF((VLOOKUP(A33,Pasākumu_līmenis!A:H,3,0))=0,"",VLOOKUP(A33,Pasākumu_līmenis!A:H,3,0)),"")</f>
        <v/>
      </c>
      <c r="E33" s="217"/>
      <c r="F33" s="217"/>
      <c r="G33" s="276"/>
      <c r="H33" s="218">
        <f>H34</f>
        <v>42274115</v>
      </c>
      <c r="I33" s="218">
        <f>I34</f>
        <v>0</v>
      </c>
      <c r="J33" s="218">
        <f>J34</f>
        <v>42274115</v>
      </c>
      <c r="K33" s="218">
        <f>K34</f>
        <v>0</v>
      </c>
      <c r="L33" s="218">
        <f>L34</f>
        <v>39542253.600000001</v>
      </c>
      <c r="M33" s="219">
        <f t="shared" si="14"/>
        <v>0.93537744314694704</v>
      </c>
      <c r="N33" s="219">
        <f t="shared" si="15"/>
        <v>0</v>
      </c>
      <c r="O33" s="219">
        <f t="shared" si="22"/>
        <v>0</v>
      </c>
      <c r="P33" s="218">
        <f>P34</f>
        <v>1</v>
      </c>
      <c r="Q33" s="218">
        <v>39542253.600000001</v>
      </c>
      <c r="R33" s="219">
        <v>0.93537744314694704</v>
      </c>
      <c r="S33" s="218">
        <f>S34</f>
        <v>39542253.600000001</v>
      </c>
      <c r="T33" s="219">
        <f t="shared" si="16"/>
        <v>0.93537744314694704</v>
      </c>
      <c r="U33" s="219">
        <f t="shared" si="17"/>
        <v>0</v>
      </c>
      <c r="V33" s="219">
        <f t="shared" si="23"/>
        <v>0</v>
      </c>
      <c r="W33" s="218">
        <f>W34</f>
        <v>1</v>
      </c>
      <c r="X33" s="218">
        <v>39542253.600000001</v>
      </c>
      <c r="Y33" s="219">
        <v>0.93537744314694704</v>
      </c>
      <c r="Z33" s="218">
        <f>Z34</f>
        <v>39542253.600000001</v>
      </c>
      <c r="AA33" s="219">
        <f t="shared" si="18"/>
        <v>0.93537744314694704</v>
      </c>
      <c r="AB33" s="219">
        <f t="shared" si="19"/>
        <v>0</v>
      </c>
      <c r="AC33" s="219">
        <f t="shared" si="1"/>
        <v>0</v>
      </c>
      <c r="AD33" s="218">
        <f>AD34</f>
        <v>1</v>
      </c>
      <c r="AE33" s="218">
        <v>39542253.600000001</v>
      </c>
      <c r="AF33" s="219">
        <v>0.93537744314694704</v>
      </c>
      <c r="AG33" s="218">
        <f>AG34</f>
        <v>39542253.600000001</v>
      </c>
      <c r="AH33" s="219">
        <f t="shared" si="20"/>
        <v>0.93537744314694704</v>
      </c>
      <c r="AI33" s="219">
        <f t="shared" si="21"/>
        <v>0</v>
      </c>
      <c r="AJ33" s="219">
        <f>IFERROR(((AG33-AK33)/AK33),0)</f>
        <v>0</v>
      </c>
      <c r="AK33" s="218">
        <v>39542253.600000001</v>
      </c>
      <c r="AL33" s="219">
        <v>0.93537744314694704</v>
      </c>
    </row>
    <row r="34" spans="1:38" ht="21" customHeight="1" x14ac:dyDescent="0.3">
      <c r="A34" s="255" t="s">
        <v>250</v>
      </c>
      <c r="B34" s="254" t="str">
        <f>VLOOKUP(A34,saīsinājumi_LV_ENG!A:G,5,FALSE)</f>
        <v>Platjoslas infrastruktūra</v>
      </c>
      <c r="C34" s="10" t="s">
        <v>15</v>
      </c>
      <c r="D34" s="10"/>
      <c r="E34" s="38" t="str">
        <f>Pasākumu_līmenis!D27</f>
        <v>ERAF</v>
      </c>
      <c r="F34" s="38" t="str">
        <f>Pasākumu_līmenis!E27</f>
        <v>SM</v>
      </c>
      <c r="G34" s="278" t="str">
        <f>VLOOKUP(A34,'2. Intervences kategorijas - Pa'!B:D,2,FALSE)</f>
        <v>02 - Uzlabot piekļuvi informācijai un komunikācijas tehnoloģijām, to izmantošanu un kvalitāti</v>
      </c>
      <c r="H34" s="169">
        <f>Pasākumu_līmenis!F27</f>
        <v>42274115</v>
      </c>
      <c r="I34" s="169">
        <f>Pasākumu_līmenis!G27</f>
        <v>0</v>
      </c>
      <c r="J34" s="169">
        <f>Pasākumu_līmenis!H27</f>
        <v>42274115</v>
      </c>
      <c r="K34" s="169">
        <f>Pasākumu_līmenis!I27</f>
        <v>0</v>
      </c>
      <c r="L34" s="169">
        <f>Pasākumu_līmenis!J27</f>
        <v>39542253.600000001</v>
      </c>
      <c r="M34" s="170">
        <f t="shared" si="14"/>
        <v>0.93537744314694704</v>
      </c>
      <c r="N34" s="170">
        <f t="shared" si="15"/>
        <v>0</v>
      </c>
      <c r="O34" s="170">
        <f t="shared" si="22"/>
        <v>0</v>
      </c>
      <c r="P34" s="169">
        <f>Pasākumu_līmenis!N27</f>
        <v>1</v>
      </c>
      <c r="Q34" s="169">
        <v>39542253.600000001</v>
      </c>
      <c r="R34" s="170">
        <v>0.93537744314694704</v>
      </c>
      <c r="S34" s="169">
        <f>Pasākumu_līmenis!Q27</f>
        <v>39542253.600000001</v>
      </c>
      <c r="T34" s="170">
        <f t="shared" si="16"/>
        <v>0.93537744314694704</v>
      </c>
      <c r="U34" s="170">
        <f t="shared" si="17"/>
        <v>0</v>
      </c>
      <c r="V34" s="170">
        <f t="shared" si="23"/>
        <v>0</v>
      </c>
      <c r="W34" s="169">
        <f>Pasākumu_līmenis!U27</f>
        <v>1</v>
      </c>
      <c r="X34" s="169">
        <v>39542253.600000001</v>
      </c>
      <c r="Y34" s="170">
        <v>0.93537744314694704</v>
      </c>
      <c r="Z34" s="169">
        <f>Pasākumu_līmenis!X27</f>
        <v>39542253.600000001</v>
      </c>
      <c r="AA34" s="170">
        <f t="shared" si="18"/>
        <v>0.93537744314694704</v>
      </c>
      <c r="AB34" s="170">
        <f t="shared" si="19"/>
        <v>0</v>
      </c>
      <c r="AC34" s="170">
        <f t="shared" si="1"/>
        <v>0</v>
      </c>
      <c r="AD34" s="169">
        <f>Pasākumu_līmenis!AB27</f>
        <v>1</v>
      </c>
      <c r="AE34" s="169">
        <v>39542253.600000001</v>
      </c>
      <c r="AF34" s="170">
        <v>0.93537744314694704</v>
      </c>
      <c r="AG34" s="169">
        <f>Pasākumu_līmenis!AE27</f>
        <v>39542253.600000001</v>
      </c>
      <c r="AH34" s="170">
        <f t="shared" si="20"/>
        <v>0.93537744314694704</v>
      </c>
      <c r="AI34" s="170">
        <f t="shared" si="21"/>
        <v>0</v>
      </c>
      <c r="AJ34" s="170">
        <f t="shared" si="3"/>
        <v>0</v>
      </c>
      <c r="AK34" s="169">
        <v>39542253.600000001</v>
      </c>
      <c r="AL34" s="170">
        <v>0.93537744314694704</v>
      </c>
    </row>
    <row r="35" spans="1:38" ht="41.25" customHeight="1" x14ac:dyDescent="0.3">
      <c r="A35" s="249" t="s">
        <v>16</v>
      </c>
      <c r="B35" s="250" t="s">
        <v>710</v>
      </c>
      <c r="C35" s="215" t="s">
        <v>17</v>
      </c>
      <c r="D35" s="215" t="str">
        <f>IFERROR(IF((VLOOKUP(A35,Pasākumu_līmenis!A:H,3,0))=0,"",VLOOKUP(A35,Pasākumu_līmenis!A:H,3,0)),"")</f>
        <v/>
      </c>
      <c r="E35" s="217"/>
      <c r="F35" s="217"/>
      <c r="G35" s="276"/>
      <c r="H35" s="218">
        <f>H36</f>
        <v>128809714</v>
      </c>
      <c r="I35" s="218">
        <f>I36</f>
        <v>0</v>
      </c>
      <c r="J35" s="218">
        <f>J36</f>
        <v>128809714</v>
      </c>
      <c r="K35" s="218">
        <f>K36</f>
        <v>7856779.6605614899</v>
      </c>
      <c r="L35" s="218">
        <f>L36</f>
        <v>125691701.15000001</v>
      </c>
      <c r="M35" s="219">
        <f t="shared" si="14"/>
        <v>0.97579365132353302</v>
      </c>
      <c r="N35" s="219">
        <f t="shared" si="15"/>
        <v>6.8723962852679232E-4</v>
      </c>
      <c r="O35" s="219">
        <f t="shared" si="22"/>
        <v>7.0478423717075652E-4</v>
      </c>
      <c r="P35" s="218">
        <f>P36</f>
        <v>58</v>
      </c>
      <c r="Q35" s="218">
        <v>125603178.01000001</v>
      </c>
      <c r="R35" s="219">
        <v>0.97510641169500623</v>
      </c>
      <c r="S35" s="218">
        <f>S36</f>
        <v>125691701.15000001</v>
      </c>
      <c r="T35" s="219">
        <f t="shared" si="16"/>
        <v>0.97579365132353302</v>
      </c>
      <c r="U35" s="219">
        <f t="shared" si="17"/>
        <v>6.8723962852679232E-4</v>
      </c>
      <c r="V35" s="219">
        <f t="shared" si="23"/>
        <v>7.0478423717075652E-4</v>
      </c>
      <c r="W35" s="218">
        <f>W36</f>
        <v>58</v>
      </c>
      <c r="X35" s="218">
        <v>125603178.01000001</v>
      </c>
      <c r="Y35" s="219">
        <v>0.97510641169500623</v>
      </c>
      <c r="Z35" s="218">
        <f>Z36</f>
        <v>125691701.15000001</v>
      </c>
      <c r="AA35" s="219">
        <f t="shared" si="18"/>
        <v>0.97579365132353302</v>
      </c>
      <c r="AB35" s="219">
        <f t="shared" si="19"/>
        <v>6.8723962852679232E-4</v>
      </c>
      <c r="AC35" s="219">
        <f t="shared" si="1"/>
        <v>7.0478423717075652E-4</v>
      </c>
      <c r="AD35" s="218">
        <f>AD36</f>
        <v>58</v>
      </c>
      <c r="AE35" s="218">
        <v>125603178.01000001</v>
      </c>
      <c r="AF35" s="219">
        <v>0.97510641169500623</v>
      </c>
      <c r="AG35" s="218">
        <f>AG36</f>
        <v>125690953.15000001</v>
      </c>
      <c r="AH35" s="219">
        <f t="shared" si="20"/>
        <v>0.97578784430807763</v>
      </c>
      <c r="AI35" s="219">
        <f t="shared" si="21"/>
        <v>6.8723962852679232E-4</v>
      </c>
      <c r="AJ35" s="219">
        <f t="shared" si="3"/>
        <v>7.0478843437147437E-4</v>
      </c>
      <c r="AK35" s="218">
        <v>125602430.01000001</v>
      </c>
      <c r="AL35" s="219">
        <v>0.97510060467955084</v>
      </c>
    </row>
    <row r="36" spans="1:38" ht="21" customHeight="1" x14ac:dyDescent="0.3">
      <c r="A36" s="251" t="s">
        <v>431</v>
      </c>
      <c r="B36" s="252" t="str">
        <f>VLOOKUP(A36,saīsinājumi_LV_ENG!A:G,5,FALSE)</f>
        <v>IKT un procesu pilnveide</v>
      </c>
      <c r="C36" s="220" t="s">
        <v>36</v>
      </c>
      <c r="D36" s="220" t="str">
        <f>IFERROR(IF((VLOOKUP(A36,Pasākumu_līmenis!A:H,3,0))=0,"",VLOOKUP(A36,Pasākumu_līmenis!A:H,3,0)),"")</f>
        <v/>
      </c>
      <c r="E36" s="222"/>
      <c r="F36" s="222"/>
      <c r="G36" s="277"/>
      <c r="H36" s="223">
        <f>SUM(H37:H38)</f>
        <v>128809714</v>
      </c>
      <c r="I36" s="223">
        <f>SUM(I37:I38)</f>
        <v>0</v>
      </c>
      <c r="J36" s="223">
        <f>SUM(J37:J38)</f>
        <v>128809714</v>
      </c>
      <c r="K36" s="223">
        <f>SUM(K37:K38)</f>
        <v>7856779.6605614899</v>
      </c>
      <c r="L36" s="223">
        <f>SUM(L37:L38)</f>
        <v>125691701.15000001</v>
      </c>
      <c r="M36" s="224">
        <f t="shared" si="14"/>
        <v>0.97579365132353302</v>
      </c>
      <c r="N36" s="224">
        <f t="shared" si="15"/>
        <v>6.8723962852679232E-4</v>
      </c>
      <c r="O36" s="224">
        <f t="shared" si="22"/>
        <v>7.0478423717075652E-4</v>
      </c>
      <c r="P36" s="223">
        <f>SUM(P37:P38)</f>
        <v>58</v>
      </c>
      <c r="Q36" s="223">
        <v>125603178.01000001</v>
      </c>
      <c r="R36" s="224">
        <v>0.97510641169500623</v>
      </c>
      <c r="S36" s="223">
        <f>SUM(S37:S38)</f>
        <v>125691701.15000001</v>
      </c>
      <c r="T36" s="224">
        <f t="shared" si="16"/>
        <v>0.97579365132353302</v>
      </c>
      <c r="U36" s="224">
        <f t="shared" si="17"/>
        <v>6.8723962852679232E-4</v>
      </c>
      <c r="V36" s="224">
        <f t="shared" si="23"/>
        <v>7.0478423717075652E-4</v>
      </c>
      <c r="W36" s="223">
        <f>SUM(W37:W38)</f>
        <v>58</v>
      </c>
      <c r="X36" s="223">
        <v>125603178.01000001</v>
      </c>
      <c r="Y36" s="224">
        <v>0.97510641169500623</v>
      </c>
      <c r="Z36" s="223">
        <f>SUM(Z37:Z38)</f>
        <v>125691701.15000001</v>
      </c>
      <c r="AA36" s="224">
        <f t="shared" si="18"/>
        <v>0.97579365132353302</v>
      </c>
      <c r="AB36" s="224">
        <f t="shared" si="19"/>
        <v>6.8723962852679232E-4</v>
      </c>
      <c r="AC36" s="224">
        <f t="shared" si="1"/>
        <v>7.0478423717075652E-4</v>
      </c>
      <c r="AD36" s="223">
        <f>SUM(AD37:AD38)</f>
        <v>58</v>
      </c>
      <c r="AE36" s="223">
        <v>125603178.01000001</v>
      </c>
      <c r="AF36" s="224">
        <v>0.97510641169500623</v>
      </c>
      <c r="AG36" s="223">
        <f>SUM(AG37:AG38)</f>
        <v>125690953.15000001</v>
      </c>
      <c r="AH36" s="224">
        <f t="shared" si="20"/>
        <v>0.97578784430807763</v>
      </c>
      <c r="AI36" s="224">
        <f t="shared" si="21"/>
        <v>6.8723962852679232E-4</v>
      </c>
      <c r="AJ36" s="224">
        <f t="shared" si="3"/>
        <v>7.0478843437147437E-4</v>
      </c>
      <c r="AK36" s="223">
        <v>125602430.01000001</v>
      </c>
      <c r="AL36" s="224">
        <v>0.97510060467955084</v>
      </c>
    </row>
    <row r="37" spans="1:38" ht="21" customHeight="1" x14ac:dyDescent="0.3">
      <c r="A37" s="253" t="s">
        <v>251</v>
      </c>
      <c r="B37" s="254" t="str">
        <f>VLOOKUP(A37,saīsinājumi_LV_ENG!A:G,5,FALSE)</f>
        <v>IKT</v>
      </c>
      <c r="C37" s="10" t="s">
        <v>171</v>
      </c>
      <c r="D37" s="10"/>
      <c r="E37" s="38" t="str">
        <f>Pasākumu_līmenis!D31</f>
        <v>ERAF</v>
      </c>
      <c r="F37" s="38" t="str">
        <f>Pasākumu_līmenis!E28</f>
        <v>VARAM</v>
      </c>
      <c r="G37" s="278" t="str">
        <f>VLOOKUP(A37,'2. Intervences kategorijas - Pa'!B:D,2,FALSE)</f>
        <v>02 - Uzlabot piekļuvi informācijai un komunikācijas tehnoloģijām, to izmantošanu un kvalitāti</v>
      </c>
      <c r="H37" s="169">
        <f>Pasākumu_līmenis!F28</f>
        <v>118694714</v>
      </c>
      <c r="I37" s="169">
        <f>Pasākumu_līmenis!G28</f>
        <v>0</v>
      </c>
      <c r="J37" s="169">
        <f>Pasākumu_līmenis!H28</f>
        <v>118694714</v>
      </c>
      <c r="K37" s="169">
        <f>Pasākumu_līmenis!I28</f>
        <v>7856779.6605614899</v>
      </c>
      <c r="L37" s="169">
        <f>Pasākumu_līmenis!J28</f>
        <v>115807330.93000001</v>
      </c>
      <c r="M37" s="170">
        <f t="shared" si="14"/>
        <v>0.97567386977317294</v>
      </c>
      <c r="N37" s="170">
        <f t="shared" si="15"/>
        <v>7.4580524285183802E-4</v>
      </c>
      <c r="O37" s="170">
        <f t="shared" si="22"/>
        <v>7.649848947687693E-4</v>
      </c>
      <c r="P37" s="169">
        <f>Pasākumu_līmenis!N28</f>
        <v>56</v>
      </c>
      <c r="Q37" s="169">
        <v>115718807.79000001</v>
      </c>
      <c r="R37" s="170">
        <v>0.9749280645303211</v>
      </c>
      <c r="S37" s="169">
        <f>Pasākumu_līmenis!Q28</f>
        <v>115807330.93000001</v>
      </c>
      <c r="T37" s="170">
        <f t="shared" si="16"/>
        <v>0.97567386977317294</v>
      </c>
      <c r="U37" s="170">
        <f t="shared" si="17"/>
        <v>7.4580524285183802E-4</v>
      </c>
      <c r="V37" s="170">
        <f t="shared" si="23"/>
        <v>7.649848947687693E-4</v>
      </c>
      <c r="W37" s="169">
        <f>Pasākumu_līmenis!U28</f>
        <v>56</v>
      </c>
      <c r="X37" s="169">
        <v>115718807.79000001</v>
      </c>
      <c r="Y37" s="170">
        <v>0.9749280645303211</v>
      </c>
      <c r="Z37" s="169">
        <f>Pasākumu_līmenis!X28</f>
        <v>115807330.93000001</v>
      </c>
      <c r="AA37" s="170">
        <f t="shared" si="18"/>
        <v>0.97567386977317294</v>
      </c>
      <c r="AB37" s="170">
        <f t="shared" si="19"/>
        <v>7.4580524285183802E-4</v>
      </c>
      <c r="AC37" s="170">
        <f t="shared" si="1"/>
        <v>7.649848947687693E-4</v>
      </c>
      <c r="AD37" s="169">
        <f>Pasākumu_līmenis!AB28</f>
        <v>56</v>
      </c>
      <c r="AE37" s="169">
        <v>115718807.79000001</v>
      </c>
      <c r="AF37" s="170">
        <v>0.9749280645303211</v>
      </c>
      <c r="AG37" s="169">
        <f>Pasākumu_līmenis!AE28</f>
        <v>115806582.93000001</v>
      </c>
      <c r="AH37" s="170">
        <f t="shared" si="20"/>
        <v>0.97566756789186082</v>
      </c>
      <c r="AI37" s="170">
        <f t="shared" si="21"/>
        <v>7.4580524285183802E-4</v>
      </c>
      <c r="AJ37" s="170">
        <f t="shared" si="3"/>
        <v>7.6498983962095858E-4</v>
      </c>
      <c r="AK37" s="169">
        <v>115718059.79000001</v>
      </c>
      <c r="AL37" s="170">
        <v>0.97492176264900898</v>
      </c>
    </row>
    <row r="38" spans="1:38" ht="21" customHeight="1" x14ac:dyDescent="0.3">
      <c r="A38" s="253" t="s">
        <v>252</v>
      </c>
      <c r="B38" s="254" t="str">
        <f>VLOOKUP(A38,saīsinājumi_LV_ENG!A:G,5,FALSE)</f>
        <v>Kultūras mantojuma digitalizācija</v>
      </c>
      <c r="C38" s="10" t="s">
        <v>172</v>
      </c>
      <c r="D38" s="10"/>
      <c r="E38" s="38" t="str">
        <f>Pasākumu_līmenis!D32</f>
        <v>ERAF</v>
      </c>
      <c r="F38" s="38" t="str">
        <f>Pasākumu_līmenis!E29</f>
        <v>VARAM</v>
      </c>
      <c r="G38" s="278" t="str">
        <f>VLOOKUP(A38,'2. Intervences kategorijas - Pa'!B:D,2,FALSE)</f>
        <v>02 - Uzlabot piekļuvi informācijai un komunikācijas tehnoloģijām, to izmantošanu un kvalitāti</v>
      </c>
      <c r="H38" s="169">
        <f>Pasākumu_līmenis!F29</f>
        <v>10115000</v>
      </c>
      <c r="I38" s="169">
        <f>Pasākumu_līmenis!G29</f>
        <v>0</v>
      </c>
      <c r="J38" s="169">
        <f>Pasākumu_līmenis!H29</f>
        <v>10115000</v>
      </c>
      <c r="K38" s="169">
        <f>Pasākumu_līmenis!I29</f>
        <v>0</v>
      </c>
      <c r="L38" s="169">
        <f>Pasākumu_līmenis!J29</f>
        <v>9884370.2200000007</v>
      </c>
      <c r="M38" s="170">
        <f t="shared" si="14"/>
        <v>0.97719923084527938</v>
      </c>
      <c r="N38" s="170">
        <f t="shared" si="15"/>
        <v>0</v>
      </c>
      <c r="O38" s="170">
        <f t="shared" si="22"/>
        <v>0</v>
      </c>
      <c r="P38" s="169">
        <f>Pasākumu_līmenis!N29</f>
        <v>2</v>
      </c>
      <c r="Q38" s="169">
        <v>9884370.2200000007</v>
      </c>
      <c r="R38" s="170">
        <v>0.97719923084527938</v>
      </c>
      <c r="S38" s="169">
        <f>Pasākumu_līmenis!Q29</f>
        <v>9884370.2200000007</v>
      </c>
      <c r="T38" s="170">
        <f t="shared" si="16"/>
        <v>0.97719923084527938</v>
      </c>
      <c r="U38" s="170">
        <f t="shared" si="17"/>
        <v>0</v>
      </c>
      <c r="V38" s="170">
        <f t="shared" si="23"/>
        <v>0</v>
      </c>
      <c r="W38" s="169">
        <f>Pasākumu_līmenis!U29</f>
        <v>2</v>
      </c>
      <c r="X38" s="169">
        <v>9884370.2200000007</v>
      </c>
      <c r="Y38" s="170">
        <v>0.97719923084527938</v>
      </c>
      <c r="Z38" s="169">
        <f>Pasākumu_līmenis!X29</f>
        <v>9884370.2200000007</v>
      </c>
      <c r="AA38" s="170">
        <f t="shared" si="18"/>
        <v>0.97719923084527938</v>
      </c>
      <c r="AB38" s="170">
        <f t="shared" si="19"/>
        <v>0</v>
      </c>
      <c r="AC38" s="170">
        <f t="shared" si="1"/>
        <v>0</v>
      </c>
      <c r="AD38" s="169">
        <f>Pasākumu_līmenis!AB29</f>
        <v>2</v>
      </c>
      <c r="AE38" s="169">
        <v>9884370.2200000007</v>
      </c>
      <c r="AF38" s="170">
        <v>0.97719923084527938</v>
      </c>
      <c r="AG38" s="169">
        <f>Pasākumu_līmenis!AE29</f>
        <v>9884370.2200000007</v>
      </c>
      <c r="AH38" s="170">
        <f t="shared" si="20"/>
        <v>0.97719923084527938</v>
      </c>
      <c r="AI38" s="170">
        <f t="shared" si="21"/>
        <v>0</v>
      </c>
      <c r="AJ38" s="170">
        <f t="shared" si="3"/>
        <v>0</v>
      </c>
      <c r="AK38" s="169">
        <v>9884370.2200000007</v>
      </c>
      <c r="AL38" s="170">
        <v>0.97719923084527938</v>
      </c>
    </row>
    <row r="39" spans="1:38" ht="21" customHeight="1" x14ac:dyDescent="0.3">
      <c r="A39" s="247" t="s">
        <v>18</v>
      </c>
      <c r="B39" s="248" t="str">
        <f>VLOOKUP(A39,saīsinājumi_LV_ENG!A:G,5,FALSE)</f>
        <v>MVK konkurētspēja</v>
      </c>
      <c r="C39" s="8" t="s">
        <v>19</v>
      </c>
      <c r="D39" s="225"/>
      <c r="E39" s="66"/>
      <c r="F39" s="66"/>
      <c r="G39" s="280"/>
      <c r="H39" s="226">
        <f>H40+H52+H56+H58</f>
        <v>370305153</v>
      </c>
      <c r="I39" s="226">
        <f>I40+I52+I56+I58</f>
        <v>290005</v>
      </c>
      <c r="J39" s="226">
        <f>J40+J52+J56+J58</f>
        <v>370595158</v>
      </c>
      <c r="K39" s="226">
        <f>K40+K52+K56+K58</f>
        <v>16979226.728510205</v>
      </c>
      <c r="L39" s="226">
        <f>L40+L52+L56+L58</f>
        <v>354668846.10000002</v>
      </c>
      <c r="M39" s="227">
        <f t="shared" si="14"/>
        <v>0.95777453601894658</v>
      </c>
      <c r="N39" s="227">
        <f t="shared" si="15"/>
        <v>0</v>
      </c>
      <c r="O39" s="227">
        <f t="shared" si="22"/>
        <v>0</v>
      </c>
      <c r="P39" s="226">
        <f>P40+P52+P56+P58</f>
        <v>178</v>
      </c>
      <c r="Q39" s="175">
        <v>354668846.10000002</v>
      </c>
      <c r="R39" s="176">
        <v>0.95777453601894658</v>
      </c>
      <c r="S39" s="226">
        <f>S40+S52+S56+S58</f>
        <v>354668846.10000002</v>
      </c>
      <c r="T39" s="227">
        <f t="shared" si="16"/>
        <v>0.95777453601894658</v>
      </c>
      <c r="U39" s="227">
        <f t="shared" si="17"/>
        <v>0</v>
      </c>
      <c r="V39" s="227">
        <f t="shared" si="23"/>
        <v>0</v>
      </c>
      <c r="W39" s="226">
        <f>W40+W52+W56+W58</f>
        <v>178</v>
      </c>
      <c r="X39" s="226">
        <v>354668846.10000002</v>
      </c>
      <c r="Y39" s="227">
        <v>0.95777453601894658</v>
      </c>
      <c r="Z39" s="226">
        <f>Z40+Z52+Z56+Z58</f>
        <v>354668846.10000002</v>
      </c>
      <c r="AA39" s="227">
        <f t="shared" si="18"/>
        <v>0.95777453601894658</v>
      </c>
      <c r="AB39" s="227">
        <f t="shared" si="19"/>
        <v>0</v>
      </c>
      <c r="AC39" s="227">
        <f t="shared" si="1"/>
        <v>0</v>
      </c>
      <c r="AD39" s="226">
        <f>AD40+AD52+AD56+AD58</f>
        <v>178</v>
      </c>
      <c r="AE39" s="175">
        <v>354668846.10000002</v>
      </c>
      <c r="AF39" s="176">
        <v>0.95777453601894658</v>
      </c>
      <c r="AG39" s="226">
        <f>AG40+AG52+AG56+AG58</f>
        <v>347391382.50999999</v>
      </c>
      <c r="AH39" s="227">
        <f t="shared" si="20"/>
        <v>0.93812192375837666</v>
      </c>
      <c r="AI39" s="227">
        <f t="shared" si="21"/>
        <v>0</v>
      </c>
      <c r="AJ39" s="227">
        <f t="shared" si="3"/>
        <v>0</v>
      </c>
      <c r="AK39" s="226">
        <v>347391382.50999999</v>
      </c>
      <c r="AL39" s="227">
        <v>0.93812192375837666</v>
      </c>
    </row>
    <row r="40" spans="1:38" ht="21" customHeight="1" x14ac:dyDescent="0.3">
      <c r="A40" s="249" t="s">
        <v>20</v>
      </c>
      <c r="B40" s="250" t="str">
        <f>VLOOKUP(A40,saīsinājumi_LV_ENG!A:G,5,FALSE)</f>
        <v>Uzņēmējdarbības veicināšana</v>
      </c>
      <c r="C40" s="215" t="s">
        <v>21</v>
      </c>
      <c r="D40" s="216" t="str">
        <f>IFERROR(IF((VLOOKUP(A40,Pasākumu_līmenis!A:H,3,0))=0,"",VLOOKUP(A40,Pasākumu_līmenis!A:H,3,0)),"")</f>
        <v/>
      </c>
      <c r="E40" s="217"/>
      <c r="F40" s="217"/>
      <c r="G40" s="276"/>
      <c r="H40" s="218">
        <f>H41+H49</f>
        <v>208314350</v>
      </c>
      <c r="I40" s="218">
        <f>I41+I49</f>
        <v>0</v>
      </c>
      <c r="J40" s="218">
        <f>J41+J49</f>
        <v>208314350</v>
      </c>
      <c r="K40" s="218">
        <f>K41+K49</f>
        <v>8735029</v>
      </c>
      <c r="L40" s="218">
        <f>L41+L49</f>
        <v>196373377.69999999</v>
      </c>
      <c r="M40" s="219">
        <f t="shared" si="14"/>
        <v>0.94267810978936395</v>
      </c>
      <c r="N40" s="219">
        <f t="shared" si="15"/>
        <v>0</v>
      </c>
      <c r="O40" s="219">
        <f t="shared" si="22"/>
        <v>0</v>
      </c>
      <c r="P40" s="218">
        <f>P41+P49</f>
        <v>54</v>
      </c>
      <c r="Q40" s="218">
        <v>196373377.69999999</v>
      </c>
      <c r="R40" s="219">
        <v>0.94267810978936395</v>
      </c>
      <c r="S40" s="218">
        <f>S41+S49</f>
        <v>196373377.69999999</v>
      </c>
      <c r="T40" s="219">
        <f t="shared" si="16"/>
        <v>0.94267810978936395</v>
      </c>
      <c r="U40" s="219">
        <f t="shared" si="17"/>
        <v>0</v>
      </c>
      <c r="V40" s="219">
        <f t="shared" si="23"/>
        <v>0</v>
      </c>
      <c r="W40" s="218">
        <f>W41+W49</f>
        <v>54</v>
      </c>
      <c r="X40" s="218">
        <v>196373377.69999999</v>
      </c>
      <c r="Y40" s="219">
        <v>0.94267810978936395</v>
      </c>
      <c r="Z40" s="218">
        <f>Z41+Z49</f>
        <v>196373377.69999999</v>
      </c>
      <c r="AA40" s="219">
        <f t="shared" si="18"/>
        <v>0.94267810978936395</v>
      </c>
      <c r="AB40" s="219">
        <f t="shared" si="19"/>
        <v>0</v>
      </c>
      <c r="AC40" s="219">
        <f t="shared" si="1"/>
        <v>0</v>
      </c>
      <c r="AD40" s="218">
        <f>AD41+AD49</f>
        <v>54</v>
      </c>
      <c r="AE40" s="218">
        <v>196373377.69999999</v>
      </c>
      <c r="AF40" s="219">
        <v>0.94267810978936395</v>
      </c>
      <c r="AG40" s="218">
        <f>AG41+AG49</f>
        <v>193173171.92000002</v>
      </c>
      <c r="AH40" s="219">
        <f t="shared" si="20"/>
        <v>0.92731572222460923</v>
      </c>
      <c r="AI40" s="219">
        <f t="shared" si="21"/>
        <v>0</v>
      </c>
      <c r="AJ40" s="219">
        <f t="shared" si="3"/>
        <v>0</v>
      </c>
      <c r="AK40" s="218">
        <v>193173171.92000002</v>
      </c>
      <c r="AL40" s="219">
        <v>0.92731572222460923</v>
      </c>
    </row>
    <row r="41" spans="1:38" ht="21" customHeight="1" x14ac:dyDescent="0.3">
      <c r="A41" s="251" t="s">
        <v>432</v>
      </c>
      <c r="B41" s="252" t="str">
        <f>VLOOKUP(A41,saīsinājumi_LV_ENG!A:G,5,FALSE)</f>
        <v>MVK izveide un attīstība</v>
      </c>
      <c r="C41" s="220" t="s">
        <v>37</v>
      </c>
      <c r="D41" s="221" t="str">
        <f>IFERROR(IF((VLOOKUP(A41,Pasākumu_līmenis!A:H,3,0))=0,"",VLOOKUP(A41,Pasākumu_līmenis!A:H,3,0)),"")</f>
        <v/>
      </c>
      <c r="E41" s="222"/>
      <c r="F41" s="222"/>
      <c r="G41" s="277"/>
      <c r="H41" s="223">
        <f>SUM(H42:H48)</f>
        <v>163114350</v>
      </c>
      <c r="I41" s="223">
        <f>SUM(I42:I48)</f>
        <v>0</v>
      </c>
      <c r="J41" s="223">
        <f>SUM(J42:J48)</f>
        <v>163114350</v>
      </c>
      <c r="K41" s="223">
        <f>SUM(K42:K47)</f>
        <v>8735029</v>
      </c>
      <c r="L41" s="223">
        <f>SUM(L42:L48)</f>
        <v>151185851.61379412</v>
      </c>
      <c r="M41" s="224">
        <f t="shared" si="14"/>
        <v>0.92687033123568907</v>
      </c>
      <c r="N41" s="224">
        <f t="shared" si="15"/>
        <v>0</v>
      </c>
      <c r="O41" s="224">
        <f t="shared" si="22"/>
        <v>0</v>
      </c>
      <c r="P41" s="223">
        <f>SUM(P42:P48)</f>
        <v>53</v>
      </c>
      <c r="Q41" s="223">
        <v>151185851.61379412</v>
      </c>
      <c r="R41" s="224">
        <v>0.92687033123568907</v>
      </c>
      <c r="S41" s="223">
        <f>SUM(S42:S48)</f>
        <v>151185851.61379412</v>
      </c>
      <c r="T41" s="224">
        <f t="shared" si="16"/>
        <v>0.92687033123568907</v>
      </c>
      <c r="U41" s="224">
        <f t="shared" si="17"/>
        <v>0</v>
      </c>
      <c r="V41" s="224">
        <f t="shared" si="23"/>
        <v>0</v>
      </c>
      <c r="W41" s="223">
        <f>SUM(W42:W48)</f>
        <v>53</v>
      </c>
      <c r="X41" s="223">
        <v>151185851.61379412</v>
      </c>
      <c r="Y41" s="224">
        <v>0.92687033123568907</v>
      </c>
      <c r="Z41" s="223">
        <f>SUM(Z42:Z48)</f>
        <v>151185851.61379412</v>
      </c>
      <c r="AA41" s="224">
        <f t="shared" si="18"/>
        <v>0.92687033123568907</v>
      </c>
      <c r="AB41" s="224">
        <f t="shared" si="19"/>
        <v>0</v>
      </c>
      <c r="AC41" s="224">
        <f t="shared" si="1"/>
        <v>0</v>
      </c>
      <c r="AD41" s="223">
        <f>SUM(AD42:AD48)</f>
        <v>53</v>
      </c>
      <c r="AE41" s="223">
        <v>151185851.61379412</v>
      </c>
      <c r="AF41" s="224">
        <v>0.92687033123568907</v>
      </c>
      <c r="AG41" s="223">
        <f>SUM(AG42:AG48)</f>
        <v>148561688.81529412</v>
      </c>
      <c r="AH41" s="224">
        <f t="shared" si="20"/>
        <v>0.91078245914779488</v>
      </c>
      <c r="AI41" s="224">
        <f t="shared" si="21"/>
        <v>0</v>
      </c>
      <c r="AJ41" s="224">
        <f t="shared" si="3"/>
        <v>0</v>
      </c>
      <c r="AK41" s="223">
        <v>148561688.81529412</v>
      </c>
      <c r="AL41" s="224">
        <v>0.91078245914779488</v>
      </c>
    </row>
    <row r="42" spans="1:38" ht="21" customHeight="1" x14ac:dyDescent="0.3">
      <c r="A42" s="253" t="s">
        <v>254</v>
      </c>
      <c r="B42" s="254" t="str">
        <f>VLOOKUP(A42,saīsinājumi_LV_ENG!A:G,5,FALSE)</f>
        <v>Aizdevumu garantijas</v>
      </c>
      <c r="C42" s="10" t="s">
        <v>173</v>
      </c>
      <c r="D42" s="42">
        <f>IFERROR(IF((VLOOKUP(A42,Pasākumu_līmenis!A:H,3,0))=0,"",VLOOKUP(A42,Pasākumu_līmenis!A:H,3,0)),"")</f>
        <v>2</v>
      </c>
      <c r="E42" s="38" t="str">
        <f>Pasākumu_līmenis!D31</f>
        <v>ERAF</v>
      </c>
      <c r="F42" s="38" t="str">
        <f>Pasākumu_līmenis!E31</f>
        <v>EM</v>
      </c>
      <c r="G42" s="278" t="str">
        <f>VLOOKUP(A42,'2. Intervences kategorijas - Pa'!B:D,2,FALSE)</f>
        <v>03 - Uzlabot mazo un vidējo uzņēmumu (MVU) konkurētspēju</v>
      </c>
      <c r="H42" s="169">
        <f>Pasākumu_līmenis!F31</f>
        <v>43800000</v>
      </c>
      <c r="I42" s="169">
        <f>Pasākumu_līmenis!G31</f>
        <v>0</v>
      </c>
      <c r="J42" s="169">
        <f>Pasākumu_līmenis!H31</f>
        <v>43800000</v>
      </c>
      <c r="K42" s="169">
        <f>Pasākumu_līmenis!I31</f>
        <v>6510677</v>
      </c>
      <c r="L42" s="169">
        <f>Pasākumu_līmenis!J31</f>
        <v>43787912.446367651</v>
      </c>
      <c r="M42" s="170">
        <f t="shared" si="14"/>
        <v>0.99972402845588249</v>
      </c>
      <c r="N42" s="170">
        <f t="shared" si="15"/>
        <v>0</v>
      </c>
      <c r="O42" s="170">
        <f>IFERROR(((L42-Q42)/Q42),0)</f>
        <v>0</v>
      </c>
      <c r="P42" s="169">
        <f>Pasākumu_līmenis!N31</f>
        <v>0</v>
      </c>
      <c r="Q42" s="169">
        <v>43787912.446367651</v>
      </c>
      <c r="R42" s="170">
        <v>0.99972402845588249</v>
      </c>
      <c r="S42" s="169">
        <f>Pasākumu_līmenis!Q31</f>
        <v>43787912.446367651</v>
      </c>
      <c r="T42" s="170">
        <f t="shared" si="16"/>
        <v>0.99972402845588249</v>
      </c>
      <c r="U42" s="170">
        <f t="shared" si="17"/>
        <v>0</v>
      </c>
      <c r="V42" s="170">
        <f t="shared" si="23"/>
        <v>0</v>
      </c>
      <c r="W42" s="169">
        <f>Pasākumu_līmenis!U31</f>
        <v>0</v>
      </c>
      <c r="X42" s="169">
        <v>43787912.446367651</v>
      </c>
      <c r="Y42" s="170">
        <v>0.99972402845588249</v>
      </c>
      <c r="Z42" s="169">
        <f>Pasākumu_līmenis!X31</f>
        <v>43787912.446367651</v>
      </c>
      <c r="AA42" s="170">
        <f t="shared" si="18"/>
        <v>0.99972402845588249</v>
      </c>
      <c r="AB42" s="170">
        <f t="shared" si="19"/>
        <v>0</v>
      </c>
      <c r="AC42" s="170">
        <f t="shared" si="1"/>
        <v>0</v>
      </c>
      <c r="AD42" s="169">
        <f>Pasākumu_līmenis!AB31</f>
        <v>0</v>
      </c>
      <c r="AE42" s="169">
        <v>43787912.446367651</v>
      </c>
      <c r="AF42" s="170">
        <v>0.99972402845588249</v>
      </c>
      <c r="AG42" s="169">
        <f>Pasākumu_līmenis!AE31</f>
        <v>43229711.504117653</v>
      </c>
      <c r="AH42" s="170">
        <f t="shared" si="20"/>
        <v>0.98697971470588253</v>
      </c>
      <c r="AI42" s="170">
        <f t="shared" si="21"/>
        <v>0</v>
      </c>
      <c r="AJ42" s="170">
        <f t="shared" si="3"/>
        <v>0</v>
      </c>
      <c r="AK42" s="169">
        <v>43229711.504117653</v>
      </c>
      <c r="AL42" s="170">
        <v>0.98697971470588253</v>
      </c>
    </row>
    <row r="43" spans="1:38" ht="21" customHeight="1" x14ac:dyDescent="0.3">
      <c r="A43" s="253" t="s">
        <v>255</v>
      </c>
      <c r="B43" s="254" t="str">
        <f>VLOOKUP(A43,saīsinājumi_LV_ENG!A:G,5,FALSE)</f>
        <v>Mezanīna aizdevumi</v>
      </c>
      <c r="C43" s="10" t="s">
        <v>174</v>
      </c>
      <c r="D43" s="42">
        <f>IFERROR(IF((VLOOKUP(A43,Pasākumu_līmenis!A:H,3,0))=0,"",VLOOKUP(A43,Pasākumu_līmenis!A:H,3,0)),"")</f>
        <v>2</v>
      </c>
      <c r="E43" s="38" t="str">
        <f>Pasākumu_līmenis!D32</f>
        <v>ERAF</v>
      </c>
      <c r="F43" s="38" t="str">
        <f>Pasākumu_līmenis!E32</f>
        <v>EM</v>
      </c>
      <c r="G43" s="278" t="str">
        <f>VLOOKUP(A43,'2. Intervences kategorijas - Pa'!B:D,2,FALSE)</f>
        <v>03 - Uzlabot mazo un vidējo uzņēmumu (MVU) konkurētspēju</v>
      </c>
      <c r="H43" s="169">
        <f>Pasākumu_līmenis!F32</f>
        <v>7000000</v>
      </c>
      <c r="I43" s="169">
        <f>Pasākumu_līmenis!G32</f>
        <v>0</v>
      </c>
      <c r="J43" s="169">
        <f>Pasākumu_līmenis!H32</f>
        <v>7000000</v>
      </c>
      <c r="K43" s="169">
        <f>Pasākumu_līmenis!I32</f>
        <v>0</v>
      </c>
      <c r="L43" s="169">
        <f>Pasākumu_līmenis!J32</f>
        <v>6998068.1991911763</v>
      </c>
      <c r="M43" s="170">
        <f t="shared" si="14"/>
        <v>0.99972402845588237</v>
      </c>
      <c r="N43" s="170">
        <f>M43-R43</f>
        <v>0</v>
      </c>
      <c r="O43" s="170">
        <f>IFERROR(((L43-Q43)/Q43),0)</f>
        <v>0</v>
      </c>
      <c r="P43" s="169">
        <f>Pasākumu_līmenis!N32</f>
        <v>0</v>
      </c>
      <c r="Q43" s="169">
        <v>6998068.1991911763</v>
      </c>
      <c r="R43" s="170">
        <v>0.99972402845588237</v>
      </c>
      <c r="S43" s="169">
        <f>Pasākumu_līmenis!Q32</f>
        <v>6998068.1991911763</v>
      </c>
      <c r="T43" s="170">
        <f t="shared" si="16"/>
        <v>0.99972402845588237</v>
      </c>
      <c r="U43" s="170">
        <f t="shared" si="17"/>
        <v>0</v>
      </c>
      <c r="V43" s="170">
        <f t="shared" si="23"/>
        <v>0</v>
      </c>
      <c r="W43" s="169">
        <f>Pasākumu_līmenis!U32</f>
        <v>0</v>
      </c>
      <c r="X43" s="169">
        <v>6998068.1991911763</v>
      </c>
      <c r="Y43" s="170">
        <v>0.99972402845588237</v>
      </c>
      <c r="Z43" s="169">
        <f>Pasākumu_līmenis!X32</f>
        <v>6998068.1991911763</v>
      </c>
      <c r="AA43" s="170">
        <f t="shared" si="18"/>
        <v>0.99972402845588237</v>
      </c>
      <c r="AB43" s="170">
        <f t="shared" si="19"/>
        <v>0</v>
      </c>
      <c r="AC43" s="170">
        <f t="shared" si="1"/>
        <v>0</v>
      </c>
      <c r="AD43" s="169">
        <f>Pasākumu_līmenis!AB32</f>
        <v>0</v>
      </c>
      <c r="AE43" s="169">
        <v>6998068.1991911763</v>
      </c>
      <c r="AF43" s="170">
        <v>0.99972402845588237</v>
      </c>
      <c r="AG43" s="169">
        <f>Pasākumu_līmenis!AE32</f>
        <v>6908858.0029411772</v>
      </c>
      <c r="AH43" s="170">
        <f t="shared" si="20"/>
        <v>0.98697971470588242</v>
      </c>
      <c r="AI43" s="170">
        <f t="shared" si="21"/>
        <v>0</v>
      </c>
      <c r="AJ43" s="170">
        <f t="shared" si="3"/>
        <v>0</v>
      </c>
      <c r="AK43" s="169">
        <v>6908858.0029411772</v>
      </c>
      <c r="AL43" s="170">
        <v>0.98697971470588242</v>
      </c>
    </row>
    <row r="44" spans="1:38" ht="39.75" customHeight="1" x14ac:dyDescent="0.3">
      <c r="A44" s="253" t="s">
        <v>256</v>
      </c>
      <c r="B44" s="254" t="str">
        <f>VLOOKUP(A44,saīsinājumi_LV_ENG!A:G,5,FALSE)</f>
        <v>Atbalsts MVK finansējuma piesaistei kapitāla tirgos</v>
      </c>
      <c r="C44" s="10" t="s">
        <v>175</v>
      </c>
      <c r="D44" s="42" t="str">
        <f>IFERROR(IF((VLOOKUP(A44,Pasākumu_līmenis!A:H,3,0))=0,"",VLOOKUP(A44,Pasākumu_līmenis!A:H,3,0)),"")</f>
        <v/>
      </c>
      <c r="E44" s="38" t="str">
        <f>Pasākumu_līmenis!D33</f>
        <v>ERAF</v>
      </c>
      <c r="F44" s="38" t="str">
        <f>Pasākumu_līmenis!E33</f>
        <v>EM</v>
      </c>
      <c r="G44" s="278" t="str">
        <f>VLOOKUP(A44,'2. Intervences kategorijas - Pa'!B:D,2,FALSE)</f>
        <v>03 - Uzlabot mazo un vidējo uzņēmumu (MVU) konkurētspēju</v>
      </c>
      <c r="H44" s="169">
        <f>Pasākumu_līmenis!F33</f>
        <v>1000000</v>
      </c>
      <c r="I44" s="169">
        <f>Pasākumu_līmenis!G33</f>
        <v>0</v>
      </c>
      <c r="J44" s="169">
        <f>Pasākumu_līmenis!H33</f>
        <v>1000000</v>
      </c>
      <c r="K44" s="169">
        <v>0</v>
      </c>
      <c r="L44" s="169">
        <f>Pasākumu_līmenis!J33</f>
        <v>76800</v>
      </c>
      <c r="M44" s="170">
        <f t="shared" si="14"/>
        <v>7.6799999999999993E-2</v>
      </c>
      <c r="N44" s="170">
        <f>M44-R44</f>
        <v>0</v>
      </c>
      <c r="O44" s="170">
        <f>IFERROR(((L44-Q44)/Q44),0)</f>
        <v>0</v>
      </c>
      <c r="P44" s="169">
        <f>Pasākumu_līmenis!N33</f>
        <v>1</v>
      </c>
      <c r="Q44" s="169">
        <v>76800</v>
      </c>
      <c r="R44" s="170">
        <v>7.6799999999999993E-2</v>
      </c>
      <c r="S44" s="169">
        <f>Pasākumu_līmenis!Q33</f>
        <v>76800</v>
      </c>
      <c r="T44" s="170">
        <f t="shared" si="16"/>
        <v>7.6799999999999993E-2</v>
      </c>
      <c r="U44" s="170">
        <f>T44-Y44</f>
        <v>0</v>
      </c>
      <c r="V44" s="170">
        <f t="shared" si="23"/>
        <v>0</v>
      </c>
      <c r="W44" s="169">
        <f>Pasākumu_līmenis!U33</f>
        <v>1</v>
      </c>
      <c r="X44" s="169">
        <v>76800</v>
      </c>
      <c r="Y44" s="170">
        <v>7.6799999999999993E-2</v>
      </c>
      <c r="Z44" s="169">
        <f>Pasākumu_līmenis!X33</f>
        <v>76800</v>
      </c>
      <c r="AA44" s="170">
        <f t="shared" si="18"/>
        <v>7.6799999999999993E-2</v>
      </c>
      <c r="AB44" s="170">
        <f t="shared" si="19"/>
        <v>0</v>
      </c>
      <c r="AC44" s="170">
        <f t="shared" si="1"/>
        <v>0</v>
      </c>
      <c r="AD44" s="169">
        <f>Pasākumu_līmenis!AB33</f>
        <v>1</v>
      </c>
      <c r="AE44" s="169">
        <v>76800</v>
      </c>
      <c r="AF44" s="170">
        <v>7.6799999999999993E-2</v>
      </c>
      <c r="AG44" s="169">
        <f>Pasākumu_līmenis!AE33</f>
        <v>56200</v>
      </c>
      <c r="AH44" s="170">
        <f t="shared" si="20"/>
        <v>5.62E-2</v>
      </c>
      <c r="AI44" s="170">
        <f t="shared" si="21"/>
        <v>0</v>
      </c>
      <c r="AJ44" s="170">
        <f t="shared" si="3"/>
        <v>0</v>
      </c>
      <c r="AK44" s="169">
        <v>56200</v>
      </c>
      <c r="AL44" s="170">
        <v>5.62E-2</v>
      </c>
    </row>
    <row r="45" spans="1:38" ht="21" customHeight="1" x14ac:dyDescent="0.3">
      <c r="A45" s="253" t="s">
        <v>257</v>
      </c>
      <c r="B45" s="254" t="str">
        <f>VLOOKUP(A45,saīsinājumi_LV_ENG!A:G,5,FALSE)</f>
        <v>Mikrokredīti un starta aizdevumi</v>
      </c>
      <c r="C45" s="10" t="s">
        <v>176</v>
      </c>
      <c r="D45" s="42">
        <f>IFERROR(IF((VLOOKUP(A45,Pasākumu_līmenis!A:H,3,0))=0,"",VLOOKUP(A45,Pasākumu_līmenis!A:H,3,0)),"")</f>
        <v>2</v>
      </c>
      <c r="E45" s="38" t="str">
        <f>Pasākumu_līmenis!D34</f>
        <v>ERAF</v>
      </c>
      <c r="F45" s="38" t="str">
        <f>Pasākumu_līmenis!E34</f>
        <v>EM</v>
      </c>
      <c r="G45" s="278" t="str">
        <f>VLOOKUP(A45,'2. Intervences kategorijas - Pa'!B:D,2,FALSE)</f>
        <v>03 - Uzlabot mazo un vidējo uzņēmumu (MVU) konkurētspēju</v>
      </c>
      <c r="H45" s="169">
        <f>Pasākumu_līmenis!F34</f>
        <v>15000000</v>
      </c>
      <c r="I45" s="169">
        <f>Pasākumu_līmenis!G34</f>
        <v>0</v>
      </c>
      <c r="J45" s="169">
        <f>Pasākumu_līmenis!H34</f>
        <v>15000000</v>
      </c>
      <c r="K45" s="169">
        <f>Pasākumu_līmenis!I34</f>
        <v>0</v>
      </c>
      <c r="L45" s="169">
        <f>Pasākumu_līmenis!J34</f>
        <v>14995860.426838236</v>
      </c>
      <c r="M45" s="170">
        <f t="shared" si="14"/>
        <v>0.99972402845588237</v>
      </c>
      <c r="N45" s="170">
        <f t="shared" si="15"/>
        <v>0</v>
      </c>
      <c r="O45" s="170">
        <f t="shared" si="22"/>
        <v>0</v>
      </c>
      <c r="P45" s="169">
        <f>Pasākumu_līmenis!N34</f>
        <v>0</v>
      </c>
      <c r="Q45" s="169">
        <v>14995860.426838236</v>
      </c>
      <c r="R45" s="170">
        <v>0.99972402845588237</v>
      </c>
      <c r="S45" s="169">
        <f>Pasākumu_līmenis!Q34</f>
        <v>14995860.426838236</v>
      </c>
      <c r="T45" s="170">
        <f t="shared" si="16"/>
        <v>0.99972402845588237</v>
      </c>
      <c r="U45" s="170">
        <f t="shared" si="17"/>
        <v>0</v>
      </c>
      <c r="V45" s="170">
        <f t="shared" si="23"/>
        <v>0</v>
      </c>
      <c r="W45" s="169">
        <f>Pasākumu_līmenis!U34</f>
        <v>0</v>
      </c>
      <c r="X45" s="169">
        <v>14995860.426838236</v>
      </c>
      <c r="Y45" s="170">
        <v>0.99972402845588237</v>
      </c>
      <c r="Z45" s="169">
        <f>Pasākumu_līmenis!X34</f>
        <v>14995860.426838236</v>
      </c>
      <c r="AA45" s="170">
        <f t="shared" si="18"/>
        <v>0.99972402845588237</v>
      </c>
      <c r="AB45" s="170">
        <f t="shared" si="19"/>
        <v>0</v>
      </c>
      <c r="AC45" s="170">
        <f t="shared" si="1"/>
        <v>0</v>
      </c>
      <c r="AD45" s="169">
        <f>Pasākumu_līmenis!AB34</f>
        <v>0</v>
      </c>
      <c r="AE45" s="169">
        <v>14995860.426838236</v>
      </c>
      <c r="AF45" s="170">
        <v>0.99972402845588237</v>
      </c>
      <c r="AG45" s="169">
        <f>Pasākumu_līmenis!AE34</f>
        <v>14804695.720588237</v>
      </c>
      <c r="AH45" s="170">
        <f t="shared" si="20"/>
        <v>0.98697971470588242</v>
      </c>
      <c r="AI45" s="170">
        <f t="shared" si="21"/>
        <v>0</v>
      </c>
      <c r="AJ45" s="170">
        <f t="shared" si="3"/>
        <v>0</v>
      </c>
      <c r="AK45" s="169">
        <v>14804695.720588237</v>
      </c>
      <c r="AL45" s="170">
        <v>0.98697971470588242</v>
      </c>
    </row>
    <row r="46" spans="1:38" ht="21" customHeight="1" x14ac:dyDescent="0.3">
      <c r="A46" s="253" t="s">
        <v>258</v>
      </c>
      <c r="B46" s="254" t="str">
        <f>VLOOKUP(A46,saīsinājumi_LV_ENG!A:G,5,FALSE)</f>
        <v>Ražošanas telpas</v>
      </c>
      <c r="C46" s="10" t="s">
        <v>177</v>
      </c>
      <c r="D46" s="42"/>
      <c r="E46" s="38" t="str">
        <f>Pasākumu_līmenis!D35</f>
        <v>ERAF</v>
      </c>
      <c r="F46" s="38" t="str">
        <f>Pasākumu_līmenis!E35</f>
        <v>EM</v>
      </c>
      <c r="G46" s="278" t="str">
        <f>VLOOKUP(A46,'2. Intervences kategorijas - Pa'!B:D,2,FALSE)</f>
        <v>03 - Uzlabot mazo un vidējo uzņēmumu (MVU) konkurētspēju</v>
      </c>
      <c r="H46" s="169">
        <f>Pasākumu_līmenis!F35</f>
        <v>39549612</v>
      </c>
      <c r="I46" s="169">
        <f>Pasākumu_līmenis!G35</f>
        <v>0</v>
      </c>
      <c r="J46" s="169">
        <f>Pasākumu_līmenis!H35</f>
        <v>39549612</v>
      </c>
      <c r="K46" s="169">
        <f>Pasākumu_līmenis!I35</f>
        <v>532852</v>
      </c>
      <c r="L46" s="169">
        <f>Pasākumu_līmenis!J35</f>
        <v>31580340.609999999</v>
      </c>
      <c r="M46" s="170">
        <f t="shared" si="14"/>
        <v>0.79849937870439791</v>
      </c>
      <c r="N46" s="170">
        <f t="shared" si="15"/>
        <v>0</v>
      </c>
      <c r="O46" s="170">
        <f t="shared" si="22"/>
        <v>0</v>
      </c>
      <c r="P46" s="169">
        <f>Pasākumu_līmenis!N35</f>
        <v>51</v>
      </c>
      <c r="Q46" s="169">
        <v>31580340.609999999</v>
      </c>
      <c r="R46" s="170">
        <v>0.79849937870439791</v>
      </c>
      <c r="S46" s="169">
        <f>Pasākumu_līmenis!Q35</f>
        <v>31580340.609999999</v>
      </c>
      <c r="T46" s="170">
        <f t="shared" si="16"/>
        <v>0.79849937870439791</v>
      </c>
      <c r="U46" s="170">
        <f t="shared" si="17"/>
        <v>0</v>
      </c>
      <c r="V46" s="170">
        <f t="shared" si="23"/>
        <v>0</v>
      </c>
      <c r="W46" s="169">
        <f>Pasākumu_līmenis!U35</f>
        <v>51</v>
      </c>
      <c r="X46" s="169">
        <v>31580340.609999999</v>
      </c>
      <c r="Y46" s="170">
        <v>0.79849937870439791</v>
      </c>
      <c r="Z46" s="169">
        <f>Pasākumu_līmenis!X35</f>
        <v>31580340.609999999</v>
      </c>
      <c r="AA46" s="170">
        <f t="shared" si="18"/>
        <v>0.79849937870439791</v>
      </c>
      <c r="AB46" s="170">
        <f t="shared" si="19"/>
        <v>0</v>
      </c>
      <c r="AC46" s="170">
        <f t="shared" si="1"/>
        <v>0</v>
      </c>
      <c r="AD46" s="169">
        <f>Pasākumu_līmenis!AB35</f>
        <v>51</v>
      </c>
      <c r="AE46" s="169">
        <v>31580340.609999999</v>
      </c>
      <c r="AF46" s="170">
        <v>0.79849937870439791</v>
      </c>
      <c r="AG46" s="169">
        <f>Pasākumu_līmenis!AE35</f>
        <v>29792032.300000001</v>
      </c>
      <c r="AH46" s="170">
        <f t="shared" si="20"/>
        <v>0.75328254294884112</v>
      </c>
      <c r="AI46" s="170">
        <f t="shared" si="21"/>
        <v>0</v>
      </c>
      <c r="AJ46" s="170">
        <f t="shared" si="3"/>
        <v>0</v>
      </c>
      <c r="AK46" s="169">
        <v>29792032.300000001</v>
      </c>
      <c r="AL46" s="170">
        <v>0.75328254294884112</v>
      </c>
    </row>
    <row r="47" spans="1:38" ht="21" customHeight="1" x14ac:dyDescent="0.3">
      <c r="A47" s="253" t="s">
        <v>259</v>
      </c>
      <c r="B47" s="254" t="str">
        <f>VLOOKUP(A47,saīsinājumi_LV_ENG!A:G,5,FALSE)</f>
        <v>Biznesa inkubatori</v>
      </c>
      <c r="C47" s="10" t="s">
        <v>178</v>
      </c>
      <c r="D47" s="42"/>
      <c r="E47" s="38" t="str">
        <f>Pasākumu_līmenis!D36</f>
        <v>ERAF</v>
      </c>
      <c r="F47" s="38" t="str">
        <f>Pasākumu_līmenis!E36</f>
        <v>EM</v>
      </c>
      <c r="G47" s="278" t="str">
        <f>VLOOKUP(A47,'2. Intervences kategorijas - Pa'!B:D,2,FALSE)</f>
        <v>03 - Uzlabot mazo un vidējo uzņēmumu (MVU) konkurētspēju</v>
      </c>
      <c r="H47" s="169">
        <f>Pasākumu_līmenis!F36</f>
        <v>31764738</v>
      </c>
      <c r="I47" s="169">
        <f>Pasākumu_līmenis!G36</f>
        <v>0</v>
      </c>
      <c r="J47" s="169">
        <f>Pasākumu_līmenis!H36</f>
        <v>31764738</v>
      </c>
      <c r="K47" s="169">
        <f>Pasākumu_līmenis!I36</f>
        <v>1691500</v>
      </c>
      <c r="L47" s="169">
        <f>Pasākumu_līmenis!J36</f>
        <v>28753769.219999999</v>
      </c>
      <c r="M47" s="170">
        <f t="shared" si="14"/>
        <v>0.90521033795399164</v>
      </c>
      <c r="N47" s="170">
        <f t="shared" si="15"/>
        <v>0</v>
      </c>
      <c r="O47" s="170">
        <f t="shared" si="22"/>
        <v>0</v>
      </c>
      <c r="P47" s="169">
        <f>Pasākumu_līmenis!N36</f>
        <v>1</v>
      </c>
      <c r="Q47" s="169">
        <v>28753769.219999999</v>
      </c>
      <c r="R47" s="170">
        <v>0.90521033795399164</v>
      </c>
      <c r="S47" s="169">
        <f>Pasākumu_līmenis!Q36</f>
        <v>28753769.219999999</v>
      </c>
      <c r="T47" s="170">
        <f t="shared" si="16"/>
        <v>0.90521033795399164</v>
      </c>
      <c r="U47" s="170">
        <f t="shared" si="17"/>
        <v>0</v>
      </c>
      <c r="V47" s="170">
        <f t="shared" si="23"/>
        <v>0</v>
      </c>
      <c r="W47" s="169">
        <f>Pasākumu_līmenis!U36</f>
        <v>1</v>
      </c>
      <c r="X47" s="169">
        <v>28753769.219999999</v>
      </c>
      <c r="Y47" s="170">
        <v>0.90521033795399164</v>
      </c>
      <c r="Z47" s="169">
        <f>Pasākumu_līmenis!X36</f>
        <v>28753769.219999999</v>
      </c>
      <c r="AA47" s="170">
        <f t="shared" si="18"/>
        <v>0.90521033795399164</v>
      </c>
      <c r="AB47" s="170">
        <f t="shared" si="19"/>
        <v>0</v>
      </c>
      <c r="AC47" s="170">
        <f t="shared" si="1"/>
        <v>0</v>
      </c>
      <c r="AD47" s="169">
        <f>Pasākumu_līmenis!AB36</f>
        <v>1</v>
      </c>
      <c r="AE47" s="169">
        <v>28753769.219999999</v>
      </c>
      <c r="AF47" s="170">
        <v>0.90521033795399164</v>
      </c>
      <c r="AG47" s="169">
        <f>Pasākumu_līmenis!AE36</f>
        <v>29095698.419999998</v>
      </c>
      <c r="AH47" s="170">
        <f t="shared" si="20"/>
        <v>0.91597476484773765</v>
      </c>
      <c r="AI47" s="170">
        <f t="shared" si="21"/>
        <v>0</v>
      </c>
      <c r="AJ47" s="170">
        <f t="shared" si="3"/>
        <v>0</v>
      </c>
      <c r="AK47" s="169">
        <v>29095698.419999998</v>
      </c>
      <c r="AL47" s="170">
        <v>0.91597476484773765</v>
      </c>
    </row>
    <row r="48" spans="1:38" ht="21" customHeight="1" x14ac:dyDescent="0.3">
      <c r="A48" s="253" t="s">
        <v>1361</v>
      </c>
      <c r="B48" s="254" t="s">
        <v>1529</v>
      </c>
      <c r="C48" s="10" t="s">
        <v>178</v>
      </c>
      <c r="D48" s="42">
        <f>IFERROR(IF((VLOOKUP(A48,Pasākumu_līmenis!A:H,3,0))=0,"",VLOOKUP(A48,Pasākumu_līmenis!A:H,3,0)),"")</f>
        <v>2</v>
      </c>
      <c r="E48" s="38" t="str">
        <f>Pasākumu_līmenis!D37</f>
        <v>ERAF</v>
      </c>
      <c r="F48" s="38" t="str">
        <f>Pasākumu_līmenis!E37</f>
        <v>EM</v>
      </c>
      <c r="G48" s="278" t="e">
        <f>VLOOKUP(A48,'2. Intervences kategorijas - Pa'!B:D,2,FALSE)</f>
        <v>#N/A</v>
      </c>
      <c r="H48" s="169">
        <f>Pasākumu_līmenis!F37</f>
        <v>25000000</v>
      </c>
      <c r="I48" s="169">
        <f>Pasākumu_līmenis!G37</f>
        <v>0</v>
      </c>
      <c r="J48" s="169">
        <f>Pasākumu_līmenis!H37</f>
        <v>25000000</v>
      </c>
      <c r="K48" s="169">
        <f>Pasākumu_līmenis!I37</f>
        <v>1691501</v>
      </c>
      <c r="L48" s="169">
        <f>Pasākumu_līmenis!J37</f>
        <v>24993100.711397063</v>
      </c>
      <c r="M48" s="170">
        <f t="shared" ref="M48" si="24">L48/$H48</f>
        <v>0.99972402845588249</v>
      </c>
      <c r="N48" s="170">
        <f>M48-R48</f>
        <v>0</v>
      </c>
      <c r="O48" s="170">
        <f t="shared" ref="O48" si="25">IFERROR(((L48-Q48)/Q48),0)</f>
        <v>0</v>
      </c>
      <c r="P48" s="169">
        <f>Pasākumu_līmenis!N37</f>
        <v>0</v>
      </c>
      <c r="Q48" s="169">
        <v>24993100.711397063</v>
      </c>
      <c r="R48" s="170">
        <v>0.99972402845588249</v>
      </c>
      <c r="S48" s="169">
        <f>Pasākumu_līmenis!Q37</f>
        <v>24993100.711397063</v>
      </c>
      <c r="T48" s="170">
        <f t="shared" ref="T48" si="26">S48/$H48</f>
        <v>0.99972402845588249</v>
      </c>
      <c r="U48" s="170">
        <f t="shared" ref="U48" si="27">T48-Y48</f>
        <v>0</v>
      </c>
      <c r="V48" s="170">
        <f t="shared" ref="V48" si="28">IFERROR(((S48-X48)/X48),0)</f>
        <v>0</v>
      </c>
      <c r="W48" s="169">
        <f>Pasākumu_līmenis!U37</f>
        <v>0</v>
      </c>
      <c r="X48" s="169">
        <v>24993100.711397063</v>
      </c>
      <c r="Y48" s="170">
        <v>0.99972402845588249</v>
      </c>
      <c r="Z48" s="169">
        <f>Pasākumu_līmenis!X37</f>
        <v>24993100.711397063</v>
      </c>
      <c r="AA48" s="170">
        <f t="shared" ref="AA48" si="29">Z48/$H48</f>
        <v>0.99972402845588249</v>
      </c>
      <c r="AB48" s="170">
        <f t="shared" ref="AB48" si="30">AA48-AF48</f>
        <v>0</v>
      </c>
      <c r="AC48" s="170">
        <f t="shared" ref="AC48" si="31">IFERROR(((Z48-AE48)/AE48),0)</f>
        <v>0</v>
      </c>
      <c r="AD48" s="169">
        <f>Pasākumu_līmenis!AB37</f>
        <v>0</v>
      </c>
      <c r="AE48" s="169">
        <v>24993100.711397063</v>
      </c>
      <c r="AF48" s="170">
        <v>0.99972402845588249</v>
      </c>
      <c r="AG48" s="169">
        <f>Pasākumu_līmenis!AE37</f>
        <v>24674492.867647063</v>
      </c>
      <c r="AH48" s="170">
        <f t="shared" ref="AH48" si="32">AG48/$H48</f>
        <v>0.98697971470588253</v>
      </c>
      <c r="AI48" s="170">
        <f t="shared" ref="AI48" si="33">AH48-AL48</f>
        <v>0</v>
      </c>
      <c r="AJ48" s="170">
        <f t="shared" ref="AJ48" si="34">IFERROR(((AG48-AK48)/AK48),0)</f>
        <v>0</v>
      </c>
      <c r="AK48" s="169">
        <v>24674492.867647063</v>
      </c>
      <c r="AL48" s="170">
        <v>0.98697971470588253</v>
      </c>
    </row>
    <row r="49" spans="1:38" ht="39.75" customHeight="1" x14ac:dyDescent="0.3">
      <c r="A49" s="251" t="s">
        <v>433</v>
      </c>
      <c r="B49" s="252" t="str">
        <f>VLOOKUP(A49,saīsinājumi_LV_ENG!A:G,5,FALSE)</f>
        <v>Palielināt straujas izaugsmes komersantu skaitu</v>
      </c>
      <c r="C49" s="220" t="s">
        <v>38</v>
      </c>
      <c r="D49" s="221" t="str">
        <f>IFERROR(IF((VLOOKUP(A49,Pasākumu_līmenis!A:H,3,0))=0,"",VLOOKUP(A49,Pasākumu_līmenis!A:H,3,0)),"")</f>
        <v/>
      </c>
      <c r="E49" s="222"/>
      <c r="F49" s="222"/>
      <c r="G49" s="277"/>
      <c r="H49" s="223">
        <f>SUM(H50:H51)</f>
        <v>45200000</v>
      </c>
      <c r="I49" s="223">
        <f>SUM(I50:I51)</f>
        <v>0</v>
      </c>
      <c r="J49" s="223">
        <f>SUM(J50:J51)</f>
        <v>45200000</v>
      </c>
      <c r="K49" s="223">
        <f>SUM(K50:K51)</f>
        <v>0</v>
      </c>
      <c r="L49" s="223">
        <f>SUM(L50:L51)</f>
        <v>45187526.086205885</v>
      </c>
      <c r="M49" s="224">
        <f t="shared" si="14"/>
        <v>0.99972402845588237</v>
      </c>
      <c r="N49" s="224">
        <f t="shared" si="15"/>
        <v>0</v>
      </c>
      <c r="O49" s="224">
        <f t="shared" si="22"/>
        <v>0</v>
      </c>
      <c r="P49" s="223">
        <f>SUM(P50:P51)</f>
        <v>1</v>
      </c>
      <c r="Q49" s="223">
        <v>45187526.086205885</v>
      </c>
      <c r="R49" s="224">
        <v>0.99972402845588237</v>
      </c>
      <c r="S49" s="223">
        <f>SUM(S50:S51)</f>
        <v>45187526.086205885</v>
      </c>
      <c r="T49" s="224">
        <f t="shared" si="16"/>
        <v>0.99972402845588237</v>
      </c>
      <c r="U49" s="224">
        <f t="shared" si="17"/>
        <v>0</v>
      </c>
      <c r="V49" s="224">
        <f t="shared" si="23"/>
        <v>0</v>
      </c>
      <c r="W49" s="223">
        <f>SUM(W50:W51)</f>
        <v>1</v>
      </c>
      <c r="X49" s="223">
        <v>45187526.086205885</v>
      </c>
      <c r="Y49" s="224">
        <v>0.99972402845588237</v>
      </c>
      <c r="Z49" s="223">
        <f>SUM(Z50:Z51)</f>
        <v>45187526.086205885</v>
      </c>
      <c r="AA49" s="224">
        <f t="shared" si="18"/>
        <v>0.99972402845588237</v>
      </c>
      <c r="AB49" s="224">
        <f t="shared" si="19"/>
        <v>0</v>
      </c>
      <c r="AC49" s="224">
        <f t="shared" si="1"/>
        <v>0</v>
      </c>
      <c r="AD49" s="223">
        <f>SUM(AD50:AD51)</f>
        <v>1</v>
      </c>
      <c r="AE49" s="223">
        <v>45187526.086205885</v>
      </c>
      <c r="AF49" s="224">
        <v>0.99972402845588237</v>
      </c>
      <c r="AG49" s="223">
        <f>SUM(AG50:AG51)</f>
        <v>44611483.104705885</v>
      </c>
      <c r="AH49" s="224">
        <f t="shared" si="20"/>
        <v>0.98697971470588242</v>
      </c>
      <c r="AI49" s="224">
        <f t="shared" si="21"/>
        <v>0</v>
      </c>
      <c r="AJ49" s="224">
        <f t="shared" si="3"/>
        <v>0</v>
      </c>
      <c r="AK49" s="223">
        <v>44611483.104705885</v>
      </c>
      <c r="AL49" s="224">
        <v>0.98697971470588242</v>
      </c>
    </row>
    <row r="50" spans="1:38" ht="21" customHeight="1" x14ac:dyDescent="0.3">
      <c r="A50" s="253" t="s">
        <v>260</v>
      </c>
      <c r="B50" s="254" t="str">
        <f>VLOOKUP(A50,saīsinājumi_LV_ENG!A:G,5,FALSE)</f>
        <v>Riska kapitāls</v>
      </c>
      <c r="C50" s="10" t="s">
        <v>179</v>
      </c>
      <c r="D50" s="42">
        <f>IFERROR(IF((VLOOKUP(A50,Pasākumu_līmenis!A:H,3,0))=0,"",VLOOKUP(A50,Pasākumu_līmenis!A:H,3,0)),"")</f>
        <v>2</v>
      </c>
      <c r="E50" s="38" t="str">
        <f>Pasākumu_līmenis!D38</f>
        <v>ERAF</v>
      </c>
      <c r="F50" s="38" t="str">
        <f>Pasākumu_līmenis!E38</f>
        <v>EM</v>
      </c>
      <c r="G50" s="278" t="str">
        <f>VLOOKUP(A50,'2. Intervences kategorijas - Pa'!B:D,2,FALSE)</f>
        <v>03 - Uzlabot mazo un vidējo uzņēmumu (MVU) konkurētspēju</v>
      </c>
      <c r="H50" s="169">
        <f>Pasākumu_līmenis!F38</f>
        <v>29200000</v>
      </c>
      <c r="I50" s="169">
        <f>Pasākumu_līmenis!G38</f>
        <v>0</v>
      </c>
      <c r="J50" s="169">
        <f>Pasākumu_līmenis!H38</f>
        <v>29200000</v>
      </c>
      <c r="K50" s="169">
        <f>Pasākumu_līmenis!I38</f>
        <v>0</v>
      </c>
      <c r="L50" s="169">
        <f>Pasākumu_līmenis!J38</f>
        <v>29191941.630911764</v>
      </c>
      <c r="M50" s="170">
        <f t="shared" si="14"/>
        <v>0.99972402845588237</v>
      </c>
      <c r="N50" s="170">
        <f t="shared" si="15"/>
        <v>0</v>
      </c>
      <c r="O50" s="170">
        <f t="shared" si="22"/>
        <v>0</v>
      </c>
      <c r="P50" s="169">
        <f>Pasākumu_līmenis!N38</f>
        <v>1</v>
      </c>
      <c r="Q50" s="169">
        <v>29191941.630911764</v>
      </c>
      <c r="R50" s="170">
        <v>0.99972402845588237</v>
      </c>
      <c r="S50" s="169">
        <f>Pasākumu_līmenis!Q38</f>
        <v>29191941.630911764</v>
      </c>
      <c r="T50" s="170">
        <f t="shared" si="16"/>
        <v>0.99972402845588237</v>
      </c>
      <c r="U50" s="170">
        <f t="shared" si="17"/>
        <v>0</v>
      </c>
      <c r="V50" s="170">
        <f t="shared" si="23"/>
        <v>0</v>
      </c>
      <c r="W50" s="169">
        <f>Pasākumu_līmenis!U38</f>
        <v>1</v>
      </c>
      <c r="X50" s="169">
        <v>29191941.630911764</v>
      </c>
      <c r="Y50" s="170">
        <v>0.99972402845588237</v>
      </c>
      <c r="Z50" s="169">
        <f>Pasākumu_līmenis!X38</f>
        <v>29191941.630911764</v>
      </c>
      <c r="AA50" s="170">
        <f t="shared" si="18"/>
        <v>0.99972402845588237</v>
      </c>
      <c r="AB50" s="170">
        <f t="shared" si="19"/>
        <v>0</v>
      </c>
      <c r="AC50" s="170">
        <f t="shared" si="1"/>
        <v>0</v>
      </c>
      <c r="AD50" s="169">
        <f>Pasākumu_līmenis!AB38</f>
        <v>1</v>
      </c>
      <c r="AE50" s="169">
        <v>29191941.630911764</v>
      </c>
      <c r="AF50" s="170">
        <v>0.99972402845588237</v>
      </c>
      <c r="AG50" s="169">
        <f>Pasākumu_līmenis!AE38</f>
        <v>28819807.669411767</v>
      </c>
      <c r="AH50" s="170">
        <f t="shared" si="20"/>
        <v>0.98697971470588242</v>
      </c>
      <c r="AI50" s="170">
        <f t="shared" si="21"/>
        <v>0</v>
      </c>
      <c r="AJ50" s="170">
        <f t="shared" si="3"/>
        <v>0</v>
      </c>
      <c r="AK50" s="169">
        <v>28819807.669411767</v>
      </c>
      <c r="AL50" s="170">
        <v>0.98697971470588242</v>
      </c>
    </row>
    <row r="51" spans="1:38" ht="21" customHeight="1" x14ac:dyDescent="0.3">
      <c r="A51" s="253" t="s">
        <v>261</v>
      </c>
      <c r="B51" s="254" t="str">
        <f>VLOOKUP(A51,saīsinājumi_LV_ENG!A:G,5,FALSE)</f>
        <v>Tehnoloģiju akselerators</v>
      </c>
      <c r="C51" s="10" t="s">
        <v>180</v>
      </c>
      <c r="D51" s="42">
        <f>IFERROR(IF((VLOOKUP(A51,Pasākumu_līmenis!A:H,3,0))=0,"",VLOOKUP(A51,Pasākumu_līmenis!A:H,3,0)),"")</f>
        <v>2</v>
      </c>
      <c r="E51" s="38" t="str">
        <f>Pasākumu_līmenis!D39</f>
        <v>ERAF</v>
      </c>
      <c r="F51" s="38" t="str">
        <f>Pasākumu_līmenis!E39</f>
        <v>EM</v>
      </c>
      <c r="G51" s="278" t="str">
        <f>VLOOKUP(A51,'2. Intervences kategorijas - Pa'!B:D,2,FALSE)</f>
        <v>03 - Uzlabot mazo un vidējo uzņēmumu (MVU) konkurētspēju</v>
      </c>
      <c r="H51" s="169">
        <f>Pasākumu_līmenis!F39</f>
        <v>16000000</v>
      </c>
      <c r="I51" s="169">
        <f>Pasākumu_līmenis!G39</f>
        <v>0</v>
      </c>
      <c r="J51" s="169">
        <f>Pasākumu_līmenis!H39</f>
        <v>16000000</v>
      </c>
      <c r="K51" s="169">
        <f>Pasākumu_līmenis!I39</f>
        <v>0</v>
      </c>
      <c r="L51" s="169">
        <f>Pasākumu_līmenis!J39</f>
        <v>15995584.455294117</v>
      </c>
      <c r="M51" s="170">
        <f t="shared" si="14"/>
        <v>0.99972402845588237</v>
      </c>
      <c r="N51" s="170">
        <f t="shared" si="15"/>
        <v>0</v>
      </c>
      <c r="O51" s="170">
        <f t="shared" si="22"/>
        <v>0</v>
      </c>
      <c r="P51" s="169">
        <f>Pasākumu_līmenis!N39</f>
        <v>0</v>
      </c>
      <c r="Q51" s="169">
        <v>15995584.455294117</v>
      </c>
      <c r="R51" s="170">
        <v>0.99972402845588237</v>
      </c>
      <c r="S51" s="169">
        <f>Pasākumu_līmenis!Q39</f>
        <v>15995584.455294117</v>
      </c>
      <c r="T51" s="170">
        <f t="shared" si="16"/>
        <v>0.99972402845588237</v>
      </c>
      <c r="U51" s="170">
        <f t="shared" si="17"/>
        <v>0</v>
      </c>
      <c r="V51" s="170">
        <f t="shared" si="23"/>
        <v>0</v>
      </c>
      <c r="W51" s="169">
        <f>Pasākumu_līmenis!U39</f>
        <v>0</v>
      </c>
      <c r="X51" s="169">
        <v>15995584.455294117</v>
      </c>
      <c r="Y51" s="170">
        <v>0.99972402845588237</v>
      </c>
      <c r="Z51" s="169">
        <f>Pasākumu_līmenis!X39</f>
        <v>15995584.455294117</v>
      </c>
      <c r="AA51" s="170">
        <f t="shared" si="18"/>
        <v>0.99972402845588237</v>
      </c>
      <c r="AB51" s="170">
        <f t="shared" si="19"/>
        <v>0</v>
      </c>
      <c r="AC51" s="170">
        <f t="shared" si="1"/>
        <v>0</v>
      </c>
      <c r="AD51" s="169">
        <f>Pasākumu_līmenis!AB39</f>
        <v>0</v>
      </c>
      <c r="AE51" s="169">
        <v>15995584.455294117</v>
      </c>
      <c r="AF51" s="170">
        <v>0.99972402845588237</v>
      </c>
      <c r="AG51" s="169">
        <f>Pasākumu_līmenis!AE39</f>
        <v>15791675.43529412</v>
      </c>
      <c r="AH51" s="170">
        <f t="shared" si="20"/>
        <v>0.98697971470588253</v>
      </c>
      <c r="AI51" s="170">
        <f t="shared" si="21"/>
        <v>0</v>
      </c>
      <c r="AJ51" s="170">
        <f t="shared" si="3"/>
        <v>0</v>
      </c>
      <c r="AK51" s="169">
        <v>15791675.43529412</v>
      </c>
      <c r="AL51" s="170">
        <v>0.98697971470588253</v>
      </c>
    </row>
    <row r="52" spans="1:38" ht="39.75" customHeight="1" x14ac:dyDescent="0.3">
      <c r="A52" s="249" t="s">
        <v>22</v>
      </c>
      <c r="B52" s="250" t="str">
        <f>VLOOKUP(A52,saīsinājumi_LV_ENG!A:G,5,FALSE)</f>
        <v xml:space="preserve">MVK konkurētspēju veicināšana starptautisko tirgu apgūšanai </v>
      </c>
      <c r="C52" s="215" t="s">
        <v>26</v>
      </c>
      <c r="D52" s="216" t="str">
        <f>IFERROR(IF((VLOOKUP(A52,Pasākumu_līmenis!A:H,3,0))=0,"",VLOOKUP(A52,Pasākumu_līmenis!A:H,3,0)),"")</f>
        <v/>
      </c>
      <c r="E52" s="217"/>
      <c r="F52" s="217"/>
      <c r="G52" s="276"/>
      <c r="H52" s="218">
        <f>H53</f>
        <v>85174204</v>
      </c>
      <c r="I52" s="218">
        <f>I53</f>
        <v>0</v>
      </c>
      <c r="J52" s="218">
        <f>J53</f>
        <v>85174204</v>
      </c>
      <c r="K52" s="218">
        <f>K53</f>
        <v>3521184.5609390279</v>
      </c>
      <c r="L52" s="218">
        <f>L53</f>
        <v>84581443.770000011</v>
      </c>
      <c r="M52" s="219">
        <f t="shared" si="14"/>
        <v>0.99304061321195336</v>
      </c>
      <c r="N52" s="219">
        <f t="shared" si="15"/>
        <v>0</v>
      </c>
      <c r="O52" s="219">
        <f t="shared" si="22"/>
        <v>0</v>
      </c>
      <c r="P52" s="218">
        <f>P53</f>
        <v>16</v>
      </c>
      <c r="Q52" s="218">
        <v>84581443.770000011</v>
      </c>
      <c r="R52" s="219">
        <v>0.99304061321195336</v>
      </c>
      <c r="S52" s="218">
        <f>S53</f>
        <v>84581443.770000011</v>
      </c>
      <c r="T52" s="219">
        <f t="shared" si="16"/>
        <v>0.99304061321195336</v>
      </c>
      <c r="U52" s="219">
        <f t="shared" si="17"/>
        <v>0</v>
      </c>
      <c r="V52" s="219">
        <f t="shared" si="23"/>
        <v>0</v>
      </c>
      <c r="W52" s="218">
        <f>W53</f>
        <v>16</v>
      </c>
      <c r="X52" s="218">
        <v>84581443.770000011</v>
      </c>
      <c r="Y52" s="219">
        <v>0.99304061321195336</v>
      </c>
      <c r="Z52" s="218">
        <f>Z53</f>
        <v>84581443.770000011</v>
      </c>
      <c r="AA52" s="219">
        <f t="shared" si="18"/>
        <v>0.99304061321195336</v>
      </c>
      <c r="AB52" s="219">
        <f t="shared" si="19"/>
        <v>0</v>
      </c>
      <c r="AC52" s="219">
        <f t="shared" si="1"/>
        <v>0</v>
      </c>
      <c r="AD52" s="218">
        <f>AD53</f>
        <v>16</v>
      </c>
      <c r="AE52" s="218">
        <v>84581443.770000011</v>
      </c>
      <c r="AF52" s="219">
        <v>0.99304061321195336</v>
      </c>
      <c r="AG52" s="218">
        <f>AG53</f>
        <v>80451165.25999999</v>
      </c>
      <c r="AH52" s="219">
        <f t="shared" si="20"/>
        <v>0.94454848395178415</v>
      </c>
      <c r="AI52" s="219">
        <f t="shared" si="21"/>
        <v>0</v>
      </c>
      <c r="AJ52" s="219">
        <f t="shared" si="3"/>
        <v>0</v>
      </c>
      <c r="AK52" s="218">
        <v>80451165.25999999</v>
      </c>
      <c r="AL52" s="219">
        <v>0.94454848395178415</v>
      </c>
    </row>
    <row r="53" spans="1:38" ht="39.75" customHeight="1" x14ac:dyDescent="0.3">
      <c r="A53" s="251" t="s">
        <v>434</v>
      </c>
      <c r="B53" s="252" t="str">
        <f>VLOOKUP(A53,saīsinājumi_LV_ENG!A:G,5,FALSE)</f>
        <v xml:space="preserve">Augstas pievienotās vērtības produktu eksporta palielināšana </v>
      </c>
      <c r="C53" s="220" t="s">
        <v>39</v>
      </c>
      <c r="D53" s="220" t="str">
        <f>IFERROR(IF((VLOOKUP(A53,Pasākumu_līmenis!A:H,3,0))=0,"",VLOOKUP(A53,Pasākumu_līmenis!A:H,3,0)),"")</f>
        <v/>
      </c>
      <c r="E53" s="222"/>
      <c r="F53" s="222"/>
      <c r="G53" s="277"/>
      <c r="H53" s="223">
        <f>SUM(H54:H55)</f>
        <v>85174204</v>
      </c>
      <c r="I53" s="223">
        <f>SUM(I54:I55)</f>
        <v>0</v>
      </c>
      <c r="J53" s="223">
        <f>SUM(J54:J55)</f>
        <v>85174204</v>
      </c>
      <c r="K53" s="223">
        <f>SUM(K54:K55)</f>
        <v>3521184.5609390279</v>
      </c>
      <c r="L53" s="223">
        <f>SUM(L54:L55)</f>
        <v>84581443.770000011</v>
      </c>
      <c r="M53" s="224">
        <f t="shared" si="14"/>
        <v>0.99304061321195336</v>
      </c>
      <c r="N53" s="224">
        <f t="shared" si="15"/>
        <v>0</v>
      </c>
      <c r="O53" s="224">
        <f t="shared" si="22"/>
        <v>0</v>
      </c>
      <c r="P53" s="223">
        <f>SUM(P54:P55)</f>
        <v>16</v>
      </c>
      <c r="Q53" s="223">
        <v>84581443.770000011</v>
      </c>
      <c r="R53" s="224">
        <v>0.99304061321195336</v>
      </c>
      <c r="S53" s="223">
        <f>SUM(S54:S55)</f>
        <v>84581443.770000011</v>
      </c>
      <c r="T53" s="224">
        <f t="shared" si="16"/>
        <v>0.99304061321195336</v>
      </c>
      <c r="U53" s="224">
        <f t="shared" si="17"/>
        <v>0</v>
      </c>
      <c r="V53" s="224">
        <f t="shared" si="23"/>
        <v>0</v>
      </c>
      <c r="W53" s="223">
        <f>SUM(W54:W55)</f>
        <v>16</v>
      </c>
      <c r="X53" s="223">
        <v>84581443.770000011</v>
      </c>
      <c r="Y53" s="224">
        <v>0.99304061321195336</v>
      </c>
      <c r="Z53" s="223">
        <f>SUM(Z54:Z55)</f>
        <v>84581443.770000011</v>
      </c>
      <c r="AA53" s="224">
        <f t="shared" si="18"/>
        <v>0.99304061321195336</v>
      </c>
      <c r="AB53" s="224">
        <f t="shared" si="19"/>
        <v>0</v>
      </c>
      <c r="AC53" s="224">
        <f t="shared" si="1"/>
        <v>0</v>
      </c>
      <c r="AD53" s="223">
        <f>SUM(AD54:AD55)</f>
        <v>16</v>
      </c>
      <c r="AE53" s="223">
        <v>84581443.770000011</v>
      </c>
      <c r="AF53" s="224">
        <v>0.99304061321195336</v>
      </c>
      <c r="AG53" s="223">
        <f>SUM(AG54:AG55)</f>
        <v>80451165.25999999</v>
      </c>
      <c r="AH53" s="224">
        <f t="shared" si="20"/>
        <v>0.94454848395178415</v>
      </c>
      <c r="AI53" s="224">
        <f t="shared" si="21"/>
        <v>0</v>
      </c>
      <c r="AJ53" s="224">
        <f t="shared" si="3"/>
        <v>0</v>
      </c>
      <c r="AK53" s="223">
        <v>80451165.25999999</v>
      </c>
      <c r="AL53" s="224">
        <v>0.94454848395178415</v>
      </c>
    </row>
    <row r="54" spans="1:38" ht="21" customHeight="1" x14ac:dyDescent="0.3">
      <c r="A54" s="253" t="s">
        <v>411</v>
      </c>
      <c r="B54" s="254" t="str">
        <f>VLOOKUP(A54,saīsinājumi_LV_ENG!A:G,5,FALSE)</f>
        <v>Klasteru programma</v>
      </c>
      <c r="C54" s="10" t="s">
        <v>182</v>
      </c>
      <c r="D54" s="10"/>
      <c r="E54" s="38" t="str">
        <f>Pasākumu_līmenis!D40</f>
        <v>ERAF</v>
      </c>
      <c r="F54" s="38" t="str">
        <f>Pasākumu_līmenis!E40</f>
        <v>EM</v>
      </c>
      <c r="G54" s="278" t="str">
        <f>VLOOKUP(A54,'2. Intervences kategorijas - Pa'!B:D,2,FALSE)</f>
        <v>03 - Uzlabot mazo un vidējo uzņēmumu (MVU) konkurētspēju</v>
      </c>
      <c r="H54" s="169">
        <f>Pasākumu_līmenis!F40</f>
        <v>6732853</v>
      </c>
      <c r="I54" s="169">
        <f>Pasākumu_līmenis!G40</f>
        <v>0</v>
      </c>
      <c r="J54" s="169">
        <f>Pasākumu_līmenis!H40</f>
        <v>6732853</v>
      </c>
      <c r="K54" s="169">
        <f>Pasākumu_līmenis!I40</f>
        <v>378170.56093902799</v>
      </c>
      <c r="L54" s="169">
        <f>Pasākumu_līmenis!J40</f>
        <v>6552472.9299999997</v>
      </c>
      <c r="M54" s="170">
        <f t="shared" si="14"/>
        <v>0.97320896951114177</v>
      </c>
      <c r="N54" s="170">
        <f t="shared" si="15"/>
        <v>0</v>
      </c>
      <c r="O54" s="170">
        <f t="shared" si="22"/>
        <v>0</v>
      </c>
      <c r="P54" s="169">
        <f>Pasākumu_līmenis!N40</f>
        <v>14</v>
      </c>
      <c r="Q54" s="169">
        <v>6552472.9299999997</v>
      </c>
      <c r="R54" s="170">
        <v>0.97320896951114177</v>
      </c>
      <c r="S54" s="169">
        <f>Pasākumu_līmenis!Q40</f>
        <v>6552472.9299999997</v>
      </c>
      <c r="T54" s="170">
        <f t="shared" si="16"/>
        <v>0.97320896951114177</v>
      </c>
      <c r="U54" s="170">
        <f t="shared" si="17"/>
        <v>0</v>
      </c>
      <c r="V54" s="170">
        <f t="shared" si="23"/>
        <v>0</v>
      </c>
      <c r="W54" s="169">
        <f>Pasākumu_līmenis!U40</f>
        <v>14</v>
      </c>
      <c r="X54" s="169">
        <v>6552472.9299999997</v>
      </c>
      <c r="Y54" s="170">
        <v>0.97320896951114177</v>
      </c>
      <c r="Z54" s="169">
        <f>Pasākumu_līmenis!X40</f>
        <v>6552472.9299999997</v>
      </c>
      <c r="AA54" s="170">
        <f t="shared" si="18"/>
        <v>0.97320896951114177</v>
      </c>
      <c r="AB54" s="170">
        <f t="shared" si="19"/>
        <v>0</v>
      </c>
      <c r="AC54" s="170">
        <f t="shared" si="1"/>
        <v>0</v>
      </c>
      <c r="AD54" s="169">
        <f>Pasākumu_līmenis!AB40</f>
        <v>14</v>
      </c>
      <c r="AE54" s="169">
        <v>6552472.9299999997</v>
      </c>
      <c r="AF54" s="170">
        <v>0.97320896951114177</v>
      </c>
      <c r="AG54" s="169">
        <f>Pasākumu_līmenis!AE40</f>
        <v>6552472.9299999997</v>
      </c>
      <c r="AH54" s="170">
        <f t="shared" si="20"/>
        <v>0.97320896951114177</v>
      </c>
      <c r="AI54" s="170">
        <f t="shared" si="21"/>
        <v>0</v>
      </c>
      <c r="AJ54" s="170">
        <f t="shared" si="3"/>
        <v>0</v>
      </c>
      <c r="AK54" s="169">
        <v>6552472.9299999997</v>
      </c>
      <c r="AL54" s="170">
        <v>0.97320896951114177</v>
      </c>
    </row>
    <row r="55" spans="1:38" ht="21" customHeight="1" x14ac:dyDescent="0.3">
      <c r="A55" s="253" t="s">
        <v>364</v>
      </c>
      <c r="B55" s="254" t="str">
        <f>VLOOKUP(A55,saīsinājumi_LV_ENG!A:G,5,FALSE)</f>
        <v>Starptautiskā konkurētspēja</v>
      </c>
      <c r="C55" s="10" t="s">
        <v>181</v>
      </c>
      <c r="D55" s="10"/>
      <c r="E55" s="38" t="str">
        <f>Pasākumu_līmenis!D41</f>
        <v>ERAF</v>
      </c>
      <c r="F55" s="38" t="str">
        <f>Pasākumu_līmenis!E41</f>
        <v>EM</v>
      </c>
      <c r="G55" s="278" t="str">
        <f>VLOOKUP(A55,'2. Intervences kategorijas - Pa'!B:D,2,FALSE)</f>
        <v>03 - Uzlabot mazo un vidējo uzņēmumu (MVU) konkurētspēju</v>
      </c>
      <c r="H55" s="169">
        <f>Pasākumu_līmenis!F41</f>
        <v>78441351</v>
      </c>
      <c r="I55" s="169">
        <f>Pasākumu_līmenis!G41</f>
        <v>0</v>
      </c>
      <c r="J55" s="169">
        <f>Pasākumu_līmenis!H41</f>
        <v>78441351</v>
      </c>
      <c r="K55" s="169">
        <f>Pasākumu_līmenis!I41</f>
        <v>3143014</v>
      </c>
      <c r="L55" s="169">
        <f>Pasākumu_līmenis!J41</f>
        <v>78028970.840000004</v>
      </c>
      <c r="M55" s="170">
        <f t="shared" si="14"/>
        <v>0.99474282180581008</v>
      </c>
      <c r="N55" s="170">
        <f t="shared" si="15"/>
        <v>0</v>
      </c>
      <c r="O55" s="170">
        <f t="shared" si="22"/>
        <v>0</v>
      </c>
      <c r="P55" s="169">
        <f>Pasākumu_līmenis!N41</f>
        <v>2</v>
      </c>
      <c r="Q55" s="169">
        <v>78028970.840000004</v>
      </c>
      <c r="R55" s="170">
        <v>0.99474282180581008</v>
      </c>
      <c r="S55" s="169">
        <f>Pasākumu_līmenis!Q41</f>
        <v>78028970.840000004</v>
      </c>
      <c r="T55" s="170">
        <f t="shared" si="16"/>
        <v>0.99474282180581008</v>
      </c>
      <c r="U55" s="170">
        <f t="shared" si="17"/>
        <v>0</v>
      </c>
      <c r="V55" s="170">
        <f t="shared" si="23"/>
        <v>0</v>
      </c>
      <c r="W55" s="169">
        <f>Pasākumu_līmenis!U41</f>
        <v>2</v>
      </c>
      <c r="X55" s="169">
        <v>78028970.840000004</v>
      </c>
      <c r="Y55" s="170">
        <v>0.99474282180581008</v>
      </c>
      <c r="Z55" s="169">
        <f>Pasākumu_līmenis!X41</f>
        <v>78028970.840000004</v>
      </c>
      <c r="AA55" s="170">
        <f t="shared" si="18"/>
        <v>0.99474282180581008</v>
      </c>
      <c r="AB55" s="170">
        <f t="shared" si="19"/>
        <v>0</v>
      </c>
      <c r="AC55" s="170">
        <f t="shared" si="1"/>
        <v>0</v>
      </c>
      <c r="AD55" s="169">
        <f>Pasākumu_līmenis!AB41</f>
        <v>2</v>
      </c>
      <c r="AE55" s="169">
        <v>78028970.840000004</v>
      </c>
      <c r="AF55" s="170">
        <v>0.99474282180581008</v>
      </c>
      <c r="AG55" s="169">
        <f>Pasākumu_līmenis!AE41</f>
        <v>73898692.329999998</v>
      </c>
      <c r="AH55" s="170">
        <f t="shared" si="20"/>
        <v>0.94208846976641181</v>
      </c>
      <c r="AI55" s="170">
        <f t="shared" si="21"/>
        <v>0</v>
      </c>
      <c r="AJ55" s="170">
        <f t="shared" si="3"/>
        <v>0</v>
      </c>
      <c r="AK55" s="169">
        <v>73898692.329999998</v>
      </c>
      <c r="AL55" s="170">
        <v>0.94208846976641181</v>
      </c>
    </row>
    <row r="56" spans="1:38" ht="39.75" customHeight="1" x14ac:dyDescent="0.3">
      <c r="A56" s="249" t="s">
        <v>23</v>
      </c>
      <c r="B56" s="250" t="str">
        <f>VLOOKUP(A56,saīsinājumi_LV_ENG!A:G,5,FALSE)</f>
        <v>Produktu un pakalpojumu attīstība un  kapacitāte</v>
      </c>
      <c r="C56" s="215" t="s">
        <v>27</v>
      </c>
      <c r="D56" s="215" t="str">
        <f>IFERROR(IF((VLOOKUP(A56,Pasākumu_līmenis!A:H,3,0))=0,"",VLOOKUP(A56,Pasākumu_līmenis!A:H,3,0)),"")</f>
        <v/>
      </c>
      <c r="E56" s="217"/>
      <c r="F56" s="216"/>
      <c r="G56" s="238"/>
      <c r="H56" s="218">
        <f>H57</f>
        <v>59016742</v>
      </c>
      <c r="I56" s="218">
        <f>I57</f>
        <v>290005</v>
      </c>
      <c r="J56" s="218">
        <f>J57</f>
        <v>59306747</v>
      </c>
      <c r="K56" s="218">
        <f>K57</f>
        <v>3599740</v>
      </c>
      <c r="L56" s="218">
        <f>L57</f>
        <v>55993361.68</v>
      </c>
      <c r="M56" s="219">
        <f t="shared" si="14"/>
        <v>0.94877080269866476</v>
      </c>
      <c r="N56" s="219">
        <f t="shared" si="15"/>
        <v>0</v>
      </c>
      <c r="O56" s="219">
        <f t="shared" si="22"/>
        <v>0</v>
      </c>
      <c r="P56" s="218">
        <f>P57</f>
        <v>100</v>
      </c>
      <c r="Q56" s="218">
        <v>55993361.68</v>
      </c>
      <c r="R56" s="219">
        <v>0.94877080269866476</v>
      </c>
      <c r="S56" s="218">
        <f>S57</f>
        <v>55993361.68</v>
      </c>
      <c r="T56" s="219">
        <f t="shared" si="16"/>
        <v>0.94877080269866476</v>
      </c>
      <c r="U56" s="219">
        <f t="shared" si="17"/>
        <v>0</v>
      </c>
      <c r="V56" s="219">
        <f t="shared" si="23"/>
        <v>0</v>
      </c>
      <c r="W56" s="218">
        <f>W57</f>
        <v>100</v>
      </c>
      <c r="X56" s="218">
        <v>55993361.68</v>
      </c>
      <c r="Y56" s="219">
        <v>0.94877080269866476</v>
      </c>
      <c r="Z56" s="218">
        <f>Z57</f>
        <v>55993361.68</v>
      </c>
      <c r="AA56" s="219">
        <f t="shared" si="18"/>
        <v>0.94877080269866476</v>
      </c>
      <c r="AB56" s="219">
        <f t="shared" si="19"/>
        <v>0</v>
      </c>
      <c r="AC56" s="219">
        <f t="shared" si="1"/>
        <v>0</v>
      </c>
      <c r="AD56" s="218">
        <f>AD57</f>
        <v>100</v>
      </c>
      <c r="AE56" s="218">
        <v>55993361.68</v>
      </c>
      <c r="AF56" s="219">
        <v>0.94877080269866476</v>
      </c>
      <c r="AG56" s="218">
        <f>AG57</f>
        <v>56046382.380000003</v>
      </c>
      <c r="AH56" s="219">
        <f t="shared" si="20"/>
        <v>0.94966920369816421</v>
      </c>
      <c r="AI56" s="219">
        <f t="shared" si="21"/>
        <v>0</v>
      </c>
      <c r="AJ56" s="219">
        <f t="shared" si="3"/>
        <v>0</v>
      </c>
      <c r="AK56" s="218">
        <v>56046382.380000003</v>
      </c>
      <c r="AL56" s="219">
        <v>0.94966920369816421</v>
      </c>
    </row>
    <row r="57" spans="1:38" ht="39.75" customHeight="1" x14ac:dyDescent="0.3">
      <c r="A57" s="255" t="s">
        <v>262</v>
      </c>
      <c r="B57" s="254" t="str">
        <f>VLOOKUP(A57,saīsinājumi_LV_ENG!A:G,5,FALSE)</f>
        <v>Publiskā infrastruktūra uzņēmējdarbībai</v>
      </c>
      <c r="C57" s="10" t="s">
        <v>40</v>
      </c>
      <c r="D57" s="10"/>
      <c r="E57" s="38" t="str">
        <f>Pasākumu_līmenis!D42</f>
        <v>ERAF</v>
      </c>
      <c r="F57" s="38" t="str">
        <f>Pasākumu_līmenis!E42</f>
        <v>VARAM</v>
      </c>
      <c r="G57" s="278" t="str">
        <f>VLOOKUP(A57,'2. Intervences kategorijas - Pa'!B:D,2,FALSE)</f>
        <v>03 - Uzlabot mazo un vidējo uzņēmumu (MVU) konkurētspēju</v>
      </c>
      <c r="H57" s="169">
        <f>Pasākumu_līmenis!F42</f>
        <v>59016742</v>
      </c>
      <c r="I57" s="169">
        <f>Pasākumu_līmenis!G42</f>
        <v>290005</v>
      </c>
      <c r="J57" s="169">
        <f>Pasākumu_līmenis!H42</f>
        <v>59306747</v>
      </c>
      <c r="K57" s="169">
        <f>Pasākumu_līmenis!I42</f>
        <v>3599740</v>
      </c>
      <c r="L57" s="169">
        <f>Pasākumu_līmenis!J42</f>
        <v>55993361.68</v>
      </c>
      <c r="M57" s="170">
        <f t="shared" si="14"/>
        <v>0.94877080269866476</v>
      </c>
      <c r="N57" s="170">
        <f t="shared" si="15"/>
        <v>0</v>
      </c>
      <c r="O57" s="170">
        <f t="shared" si="22"/>
        <v>0</v>
      </c>
      <c r="P57" s="169">
        <f>Pasākumu_līmenis!N42</f>
        <v>100</v>
      </c>
      <c r="Q57" s="169">
        <v>55993361.68</v>
      </c>
      <c r="R57" s="170">
        <v>0.94877080269866476</v>
      </c>
      <c r="S57" s="169">
        <f>Pasākumu_līmenis!Q42</f>
        <v>55993361.68</v>
      </c>
      <c r="T57" s="170">
        <f t="shared" si="16"/>
        <v>0.94877080269866476</v>
      </c>
      <c r="U57" s="170">
        <f t="shared" si="17"/>
        <v>0</v>
      </c>
      <c r="V57" s="170">
        <f t="shared" si="23"/>
        <v>0</v>
      </c>
      <c r="W57" s="169">
        <f>Pasākumu_līmenis!U42</f>
        <v>100</v>
      </c>
      <c r="X57" s="169">
        <v>55993361.68</v>
      </c>
      <c r="Y57" s="170">
        <v>0.94877080269866476</v>
      </c>
      <c r="Z57" s="169">
        <f>Pasākumu_līmenis!X42</f>
        <v>55993361.68</v>
      </c>
      <c r="AA57" s="170">
        <f t="shared" si="18"/>
        <v>0.94877080269866476</v>
      </c>
      <c r="AB57" s="170">
        <f t="shared" si="19"/>
        <v>0</v>
      </c>
      <c r="AC57" s="170">
        <f t="shared" si="1"/>
        <v>0</v>
      </c>
      <c r="AD57" s="169">
        <f>Pasākumu_līmenis!AB42</f>
        <v>100</v>
      </c>
      <c r="AE57" s="169">
        <v>55993361.68</v>
      </c>
      <c r="AF57" s="170">
        <v>0.94877080269866476</v>
      </c>
      <c r="AG57" s="169">
        <f>Pasākumu_līmenis!AE42</f>
        <v>56046382.380000003</v>
      </c>
      <c r="AH57" s="170">
        <f t="shared" si="20"/>
        <v>0.94966920369816421</v>
      </c>
      <c r="AI57" s="170">
        <f t="shared" si="21"/>
        <v>0</v>
      </c>
      <c r="AJ57" s="170">
        <f t="shared" si="3"/>
        <v>0</v>
      </c>
      <c r="AK57" s="169">
        <v>56046382.380000003</v>
      </c>
      <c r="AL57" s="170">
        <v>0.94966920369816421</v>
      </c>
    </row>
    <row r="58" spans="1:38" ht="21.75" customHeight="1" x14ac:dyDescent="0.3">
      <c r="A58" s="249" t="s">
        <v>24</v>
      </c>
      <c r="B58" s="250" t="str">
        <f>VLOOKUP(A58,saīsinājumi_LV_ENG!A:G,5,FALSE)</f>
        <v>Valsts pārvaldes efektivitāte</v>
      </c>
      <c r="C58" s="229" t="s">
        <v>28</v>
      </c>
      <c r="D58" s="215" t="str">
        <f>IFERROR(IF((VLOOKUP(A58,Pasākumu_līmenis!A:H,3,0))=0,"",VLOOKUP(A58,Pasākumu_līmenis!A:H,3,0)),"")</f>
        <v/>
      </c>
      <c r="E58" s="217"/>
      <c r="F58" s="217"/>
      <c r="G58" s="276"/>
      <c r="H58" s="218">
        <f>H59+H60</f>
        <v>17799857</v>
      </c>
      <c r="I58" s="218">
        <f>I59+I60</f>
        <v>0</v>
      </c>
      <c r="J58" s="218">
        <f>J59+J60</f>
        <v>17799857</v>
      </c>
      <c r="K58" s="218">
        <f>K59+K60</f>
        <v>1123273.1675711772</v>
      </c>
      <c r="L58" s="218">
        <f>L59+L60</f>
        <v>17720662.950000003</v>
      </c>
      <c r="M58" s="219">
        <f t="shared" si="14"/>
        <v>0.99555086032432749</v>
      </c>
      <c r="N58" s="219">
        <f t="shared" si="15"/>
        <v>0</v>
      </c>
      <c r="O58" s="219">
        <f t="shared" si="22"/>
        <v>0</v>
      </c>
      <c r="P58" s="218">
        <f>P59+P60</f>
        <v>8</v>
      </c>
      <c r="Q58" s="218">
        <v>17720662.950000003</v>
      </c>
      <c r="R58" s="219">
        <v>0.99555086032432749</v>
      </c>
      <c r="S58" s="218">
        <f>S59+S60</f>
        <v>17720662.950000003</v>
      </c>
      <c r="T58" s="219">
        <f t="shared" si="16"/>
        <v>0.99555086032432749</v>
      </c>
      <c r="U58" s="219">
        <f t="shared" si="17"/>
        <v>0</v>
      </c>
      <c r="V58" s="219">
        <f t="shared" si="23"/>
        <v>0</v>
      </c>
      <c r="W58" s="218">
        <f>W59+W60</f>
        <v>8</v>
      </c>
      <c r="X58" s="218">
        <v>17720662.950000003</v>
      </c>
      <c r="Y58" s="219">
        <v>0.99555086032432749</v>
      </c>
      <c r="Z58" s="218">
        <f>Z59+Z60</f>
        <v>17720662.950000003</v>
      </c>
      <c r="AA58" s="219">
        <f t="shared" si="18"/>
        <v>0.99555086032432749</v>
      </c>
      <c r="AB58" s="219">
        <f t="shared" si="19"/>
        <v>0</v>
      </c>
      <c r="AC58" s="219">
        <f t="shared" si="1"/>
        <v>0</v>
      </c>
      <c r="AD58" s="218">
        <f>AD59+AD60</f>
        <v>8</v>
      </c>
      <c r="AE58" s="218">
        <v>17720662.950000003</v>
      </c>
      <c r="AF58" s="219">
        <v>0.99555086032432749</v>
      </c>
      <c r="AG58" s="218">
        <f>AG59+AG60</f>
        <v>17720662.950000003</v>
      </c>
      <c r="AH58" s="219">
        <f t="shared" si="20"/>
        <v>0.99555086032432749</v>
      </c>
      <c r="AI58" s="219">
        <f t="shared" si="21"/>
        <v>0</v>
      </c>
      <c r="AJ58" s="219">
        <f t="shared" si="3"/>
        <v>0</v>
      </c>
      <c r="AK58" s="218">
        <v>17720662.950000003</v>
      </c>
      <c r="AL58" s="219">
        <v>0.99555086032432749</v>
      </c>
    </row>
    <row r="59" spans="1:38" ht="39.75" customHeight="1" x14ac:dyDescent="0.3">
      <c r="A59" s="255" t="s">
        <v>417</v>
      </c>
      <c r="B59" s="254" t="str">
        <f>VLOOKUP(A59,saīsinājumi_LV_ENG!A:G,5,FALSE)</f>
        <v>Tiesu un tiesībsargājošo institūciju darbinieku apmācība</v>
      </c>
      <c r="C59" s="10" t="s">
        <v>41</v>
      </c>
      <c r="D59" s="10"/>
      <c r="E59" s="38" t="str">
        <f>Pasākumu_līmenis!D43</f>
        <v>ESF</v>
      </c>
      <c r="F59" s="38" t="str">
        <f>Pasākumu_līmenis!E43</f>
        <v>TM</v>
      </c>
      <c r="G59" s="278" t="str">
        <f>VLOOKUP(A59,'2. Intervences kategorijas - Pa'!B:D,2,FALSE)</f>
        <v>11 - Publisko iestāžu un ieinteresēto personu institucionālo spēju uzlabošana un efektīva valsts pārvalde</v>
      </c>
      <c r="H59" s="169">
        <f>Pasākumu_līmenis!F43</f>
        <v>9230484</v>
      </c>
      <c r="I59" s="169">
        <f>Pasākumu_līmenis!G43</f>
        <v>0</v>
      </c>
      <c r="J59" s="169">
        <f>Pasākumu_līmenis!H43</f>
        <v>9230484</v>
      </c>
      <c r="K59" s="169">
        <f>Pasākumu_līmenis!I43</f>
        <v>590385</v>
      </c>
      <c r="L59" s="169">
        <f>Pasākumu_līmenis!J43</f>
        <v>9219650.8000000007</v>
      </c>
      <c r="M59" s="170">
        <f t="shared" si="14"/>
        <v>0.99882636706807582</v>
      </c>
      <c r="N59" s="170">
        <f t="shared" si="15"/>
        <v>0</v>
      </c>
      <c r="O59" s="170">
        <f t="shared" si="22"/>
        <v>0</v>
      </c>
      <c r="P59" s="169">
        <f>Pasākumu_līmenis!N43</f>
        <v>1</v>
      </c>
      <c r="Q59" s="169">
        <v>9219650.8000000007</v>
      </c>
      <c r="R59" s="170">
        <v>0.99882636706807582</v>
      </c>
      <c r="S59" s="169">
        <f>Pasākumu_līmenis!Q43</f>
        <v>9219650.8000000007</v>
      </c>
      <c r="T59" s="170">
        <f t="shared" si="16"/>
        <v>0.99882636706807582</v>
      </c>
      <c r="U59" s="170">
        <f t="shared" si="17"/>
        <v>0</v>
      </c>
      <c r="V59" s="170">
        <f t="shared" si="23"/>
        <v>0</v>
      </c>
      <c r="W59" s="169">
        <f>Pasākumu_līmenis!U43</f>
        <v>1</v>
      </c>
      <c r="X59" s="169">
        <v>9219650.8000000007</v>
      </c>
      <c r="Y59" s="170">
        <v>0.99882636706807582</v>
      </c>
      <c r="Z59" s="169">
        <f>Pasākumu_līmenis!X43</f>
        <v>9219650.8000000007</v>
      </c>
      <c r="AA59" s="170">
        <f t="shared" si="18"/>
        <v>0.99882636706807582</v>
      </c>
      <c r="AB59" s="170">
        <f t="shared" si="19"/>
        <v>0</v>
      </c>
      <c r="AC59" s="170">
        <f t="shared" si="1"/>
        <v>0</v>
      </c>
      <c r="AD59" s="169">
        <f>Pasākumu_līmenis!AB43</f>
        <v>1</v>
      </c>
      <c r="AE59" s="169">
        <v>9219650.8000000007</v>
      </c>
      <c r="AF59" s="170">
        <v>0.99882636706807582</v>
      </c>
      <c r="AG59" s="169">
        <f>Pasākumu_līmenis!AE43</f>
        <v>9219650.8000000007</v>
      </c>
      <c r="AH59" s="170">
        <f t="shared" si="20"/>
        <v>0.99882636706807582</v>
      </c>
      <c r="AI59" s="170">
        <f t="shared" si="21"/>
        <v>0</v>
      </c>
      <c r="AJ59" s="170">
        <f t="shared" si="3"/>
        <v>0</v>
      </c>
      <c r="AK59" s="169">
        <v>9219650.8000000007</v>
      </c>
      <c r="AL59" s="170">
        <v>0.99882636706807582</v>
      </c>
    </row>
    <row r="60" spans="1:38" ht="59.25" customHeight="1" x14ac:dyDescent="0.3">
      <c r="A60" s="256" t="s">
        <v>418</v>
      </c>
      <c r="B60" s="252" t="str">
        <f>VLOOKUP(A60,saīsinājumi_LV_ENG!A:G,5,FALSE)</f>
        <v>Valsts pārvaldes profesionālā pilnveide un sociālā dialoga attīstība</v>
      </c>
      <c r="C60" s="230" t="s">
        <v>25</v>
      </c>
      <c r="D60" s="220" t="str">
        <f>IFERROR(IF((VLOOKUP(A60,Pasākumu_līmenis!A:H,3,0))=0,"",VLOOKUP(A60,Pasākumu_līmenis!A:H,3,0)),"")</f>
        <v/>
      </c>
      <c r="E60" s="231"/>
      <c r="F60" s="231"/>
      <c r="G60" s="281"/>
      <c r="H60" s="223">
        <f>H61+H62+H63</f>
        <v>8569373</v>
      </c>
      <c r="I60" s="223">
        <f>I61+I62+I63</f>
        <v>0</v>
      </c>
      <c r="J60" s="223">
        <f>J61+J62+J63</f>
        <v>8569373</v>
      </c>
      <c r="K60" s="223">
        <f>K61+K62+K63</f>
        <v>532888.16757117736</v>
      </c>
      <c r="L60" s="223">
        <f>L61+L62+L63</f>
        <v>8501012.1500000004</v>
      </c>
      <c r="M60" s="224">
        <f>L60/$H60</f>
        <v>0.99202265439956927</v>
      </c>
      <c r="N60" s="224">
        <f>M60-R60</f>
        <v>0</v>
      </c>
      <c r="O60" s="224">
        <f t="shared" si="22"/>
        <v>0</v>
      </c>
      <c r="P60" s="223">
        <f>P61+P62+P63</f>
        <v>7</v>
      </c>
      <c r="Q60" s="223">
        <v>8501012.1500000004</v>
      </c>
      <c r="R60" s="232">
        <v>0.99202265439956927</v>
      </c>
      <c r="S60" s="223">
        <f>S61+S62+S63</f>
        <v>8501012.1500000004</v>
      </c>
      <c r="T60" s="224">
        <f>S60/$H60</f>
        <v>0.99202265439956927</v>
      </c>
      <c r="U60" s="224">
        <f>T60-Y60</f>
        <v>0</v>
      </c>
      <c r="V60" s="224">
        <f t="shared" si="23"/>
        <v>0</v>
      </c>
      <c r="W60" s="223">
        <f>W61+W62+W63</f>
        <v>7</v>
      </c>
      <c r="X60" s="223">
        <v>8501012.1500000004</v>
      </c>
      <c r="Y60" s="224">
        <v>0.99202265439956927</v>
      </c>
      <c r="Z60" s="223">
        <f>Z61+Z62+Z63</f>
        <v>8501012.1500000004</v>
      </c>
      <c r="AA60" s="224">
        <f>Z60/$H60</f>
        <v>0.99202265439956927</v>
      </c>
      <c r="AB60" s="224">
        <f>AA60-AF60</f>
        <v>0</v>
      </c>
      <c r="AC60" s="224">
        <f t="shared" si="1"/>
        <v>0</v>
      </c>
      <c r="AD60" s="223">
        <f>AD61+AD62+AD63</f>
        <v>7</v>
      </c>
      <c r="AE60" s="223">
        <v>8501012.1500000004</v>
      </c>
      <c r="AF60" s="232">
        <v>0.99202265439956927</v>
      </c>
      <c r="AG60" s="223">
        <f>AG61+AG62+AG63</f>
        <v>8501012.1500000004</v>
      </c>
      <c r="AH60" s="224">
        <f>AG60/$H60</f>
        <v>0.99202265439956927</v>
      </c>
      <c r="AI60" s="224">
        <f>AH60-AL60</f>
        <v>0</v>
      </c>
      <c r="AJ60" s="224">
        <f t="shared" si="3"/>
        <v>0</v>
      </c>
      <c r="AK60" s="223">
        <v>8501012.1500000004</v>
      </c>
      <c r="AL60" s="224">
        <v>0.99202265439956927</v>
      </c>
    </row>
    <row r="61" spans="1:38" ht="39.75" customHeight="1" x14ac:dyDescent="0.3">
      <c r="A61" s="257" t="s">
        <v>458</v>
      </c>
      <c r="B61" s="258" t="str">
        <f>VLOOKUP(A61,saīsinājumi_LV_ENG!A:G,5,FALSE)</f>
        <v>Valsts pārvaldes darbinieku apmācības</v>
      </c>
      <c r="C61" s="93" t="s">
        <v>456</v>
      </c>
      <c r="D61" s="10"/>
      <c r="E61" s="95" t="s">
        <v>346</v>
      </c>
      <c r="F61" s="95" t="s">
        <v>354</v>
      </c>
      <c r="G61" s="282" t="str">
        <f>VLOOKUP(A61,'2. Intervences kategorijas - Pa'!B:D,2,FALSE)</f>
        <v>11 - Publisko iestāžu un ieinteresēto personu institucionālo spēju uzlabošana un efektīva valsts pārvalde</v>
      </c>
      <c r="H61" s="169">
        <f>Pasākumu_līmenis!F44</f>
        <v>6954373</v>
      </c>
      <c r="I61" s="169">
        <f>Pasākumu_līmenis!G44</f>
        <v>0</v>
      </c>
      <c r="J61" s="169">
        <f>Pasākumu_līmenis!H44</f>
        <v>6954373</v>
      </c>
      <c r="K61" s="169">
        <f>Pasākumu_līmenis!I44</f>
        <v>453602</v>
      </c>
      <c r="L61" s="169">
        <f>Pasākumu_līmenis!J44</f>
        <v>6888432.3399999999</v>
      </c>
      <c r="M61" s="170">
        <f t="shared" ref="M61:M62" si="35">L61/$H61</f>
        <v>0.99051810134429086</v>
      </c>
      <c r="N61" s="170">
        <f t="shared" ref="N61:N62" si="36">M61-R61</f>
        <v>0</v>
      </c>
      <c r="O61" s="170">
        <f t="shared" ref="O61:O62" si="37">IFERROR(((L61-Q61)/Q61),0)</f>
        <v>0</v>
      </c>
      <c r="P61" s="169">
        <f>Pasākumu_līmenis!N44</f>
        <v>4</v>
      </c>
      <c r="Q61" s="169">
        <v>6888432.3399999999</v>
      </c>
      <c r="R61" s="177">
        <v>0.99051810134429086</v>
      </c>
      <c r="S61" s="169">
        <f>Pasākumu_līmenis!Q44</f>
        <v>6888432.3399999999</v>
      </c>
      <c r="T61" s="170">
        <f t="shared" ref="T61:T62" si="38">S61/$H61</f>
        <v>0.99051810134429086</v>
      </c>
      <c r="U61" s="170">
        <f t="shared" ref="U61:U62" si="39">T61-Y61</f>
        <v>0</v>
      </c>
      <c r="V61" s="170">
        <f t="shared" ref="V61:V62" si="40">IFERROR(((S61-X61)/X61),0)</f>
        <v>0</v>
      </c>
      <c r="W61" s="169">
        <f>Pasākumu_līmenis!U44</f>
        <v>4</v>
      </c>
      <c r="X61" s="169">
        <v>6888432.3399999999</v>
      </c>
      <c r="Y61" s="170">
        <v>0.99051810134429086</v>
      </c>
      <c r="Z61" s="169">
        <f>Pasākumu_līmenis!X44</f>
        <v>6888432.3399999999</v>
      </c>
      <c r="AA61" s="170">
        <f t="shared" ref="AA61:AA62" si="41">Z61/$H61</f>
        <v>0.99051810134429086</v>
      </c>
      <c r="AB61" s="170">
        <f t="shared" ref="AB61:AB62" si="42">AA61-AF61</f>
        <v>0</v>
      </c>
      <c r="AC61" s="170">
        <f t="shared" ref="AC61:AC62" si="43">IFERROR(((Z61-AE61)/AE61),0)</f>
        <v>0</v>
      </c>
      <c r="AD61" s="169">
        <f>Pasākumu_līmenis!AB44</f>
        <v>4</v>
      </c>
      <c r="AE61" s="169">
        <v>6888432.3399999999</v>
      </c>
      <c r="AF61" s="177">
        <v>0.99051810134429086</v>
      </c>
      <c r="AG61" s="169">
        <f>Pasākumu_līmenis!AE44</f>
        <v>6888432.3399999999</v>
      </c>
      <c r="AH61" s="170">
        <f t="shared" ref="AH61:AH62" si="44">AG61/$H61</f>
        <v>0.99051810134429086</v>
      </c>
      <c r="AI61" s="170">
        <f t="shared" ref="AI61:AI62" si="45">AH61-AL61</f>
        <v>0</v>
      </c>
      <c r="AJ61" s="170">
        <f t="shared" ref="AJ61:AJ62" si="46">IFERROR(((AG61-AK61)/AK61),0)</f>
        <v>0</v>
      </c>
      <c r="AK61" s="169">
        <v>6888432.3399999999</v>
      </c>
      <c r="AL61" s="170">
        <v>0.99051810134429086</v>
      </c>
    </row>
    <row r="62" spans="1:38" ht="21" customHeight="1" x14ac:dyDescent="0.3">
      <c r="A62" s="257" t="s">
        <v>457</v>
      </c>
      <c r="B62" s="258" t="str">
        <f>VLOOKUP(A62,saīsinājumi_LV_ENG!A:G,5,FALSE)</f>
        <v>Sociālā dialoga veidošana</v>
      </c>
      <c r="C62" s="93" t="s">
        <v>459</v>
      </c>
      <c r="D62" s="10"/>
      <c r="E62" s="95" t="s">
        <v>346</v>
      </c>
      <c r="F62" s="95" t="s">
        <v>354</v>
      </c>
      <c r="G62" s="282" t="str">
        <f>VLOOKUP(A62,'2. Intervences kategorijas - Pa'!B:D,2,FALSE)</f>
        <v>11 - Publisko iestāžu un ieinteresēto personu institucionālo spēju uzlabošana un efektīva valsts pārvalde</v>
      </c>
      <c r="H62" s="169">
        <f>Pasākumu_līmenis!F45</f>
        <v>1275000</v>
      </c>
      <c r="I62" s="169">
        <f>Pasākumu_līmenis!G45</f>
        <v>0</v>
      </c>
      <c r="J62" s="169">
        <f>Pasākumu_līmenis!H45</f>
        <v>1275000</v>
      </c>
      <c r="K62" s="169">
        <f>Pasākumu_līmenis!I45</f>
        <v>79286.167571177401</v>
      </c>
      <c r="L62" s="169">
        <f>Pasākumu_līmenis!J45</f>
        <v>1273647.76</v>
      </c>
      <c r="M62" s="170">
        <f t="shared" si="35"/>
        <v>0.99893941960784316</v>
      </c>
      <c r="N62" s="170">
        <f t="shared" si="36"/>
        <v>0</v>
      </c>
      <c r="O62" s="170">
        <f t="shared" si="37"/>
        <v>0</v>
      </c>
      <c r="P62" s="169">
        <f>Pasākumu_līmenis!N45</f>
        <v>2</v>
      </c>
      <c r="Q62" s="169">
        <v>1273647.76</v>
      </c>
      <c r="R62" s="177">
        <v>0.99893941960784316</v>
      </c>
      <c r="S62" s="169">
        <f>Pasākumu_līmenis!Q45</f>
        <v>1273647.76</v>
      </c>
      <c r="T62" s="170">
        <f t="shared" si="38"/>
        <v>0.99893941960784316</v>
      </c>
      <c r="U62" s="170">
        <f t="shared" si="39"/>
        <v>0</v>
      </c>
      <c r="V62" s="170">
        <f t="shared" si="40"/>
        <v>0</v>
      </c>
      <c r="W62" s="169">
        <f>Pasākumu_līmenis!U45</f>
        <v>2</v>
      </c>
      <c r="X62" s="169">
        <v>1273647.76</v>
      </c>
      <c r="Y62" s="170">
        <v>0.99893941960784316</v>
      </c>
      <c r="Z62" s="169">
        <f>Pasākumu_līmenis!X45</f>
        <v>1273647.76</v>
      </c>
      <c r="AA62" s="170">
        <f t="shared" si="41"/>
        <v>0.99893941960784316</v>
      </c>
      <c r="AB62" s="170">
        <f t="shared" si="42"/>
        <v>0</v>
      </c>
      <c r="AC62" s="170">
        <f t="shared" si="43"/>
        <v>0</v>
      </c>
      <c r="AD62" s="169">
        <f>Pasākumu_līmenis!AB45</f>
        <v>2</v>
      </c>
      <c r="AE62" s="169">
        <v>1273647.76</v>
      </c>
      <c r="AF62" s="177">
        <v>0.99893941960784316</v>
      </c>
      <c r="AG62" s="169">
        <f>Pasākumu_līmenis!AE45</f>
        <v>1273647.76</v>
      </c>
      <c r="AH62" s="170">
        <f t="shared" si="44"/>
        <v>0.99893941960784316</v>
      </c>
      <c r="AI62" s="170">
        <f t="shared" si="45"/>
        <v>0</v>
      </c>
      <c r="AJ62" s="170">
        <f t="shared" si="46"/>
        <v>0</v>
      </c>
      <c r="AK62" s="169">
        <v>1273647.76</v>
      </c>
      <c r="AL62" s="170">
        <v>0.99893941960784316</v>
      </c>
    </row>
    <row r="63" spans="1:38" ht="56.25" x14ac:dyDescent="0.3">
      <c r="A63" s="257" t="s">
        <v>1242</v>
      </c>
      <c r="B63" s="258" t="str">
        <f>VLOOKUP(A63,saīsinājumi_LV_ENG!A:G,5,FALSE)</f>
        <v>Publisko pakalpojumu pārveides metodoloģijas izstrāde un aprobācija</v>
      </c>
      <c r="C63" s="93"/>
      <c r="D63" s="10"/>
      <c r="E63" s="95" t="s">
        <v>346</v>
      </c>
      <c r="F63" s="95" t="s">
        <v>354</v>
      </c>
      <c r="G63" s="282" t="str">
        <f>VLOOKUP(A63,'2. Intervences kategorijas - Pa'!B:D,2,FALSE)</f>
        <v>11 - Publisko iestāžu un ieinteresēto personu institucionālo spēju uzlabošana un efektīva valsts pārvalde</v>
      </c>
      <c r="H63" s="169">
        <f>Pasākumu_līmenis!F46</f>
        <v>340000</v>
      </c>
      <c r="I63" s="169">
        <f>Pasākumu_līmenis!G46</f>
        <v>0</v>
      </c>
      <c r="J63" s="169">
        <f>Pasākumu_līmenis!H46</f>
        <v>340000</v>
      </c>
      <c r="K63" s="169">
        <f>Pasākumu_līmenis!I46</f>
        <v>0</v>
      </c>
      <c r="L63" s="169">
        <f>Pasākumu_līmenis!J46</f>
        <v>338932.05</v>
      </c>
      <c r="M63" s="170">
        <f t="shared" ref="M63" si="47">L63/$H63</f>
        <v>0.99685897058823525</v>
      </c>
      <c r="N63" s="170">
        <f t="shared" ref="N63" si="48">M63-R63</f>
        <v>0</v>
      </c>
      <c r="O63" s="170">
        <f t="shared" ref="O63" si="49">IFERROR(((L63-Q63)/Q63),0)</f>
        <v>0</v>
      </c>
      <c r="P63" s="169">
        <f>Pasākumu_līmenis!N46</f>
        <v>1</v>
      </c>
      <c r="Q63" s="169">
        <v>338932.05</v>
      </c>
      <c r="R63" s="177">
        <v>0.99685897058823525</v>
      </c>
      <c r="S63" s="169">
        <f>Pasākumu_līmenis!Q46</f>
        <v>338932.05</v>
      </c>
      <c r="T63" s="170">
        <f t="shared" ref="T63" si="50">S63/$H63</f>
        <v>0.99685897058823525</v>
      </c>
      <c r="U63" s="170">
        <f t="shared" ref="U63" si="51">T63-Y63</f>
        <v>0</v>
      </c>
      <c r="V63" s="170">
        <f t="shared" ref="V63" si="52">IFERROR(((S63-X63)/X63),0)</f>
        <v>0</v>
      </c>
      <c r="W63" s="169">
        <f>Pasākumu_līmenis!U46</f>
        <v>1</v>
      </c>
      <c r="X63" s="169">
        <v>338932.05</v>
      </c>
      <c r="Y63" s="170">
        <v>0.99685897058823525</v>
      </c>
      <c r="Z63" s="169">
        <f>Pasākumu_līmenis!X46</f>
        <v>338932.05</v>
      </c>
      <c r="AA63" s="170">
        <f t="shared" ref="AA63" si="53">Z63/$H63</f>
        <v>0.99685897058823525</v>
      </c>
      <c r="AB63" s="170">
        <f t="shared" ref="AB63" si="54">AA63-AF63</f>
        <v>0</v>
      </c>
      <c r="AC63" s="170">
        <f t="shared" ref="AC63" si="55">IFERROR(((Z63-AE63)/AE63),0)</f>
        <v>0</v>
      </c>
      <c r="AD63" s="169">
        <f>Pasākumu_līmenis!AB46</f>
        <v>1</v>
      </c>
      <c r="AE63" s="169">
        <v>338932.05</v>
      </c>
      <c r="AF63" s="177">
        <v>0.99685897058823525</v>
      </c>
      <c r="AG63" s="169">
        <f>Pasākumu_līmenis!AE46</f>
        <v>338932.05</v>
      </c>
      <c r="AH63" s="170">
        <f t="shared" ref="AH63" si="56">AG63/$H63</f>
        <v>0.99685897058823525</v>
      </c>
      <c r="AI63" s="170">
        <f t="shared" ref="AI63" si="57">AH63-AL63</f>
        <v>0</v>
      </c>
      <c r="AJ63" s="170">
        <f t="shared" ref="AJ63" si="58">IFERROR(((AG63-AK63)/AK63),0)</f>
        <v>0</v>
      </c>
      <c r="AK63" s="169">
        <v>338932.05</v>
      </c>
      <c r="AL63" s="170">
        <v>0.99685897058823525</v>
      </c>
    </row>
    <row r="64" spans="1:38" ht="28.5" customHeight="1" x14ac:dyDescent="0.3">
      <c r="A64" s="247" t="s">
        <v>29</v>
      </c>
      <c r="B64" s="248" t="str">
        <f>VLOOKUP(A64,saīsinājumi_LV_ENG!A:G,5,FALSE)</f>
        <v>Videi draudzīga ekonomika</v>
      </c>
      <c r="C64" s="8" t="s">
        <v>30</v>
      </c>
      <c r="D64" s="225"/>
      <c r="E64" s="66"/>
      <c r="F64" s="66"/>
      <c r="G64" s="280"/>
      <c r="H64" s="226">
        <f>H65+H67+H72+H74+H76</f>
        <v>645831597</v>
      </c>
      <c r="I64" s="226">
        <f>I65+I67+I72+I74+I76</f>
        <v>61392669</v>
      </c>
      <c r="J64" s="226">
        <f>J65+J67+J72+J74+J76</f>
        <v>707224266</v>
      </c>
      <c r="K64" s="226">
        <f>K65+K67+K72+K74+K76</f>
        <v>15543636.724113045</v>
      </c>
      <c r="L64" s="226">
        <f>L65+L67+L72+L74+L76</f>
        <v>638120163.53999996</v>
      </c>
      <c r="M64" s="227">
        <f t="shared" si="14"/>
        <v>0.9880596838311706</v>
      </c>
      <c r="N64" s="227">
        <f t="shared" si="15"/>
        <v>0</v>
      </c>
      <c r="O64" s="227">
        <f t="shared" si="22"/>
        <v>0</v>
      </c>
      <c r="P64" s="226">
        <f>P65+P67+P72+P74+P76</f>
        <v>504</v>
      </c>
      <c r="Q64" s="175">
        <v>638120163.53999996</v>
      </c>
      <c r="R64" s="176">
        <v>0.9880596838311706</v>
      </c>
      <c r="S64" s="226">
        <f>S65+S67+S72+S74+S76</f>
        <v>638120163.53999996</v>
      </c>
      <c r="T64" s="227">
        <f t="shared" si="16"/>
        <v>0.9880596838311706</v>
      </c>
      <c r="U64" s="227">
        <f t="shared" si="17"/>
        <v>0</v>
      </c>
      <c r="V64" s="227">
        <f t="shared" si="23"/>
        <v>0</v>
      </c>
      <c r="W64" s="226">
        <f>W65+W67+W72+W74+W76</f>
        <v>504</v>
      </c>
      <c r="X64" s="226">
        <v>638120163.53999996</v>
      </c>
      <c r="Y64" s="227">
        <v>0.9880596838311706</v>
      </c>
      <c r="Z64" s="226">
        <f>Z65+Z67+Z72+Z74+Z76</f>
        <v>638120163.53999996</v>
      </c>
      <c r="AA64" s="227">
        <f t="shared" si="18"/>
        <v>0.9880596838311706</v>
      </c>
      <c r="AB64" s="227">
        <f t="shared" si="19"/>
        <v>0</v>
      </c>
      <c r="AC64" s="227">
        <f t="shared" si="1"/>
        <v>0</v>
      </c>
      <c r="AD64" s="226">
        <f>AD65+AD67+AD72+AD74+AD76</f>
        <v>504</v>
      </c>
      <c r="AE64" s="175">
        <v>638120163.53999996</v>
      </c>
      <c r="AF64" s="176">
        <v>0.9880596838311706</v>
      </c>
      <c r="AG64" s="226">
        <f>AG65+AG67+AG72+AG74+AG76</f>
        <v>638731991.71000004</v>
      </c>
      <c r="AH64" s="227">
        <f t="shared" si="20"/>
        <v>0.98900703322200578</v>
      </c>
      <c r="AI64" s="227">
        <f t="shared" si="21"/>
        <v>-1.625810822625251E-5</v>
      </c>
      <c r="AJ64" s="227">
        <f t="shared" si="3"/>
        <v>-1.6438549393966387E-5</v>
      </c>
      <c r="AK64" s="226">
        <v>638742491.71000004</v>
      </c>
      <c r="AL64" s="227">
        <v>0.98902329133023204</v>
      </c>
    </row>
    <row r="65" spans="1:38" ht="59.25" customHeight="1" x14ac:dyDescent="0.3">
      <c r="A65" s="249" t="s">
        <v>31</v>
      </c>
      <c r="B65" s="250" t="str">
        <f>VLOOKUP(A65,saīsinājumi_LV_ENG!A:G,5,FALSE)</f>
        <v>Energoefektivitāte un atjaunojamie energoresursi uzņēmumos</v>
      </c>
      <c r="C65" s="215" t="s">
        <v>43</v>
      </c>
      <c r="D65" s="215" t="str">
        <f>IFERROR(IF((VLOOKUP(A65,Pasākumu_līmenis!A:H,3,0))=0,"",VLOOKUP(A65,Pasākumu_līmenis!A:H,3,0)),"")</f>
        <v/>
      </c>
      <c r="E65" s="217"/>
      <c r="F65" s="217"/>
      <c r="G65" s="276"/>
      <c r="H65" s="218">
        <f>H66</f>
        <v>20301399</v>
      </c>
      <c r="I65" s="218">
        <f>I66</f>
        <v>0</v>
      </c>
      <c r="J65" s="218">
        <f>J66</f>
        <v>20301399</v>
      </c>
      <c r="K65" s="218">
        <f>K66</f>
        <v>0</v>
      </c>
      <c r="L65" s="218">
        <f>L66</f>
        <v>18616425.510000002</v>
      </c>
      <c r="M65" s="219">
        <f t="shared" si="14"/>
        <v>0.9170020997075129</v>
      </c>
      <c r="N65" s="219">
        <f t="shared" si="15"/>
        <v>0</v>
      </c>
      <c r="O65" s="219">
        <f t="shared" si="22"/>
        <v>0</v>
      </c>
      <c r="P65" s="218">
        <f>P66</f>
        <v>69</v>
      </c>
      <c r="Q65" s="218">
        <v>18616425.510000002</v>
      </c>
      <c r="R65" s="219">
        <v>0.9170020997075129</v>
      </c>
      <c r="S65" s="218">
        <f>S66</f>
        <v>18616425.510000002</v>
      </c>
      <c r="T65" s="219">
        <f t="shared" si="16"/>
        <v>0.9170020997075129</v>
      </c>
      <c r="U65" s="219">
        <f t="shared" si="17"/>
        <v>0</v>
      </c>
      <c r="V65" s="219">
        <f t="shared" si="23"/>
        <v>0</v>
      </c>
      <c r="W65" s="218">
        <f>W66</f>
        <v>69</v>
      </c>
      <c r="X65" s="218">
        <v>18616425.510000002</v>
      </c>
      <c r="Y65" s="219">
        <v>0.9170020997075129</v>
      </c>
      <c r="Z65" s="218">
        <f>Z66</f>
        <v>18616425.510000002</v>
      </c>
      <c r="AA65" s="219">
        <f t="shared" si="18"/>
        <v>0.9170020997075129</v>
      </c>
      <c r="AB65" s="219">
        <f t="shared" si="19"/>
        <v>0</v>
      </c>
      <c r="AC65" s="219">
        <f t="shared" si="1"/>
        <v>0</v>
      </c>
      <c r="AD65" s="218">
        <f>AD66</f>
        <v>69</v>
      </c>
      <c r="AE65" s="218">
        <v>18616425.510000002</v>
      </c>
      <c r="AF65" s="219">
        <v>0.9170020997075129</v>
      </c>
      <c r="AG65" s="218">
        <f>AG66</f>
        <v>18616425.510000002</v>
      </c>
      <c r="AH65" s="219">
        <f t="shared" si="20"/>
        <v>0.9170020997075129</v>
      </c>
      <c r="AI65" s="219">
        <f t="shared" si="21"/>
        <v>0</v>
      </c>
      <c r="AJ65" s="219">
        <f t="shared" si="3"/>
        <v>0</v>
      </c>
      <c r="AK65" s="218">
        <v>18616425.510000002</v>
      </c>
      <c r="AL65" s="219">
        <v>0.9170020997075129</v>
      </c>
    </row>
    <row r="66" spans="1:38" ht="39.75" customHeight="1" x14ac:dyDescent="0.3">
      <c r="A66" s="255" t="s">
        <v>264</v>
      </c>
      <c r="B66" s="254" t="str">
        <f>VLOOKUP(A66,saīsinājumi_LV_ENG!A:G,5,FALSE)</f>
        <v>Apstrādes rūpniecības uzņēmumu energoefektivitāte</v>
      </c>
      <c r="C66" s="10" t="s">
        <v>44</v>
      </c>
      <c r="D66" s="42"/>
      <c r="E66" s="38" t="str">
        <f>Pasākumu_līmenis!D48</f>
        <v>KF</v>
      </c>
      <c r="F66" s="38" t="str">
        <f>Pasākumu_līmenis!E48</f>
        <v>EM</v>
      </c>
      <c r="G66" s="278" t="str">
        <f>VLOOKUP(A66,'2. Intervences kategorijas - Pa'!B:D,2,FALSE)</f>
        <v>04 - Atbalstīt pāreju uz zemu oglekļa emisiju ekonomiku visās nozarēs</v>
      </c>
      <c r="H66" s="169">
        <f>Pasākumu_līmenis!F48</f>
        <v>20301399</v>
      </c>
      <c r="I66" s="169">
        <f>Pasākumu_līmenis!G48</f>
        <v>0</v>
      </c>
      <c r="J66" s="169">
        <f>Pasākumu_līmenis!H48</f>
        <v>20301399</v>
      </c>
      <c r="K66" s="169">
        <f>Pasākumu_līmenis!I48</f>
        <v>0</v>
      </c>
      <c r="L66" s="169">
        <f>Pasākumu_līmenis!J48</f>
        <v>18616425.510000002</v>
      </c>
      <c r="M66" s="170">
        <f t="shared" si="14"/>
        <v>0.9170020997075129</v>
      </c>
      <c r="N66" s="170">
        <f t="shared" si="15"/>
        <v>0</v>
      </c>
      <c r="O66" s="170">
        <f t="shared" si="22"/>
        <v>0</v>
      </c>
      <c r="P66" s="169">
        <f>Pasākumu_līmenis!N48</f>
        <v>69</v>
      </c>
      <c r="Q66" s="169">
        <v>18616425.510000002</v>
      </c>
      <c r="R66" s="170">
        <v>0.9170020997075129</v>
      </c>
      <c r="S66" s="169">
        <f>Pasākumu_līmenis!Q48</f>
        <v>18616425.510000002</v>
      </c>
      <c r="T66" s="170">
        <f t="shared" si="16"/>
        <v>0.9170020997075129</v>
      </c>
      <c r="U66" s="170">
        <f t="shared" si="17"/>
        <v>0</v>
      </c>
      <c r="V66" s="170">
        <f t="shared" si="23"/>
        <v>0</v>
      </c>
      <c r="W66" s="169">
        <f>Pasākumu_līmenis!U48</f>
        <v>69</v>
      </c>
      <c r="X66" s="169">
        <v>18616425.510000002</v>
      </c>
      <c r="Y66" s="170">
        <v>0.9170020997075129</v>
      </c>
      <c r="Z66" s="169">
        <f>Pasākumu_līmenis!X48</f>
        <v>18616425.510000002</v>
      </c>
      <c r="AA66" s="170">
        <f t="shared" si="18"/>
        <v>0.9170020997075129</v>
      </c>
      <c r="AB66" s="170">
        <f t="shared" si="19"/>
        <v>0</v>
      </c>
      <c r="AC66" s="170">
        <f t="shared" si="1"/>
        <v>0</v>
      </c>
      <c r="AD66" s="169">
        <f>Pasākumu_līmenis!AB48</f>
        <v>69</v>
      </c>
      <c r="AE66" s="169">
        <v>18616425.510000002</v>
      </c>
      <c r="AF66" s="170">
        <v>0.9170020997075129</v>
      </c>
      <c r="AG66" s="169">
        <f>Pasākumu_līmenis!AE48</f>
        <v>18616425.510000002</v>
      </c>
      <c r="AH66" s="170">
        <f t="shared" si="20"/>
        <v>0.9170020997075129</v>
      </c>
      <c r="AI66" s="170">
        <f t="shared" si="21"/>
        <v>0</v>
      </c>
      <c r="AJ66" s="170">
        <f t="shared" si="3"/>
        <v>0</v>
      </c>
      <c r="AK66" s="169">
        <v>18616425.510000002</v>
      </c>
      <c r="AL66" s="170">
        <v>0.9170020997075129</v>
      </c>
    </row>
    <row r="67" spans="1:38" ht="39.75" customHeight="1" x14ac:dyDescent="0.3">
      <c r="A67" s="249" t="s">
        <v>32</v>
      </c>
      <c r="B67" s="250" t="str">
        <f>VLOOKUP(A67,saīsinājumi_LV_ENG!A:G,5,FALSE)</f>
        <v xml:space="preserve">Dzīvojamo un valsts ēku energoefektivitāte </v>
      </c>
      <c r="C67" s="229" t="s">
        <v>42</v>
      </c>
      <c r="D67" s="215" t="str">
        <f>IFERROR(IF((VLOOKUP(A67,Pasākumu_līmenis!A:H,3,0))=0,"",VLOOKUP(A67,Pasākumu_līmenis!A:H,3,0)),"")</f>
        <v/>
      </c>
      <c r="E67" s="217"/>
      <c r="F67" s="217" t="str">
        <f>Pasākumu_līmenis!E49</f>
        <v>EM</v>
      </c>
      <c r="G67" s="276"/>
      <c r="H67" s="218">
        <f>H68+H71</f>
        <v>283962784</v>
      </c>
      <c r="I67" s="218">
        <f>I68+I71</f>
        <v>4842669</v>
      </c>
      <c r="J67" s="218">
        <f>J68+J71</f>
        <v>288805453</v>
      </c>
      <c r="K67" s="218">
        <f>K68+K71</f>
        <v>5106879.8170615546</v>
      </c>
      <c r="L67" s="218">
        <f>L68+L71</f>
        <v>277513065.16000003</v>
      </c>
      <c r="M67" s="219">
        <f t="shared" si="14"/>
        <v>0.97728674599837717</v>
      </c>
      <c r="N67" s="219">
        <f t="shared" si="15"/>
        <v>0</v>
      </c>
      <c r="O67" s="219">
        <f t="shared" si="22"/>
        <v>0</v>
      </c>
      <c r="P67" s="218">
        <f>P68+P71</f>
        <v>287</v>
      </c>
      <c r="Q67" s="218">
        <v>277513065.16000003</v>
      </c>
      <c r="R67" s="219">
        <v>0.97728674599837717</v>
      </c>
      <c r="S67" s="218">
        <f>S68+S71</f>
        <v>277513065.16000003</v>
      </c>
      <c r="T67" s="219">
        <f t="shared" si="16"/>
        <v>0.97728674599837717</v>
      </c>
      <c r="U67" s="219">
        <f t="shared" si="17"/>
        <v>0</v>
      </c>
      <c r="V67" s="219">
        <f t="shared" si="23"/>
        <v>0</v>
      </c>
      <c r="W67" s="218">
        <f>W68+W71</f>
        <v>287</v>
      </c>
      <c r="X67" s="218">
        <v>277513065.16000003</v>
      </c>
      <c r="Y67" s="219">
        <v>0.97728674599837717</v>
      </c>
      <c r="Z67" s="218">
        <f>Z68+Z71</f>
        <v>277513065.16000003</v>
      </c>
      <c r="AA67" s="219">
        <f t="shared" si="18"/>
        <v>0.97728674599837717</v>
      </c>
      <c r="AB67" s="219">
        <f t="shared" si="19"/>
        <v>0</v>
      </c>
      <c r="AC67" s="219">
        <f t="shared" si="1"/>
        <v>0</v>
      </c>
      <c r="AD67" s="218">
        <f>AD68+AD71</f>
        <v>287</v>
      </c>
      <c r="AE67" s="218">
        <v>277513065.16000003</v>
      </c>
      <c r="AF67" s="219">
        <v>0.97728674599837717</v>
      </c>
      <c r="AG67" s="218">
        <f>AG68+AG71</f>
        <v>276551274.58999997</v>
      </c>
      <c r="AH67" s="219">
        <f t="shared" si="20"/>
        <v>0.9738997156402015</v>
      </c>
      <c r="AI67" s="219">
        <f t="shared" si="21"/>
        <v>0</v>
      </c>
      <c r="AJ67" s="219">
        <f t="shared" si="3"/>
        <v>0</v>
      </c>
      <c r="AK67" s="218">
        <v>276551274.58999997</v>
      </c>
      <c r="AL67" s="219">
        <v>0.9738997156402015</v>
      </c>
    </row>
    <row r="68" spans="1:38" ht="39.75" customHeight="1" x14ac:dyDescent="0.3">
      <c r="A68" s="251" t="s">
        <v>435</v>
      </c>
      <c r="B68" s="252" t="str">
        <f>VLOOKUP(A68,saīsinājumi_LV_ENG!A:G,5,FALSE)</f>
        <v xml:space="preserve">Dzīvojamo un valsts ēku energoefektivitāte </v>
      </c>
      <c r="C68" s="220" t="s">
        <v>34</v>
      </c>
      <c r="D68" s="220" t="str">
        <f>IFERROR(IF((VLOOKUP(A68,Pasākumu_līmenis!A:H,3,0))=0,"",VLOOKUP(A68,Pasākumu_līmenis!A:H,3,0)),"")</f>
        <v/>
      </c>
      <c r="E68" s="222"/>
      <c r="F68" s="222"/>
      <c r="G68" s="277"/>
      <c r="H68" s="223">
        <f>SUM(H69:H70)</f>
        <v>234851289</v>
      </c>
      <c r="I68" s="223">
        <f>SUM(I69:I70)</f>
        <v>0</v>
      </c>
      <c r="J68" s="223">
        <f>SUM(J69:J70)</f>
        <v>234851289</v>
      </c>
      <c r="K68" s="223">
        <f>SUM(K69:K70)</f>
        <v>3192016</v>
      </c>
      <c r="L68" s="223">
        <f>SUM(L69:L70)</f>
        <v>227117235.28000003</v>
      </c>
      <c r="M68" s="224">
        <f t="shared" si="14"/>
        <v>0.96706829350210644</v>
      </c>
      <c r="N68" s="224">
        <f t="shared" si="15"/>
        <v>0</v>
      </c>
      <c r="O68" s="224">
        <f t="shared" si="22"/>
        <v>0</v>
      </c>
      <c r="P68" s="223">
        <f>SUM(P69:P70)</f>
        <v>130</v>
      </c>
      <c r="Q68" s="223">
        <v>227117235.28000003</v>
      </c>
      <c r="R68" s="224">
        <v>0.96706829350210644</v>
      </c>
      <c r="S68" s="223">
        <f>SUM(S69:S70)</f>
        <v>227117235.28000003</v>
      </c>
      <c r="T68" s="224">
        <f t="shared" si="16"/>
        <v>0.96706829350210644</v>
      </c>
      <c r="U68" s="224">
        <f t="shared" si="17"/>
        <v>0</v>
      </c>
      <c r="V68" s="224">
        <f t="shared" si="23"/>
        <v>0</v>
      </c>
      <c r="W68" s="223">
        <f>SUM(W69:W70)</f>
        <v>130</v>
      </c>
      <c r="X68" s="223">
        <v>227117235.28000003</v>
      </c>
      <c r="Y68" s="224">
        <v>0.96706829350210644</v>
      </c>
      <c r="Z68" s="223">
        <f>SUM(Z69:Z70)</f>
        <v>227117235.28000003</v>
      </c>
      <c r="AA68" s="224">
        <f t="shared" si="18"/>
        <v>0.96706829350210644</v>
      </c>
      <c r="AB68" s="224">
        <f t="shared" si="19"/>
        <v>0</v>
      </c>
      <c r="AC68" s="224">
        <f t="shared" si="1"/>
        <v>0</v>
      </c>
      <c r="AD68" s="223">
        <f>SUM(AD69:AD70)</f>
        <v>130</v>
      </c>
      <c r="AE68" s="223">
        <v>227117235.28000003</v>
      </c>
      <c r="AF68" s="224">
        <v>0.96706829350210644</v>
      </c>
      <c r="AG68" s="223">
        <f>SUM(AG69:AG70)</f>
        <v>226244637.34999999</v>
      </c>
      <c r="AH68" s="224">
        <f t="shared" si="20"/>
        <v>0.96335275958395949</v>
      </c>
      <c r="AI68" s="224">
        <f t="shared" si="21"/>
        <v>0</v>
      </c>
      <c r="AJ68" s="224">
        <f t="shared" si="3"/>
        <v>0</v>
      </c>
      <c r="AK68" s="223">
        <v>226244637.34999999</v>
      </c>
      <c r="AL68" s="224">
        <v>0.96335275958395949</v>
      </c>
    </row>
    <row r="69" spans="1:38" ht="39.75" customHeight="1" x14ac:dyDescent="0.3">
      <c r="A69" s="253" t="s">
        <v>265</v>
      </c>
      <c r="B69" s="254" t="str">
        <f>VLOOKUP(A69,saīsinājumi_LV_ENG!A:G,5,FALSE)</f>
        <v xml:space="preserve">Daudzdzīvokļu māju energoefektivitāte </v>
      </c>
      <c r="C69" s="10" t="s">
        <v>183</v>
      </c>
      <c r="D69" s="10"/>
      <c r="E69" s="38" t="str">
        <f>Pasākumu_līmenis!D49</f>
        <v>ERAF</v>
      </c>
      <c r="F69" s="38" t="str">
        <f>Pasākumu_līmenis!E49</f>
        <v>EM</v>
      </c>
      <c r="G69" s="278" t="str">
        <f>VLOOKUP(A69,'2. Intervences kategorijas - Pa'!B:D,2,FALSE)</f>
        <v>04 - Atbalstīt pāreju uz zemu oglekļa emisiju ekonomiku visās nozarēs</v>
      </c>
      <c r="H69" s="169">
        <f>Pasākumu_līmenis!F49</f>
        <v>141493317</v>
      </c>
      <c r="I69" s="169">
        <f>Pasākumu_līmenis!G49</f>
        <v>0</v>
      </c>
      <c r="J69" s="169">
        <f>Pasākumu_līmenis!H49</f>
        <v>141493317</v>
      </c>
      <c r="K69" s="169">
        <f>Pasākumu_līmenis!I49</f>
        <v>0</v>
      </c>
      <c r="L69" s="169">
        <f>Pasākumu_līmenis!J49</f>
        <v>141432424.83000001</v>
      </c>
      <c r="M69" s="170">
        <f t="shared" si="14"/>
        <v>0.99956964631764211</v>
      </c>
      <c r="N69" s="170">
        <f t="shared" si="15"/>
        <v>0</v>
      </c>
      <c r="O69" s="170">
        <f t="shared" si="22"/>
        <v>0</v>
      </c>
      <c r="P69" s="169">
        <f>Pasākumu_līmenis!N49</f>
        <v>2</v>
      </c>
      <c r="Q69" s="169">
        <v>141432424.83000001</v>
      </c>
      <c r="R69" s="170">
        <v>0.99956964631764211</v>
      </c>
      <c r="S69" s="169">
        <f>Pasākumu_līmenis!Q49</f>
        <v>141432424.83000001</v>
      </c>
      <c r="T69" s="170">
        <f>S69/$H69</f>
        <v>0.99956964631764211</v>
      </c>
      <c r="U69" s="170">
        <f t="shared" si="17"/>
        <v>0</v>
      </c>
      <c r="V69" s="170">
        <f t="shared" si="23"/>
        <v>0</v>
      </c>
      <c r="W69" s="169">
        <f>Pasākumu_līmenis!U49</f>
        <v>2</v>
      </c>
      <c r="X69" s="169">
        <v>141432424.83000001</v>
      </c>
      <c r="Y69" s="170">
        <v>0.99956964631764211</v>
      </c>
      <c r="Z69" s="169">
        <f>Pasākumu_līmenis!X49</f>
        <v>141432424.83000001</v>
      </c>
      <c r="AA69" s="170">
        <f t="shared" si="18"/>
        <v>0.99956964631764211</v>
      </c>
      <c r="AB69" s="170">
        <f t="shared" si="19"/>
        <v>0</v>
      </c>
      <c r="AC69" s="170">
        <f t="shared" si="1"/>
        <v>0</v>
      </c>
      <c r="AD69" s="169">
        <f>Pasākumu_līmenis!AB49</f>
        <v>2</v>
      </c>
      <c r="AE69" s="169">
        <v>141432424.83000001</v>
      </c>
      <c r="AF69" s="170">
        <v>0.99956964631764211</v>
      </c>
      <c r="AG69" s="169">
        <f>Pasākumu_līmenis!AE49</f>
        <v>141245562.44</v>
      </c>
      <c r="AH69" s="170">
        <f t="shared" si="20"/>
        <v>0.99824900168253172</v>
      </c>
      <c r="AI69" s="170">
        <f t="shared" si="21"/>
        <v>0</v>
      </c>
      <c r="AJ69" s="170">
        <f t="shared" si="3"/>
        <v>0</v>
      </c>
      <c r="AK69" s="169">
        <v>141245562.44</v>
      </c>
      <c r="AL69" s="170">
        <v>0.99824900168253172</v>
      </c>
    </row>
    <row r="70" spans="1:38" ht="21" customHeight="1" x14ac:dyDescent="0.3">
      <c r="A70" s="253" t="s">
        <v>266</v>
      </c>
      <c r="B70" s="254" t="str">
        <f>VLOOKUP(A70,saīsinājumi_LV_ENG!A:G,5,FALSE)</f>
        <v>Valsts ēku energoefektivitāte</v>
      </c>
      <c r="C70" s="10" t="s">
        <v>184</v>
      </c>
      <c r="D70" s="10"/>
      <c r="E70" s="38" t="str">
        <f>Pasākumu_līmenis!D50</f>
        <v>ERAF</v>
      </c>
      <c r="F70" s="38" t="str">
        <f>Pasākumu_līmenis!E50</f>
        <v>EM</v>
      </c>
      <c r="G70" s="278" t="str">
        <f>VLOOKUP(A70,'2. Intervences kategorijas - Pa'!B:D,2,FALSE)</f>
        <v>04 - Atbalstīt pāreju uz zemu oglekļa emisiju ekonomiku visās nozarēs</v>
      </c>
      <c r="H70" s="169">
        <f>Pasākumu_līmenis!F50</f>
        <v>93357972</v>
      </c>
      <c r="I70" s="169">
        <f>Pasākumu_līmenis!G50</f>
        <v>0</v>
      </c>
      <c r="J70" s="169">
        <f>Pasākumu_līmenis!H50</f>
        <v>93357972</v>
      </c>
      <c r="K70" s="169">
        <f>Pasākumu_līmenis!I50</f>
        <v>3192016</v>
      </c>
      <c r="L70" s="169">
        <f>Pasākumu_līmenis!J50</f>
        <v>85684810.450000003</v>
      </c>
      <c r="M70" s="170">
        <f t="shared" si="14"/>
        <v>0.91780925200474583</v>
      </c>
      <c r="N70" s="170">
        <f t="shared" si="15"/>
        <v>0</v>
      </c>
      <c r="O70" s="170">
        <f t="shared" si="22"/>
        <v>0</v>
      </c>
      <c r="P70" s="169">
        <f>Pasākumu_līmenis!N50</f>
        <v>128</v>
      </c>
      <c r="Q70" s="169">
        <v>85684810.450000003</v>
      </c>
      <c r="R70" s="170">
        <v>0.91780925200474583</v>
      </c>
      <c r="S70" s="169">
        <f>Pasākumu_līmenis!Q50</f>
        <v>85684810.450000003</v>
      </c>
      <c r="T70" s="170">
        <f t="shared" si="16"/>
        <v>0.91780925200474583</v>
      </c>
      <c r="U70" s="170">
        <f t="shared" si="17"/>
        <v>0</v>
      </c>
      <c r="V70" s="170">
        <f t="shared" si="23"/>
        <v>0</v>
      </c>
      <c r="W70" s="169">
        <f>Pasākumu_līmenis!U50</f>
        <v>128</v>
      </c>
      <c r="X70" s="169">
        <v>85684810.450000003</v>
      </c>
      <c r="Y70" s="170">
        <v>0.91780925200474583</v>
      </c>
      <c r="Z70" s="169">
        <f>Pasākumu_līmenis!X50</f>
        <v>85684810.450000003</v>
      </c>
      <c r="AA70" s="170">
        <f t="shared" si="18"/>
        <v>0.91780925200474583</v>
      </c>
      <c r="AB70" s="170">
        <f t="shared" si="19"/>
        <v>0</v>
      </c>
      <c r="AC70" s="170">
        <f t="shared" si="1"/>
        <v>0</v>
      </c>
      <c r="AD70" s="169">
        <f>Pasākumu_līmenis!AB50</f>
        <v>128</v>
      </c>
      <c r="AE70" s="169">
        <v>85684810.450000003</v>
      </c>
      <c r="AF70" s="170">
        <v>0.91780925200474583</v>
      </c>
      <c r="AG70" s="169">
        <f>Pasākumu_līmenis!AE50</f>
        <v>84999074.909999996</v>
      </c>
      <c r="AH70" s="170">
        <f t="shared" si="20"/>
        <v>0.91046402453986464</v>
      </c>
      <c r="AI70" s="170">
        <f t="shared" si="21"/>
        <v>0</v>
      </c>
      <c r="AJ70" s="170">
        <f t="shared" si="3"/>
        <v>0</v>
      </c>
      <c r="AK70" s="169">
        <v>84999074.909999996</v>
      </c>
      <c r="AL70" s="170">
        <v>0.91046402453986464</v>
      </c>
    </row>
    <row r="71" spans="1:38" ht="39.75" customHeight="1" x14ac:dyDescent="0.3">
      <c r="A71" s="255" t="s">
        <v>267</v>
      </c>
      <c r="B71" s="254" t="str">
        <f>VLOOKUP(A71,saīsinājumi_LV_ENG!A:G,5,FALSE)</f>
        <v>Pašvaldību ēku energoefektivitāte</v>
      </c>
      <c r="C71" s="10" t="s">
        <v>46</v>
      </c>
      <c r="D71" s="10"/>
      <c r="E71" s="38" t="str">
        <f>Pasākumu_līmenis!D51</f>
        <v>ERAF</v>
      </c>
      <c r="F71" s="38" t="str">
        <f>Pasākumu_līmenis!E51</f>
        <v>VARAM</v>
      </c>
      <c r="G71" s="278" t="str">
        <f>VLOOKUP(A71,'2. Intervences kategorijas - Pa'!B:D,2,FALSE)</f>
        <v>04 - Atbalstīt pāreju uz zemu oglekļa emisiju ekonomiku visās nozarēs</v>
      </c>
      <c r="H71" s="169">
        <f>Pasākumu_līmenis!F51</f>
        <v>49111495</v>
      </c>
      <c r="I71" s="169">
        <f>Pasākumu_līmenis!G51</f>
        <v>4842669</v>
      </c>
      <c r="J71" s="169">
        <f>Pasākumu_līmenis!H51</f>
        <v>53954164</v>
      </c>
      <c r="K71" s="169">
        <f>Pasākumu_līmenis!I51</f>
        <v>1914863.8170615549</v>
      </c>
      <c r="L71" s="169">
        <f>Pasākumu_līmenis!J51</f>
        <v>50395829.879999995</v>
      </c>
      <c r="M71" s="170">
        <f t="shared" si="14"/>
        <v>1.0261514107847867</v>
      </c>
      <c r="N71" s="170">
        <f t="shared" si="15"/>
        <v>0</v>
      </c>
      <c r="O71" s="170">
        <f t="shared" si="22"/>
        <v>0</v>
      </c>
      <c r="P71" s="169">
        <f>Pasākumu_līmenis!N51</f>
        <v>157</v>
      </c>
      <c r="Q71" s="169">
        <v>50395829.879999995</v>
      </c>
      <c r="R71" s="170">
        <v>1.0261514107847867</v>
      </c>
      <c r="S71" s="169">
        <f>Pasākumu_līmenis!Q51</f>
        <v>50395829.879999995</v>
      </c>
      <c r="T71" s="170">
        <f t="shared" si="16"/>
        <v>1.0261514107847867</v>
      </c>
      <c r="U71" s="170">
        <f t="shared" si="17"/>
        <v>0</v>
      </c>
      <c r="V71" s="170">
        <f t="shared" si="23"/>
        <v>0</v>
      </c>
      <c r="W71" s="169">
        <f>Pasākumu_līmenis!U51</f>
        <v>157</v>
      </c>
      <c r="X71" s="169">
        <v>50395829.879999995</v>
      </c>
      <c r="Y71" s="170">
        <v>1.0261514107847867</v>
      </c>
      <c r="Z71" s="169">
        <f>Pasākumu_līmenis!X51</f>
        <v>50395829.879999995</v>
      </c>
      <c r="AA71" s="170">
        <f t="shared" si="18"/>
        <v>1.0261514107847867</v>
      </c>
      <c r="AB71" s="170">
        <f t="shared" si="19"/>
        <v>0</v>
      </c>
      <c r="AC71" s="170">
        <f t="shared" si="1"/>
        <v>0</v>
      </c>
      <c r="AD71" s="169">
        <f>Pasākumu_līmenis!AB51</f>
        <v>157</v>
      </c>
      <c r="AE71" s="169">
        <v>50395829.879999995</v>
      </c>
      <c r="AF71" s="170">
        <v>1.0261514107847867</v>
      </c>
      <c r="AG71" s="169">
        <f>Pasākumu_līmenis!AE51</f>
        <v>50306637.239999995</v>
      </c>
      <c r="AH71" s="170">
        <f t="shared" si="20"/>
        <v>1.0243352852524648</v>
      </c>
      <c r="AI71" s="170">
        <f t="shared" si="21"/>
        <v>0</v>
      </c>
      <c r="AJ71" s="170">
        <f t="shared" si="3"/>
        <v>0</v>
      </c>
      <c r="AK71" s="169">
        <v>50306637.239999995</v>
      </c>
      <c r="AL71" s="170">
        <v>1.0243352852524648</v>
      </c>
    </row>
    <row r="72" spans="1:38" ht="39.75" customHeight="1" x14ac:dyDescent="0.3">
      <c r="A72" s="249" t="s">
        <v>45</v>
      </c>
      <c r="B72" s="250" t="str">
        <f>VLOOKUP(A72,saīsinājumi_LV_ENG!A:G,5,FALSE)</f>
        <v>Atjaunojamo energoresursu izmantošana</v>
      </c>
      <c r="C72" s="215" t="s">
        <v>48</v>
      </c>
      <c r="D72" s="215" t="str">
        <f>IFERROR(IF((VLOOKUP(A72,Pasākumu_līmenis!A:H,3,0))=0,"",VLOOKUP(A72,Pasākumu_līmenis!A:H,3,0)),"")</f>
        <v/>
      </c>
      <c r="E72" s="217"/>
      <c r="F72" s="217"/>
      <c r="G72" s="276"/>
      <c r="H72" s="218">
        <f>H73</f>
        <v>55030511</v>
      </c>
      <c r="I72" s="218">
        <f>I73</f>
        <v>56550000</v>
      </c>
      <c r="J72" s="218">
        <f>J73</f>
        <v>111580511</v>
      </c>
      <c r="K72" s="218">
        <f>K73</f>
        <v>3290568</v>
      </c>
      <c r="L72" s="218">
        <f>L73</f>
        <v>70161229.680000007</v>
      </c>
      <c r="M72" s="219">
        <f t="shared" si="14"/>
        <v>1.274951447934038</v>
      </c>
      <c r="N72" s="219">
        <f t="shared" si="15"/>
        <v>0</v>
      </c>
      <c r="O72" s="219">
        <f t="shared" si="22"/>
        <v>0</v>
      </c>
      <c r="P72" s="218">
        <f>P73</f>
        <v>125</v>
      </c>
      <c r="Q72" s="218">
        <v>70161229.680000007</v>
      </c>
      <c r="R72" s="219">
        <v>1.274951447934038</v>
      </c>
      <c r="S72" s="218">
        <f>S73</f>
        <v>70161229.680000007</v>
      </c>
      <c r="T72" s="219">
        <f t="shared" si="16"/>
        <v>1.274951447934038</v>
      </c>
      <c r="U72" s="219">
        <f t="shared" si="17"/>
        <v>0</v>
      </c>
      <c r="V72" s="219">
        <f t="shared" si="23"/>
        <v>0</v>
      </c>
      <c r="W72" s="218">
        <f>W73</f>
        <v>125</v>
      </c>
      <c r="X72" s="218">
        <v>70161229.680000007</v>
      </c>
      <c r="Y72" s="219">
        <v>1.274951447934038</v>
      </c>
      <c r="Z72" s="218">
        <f>Z73</f>
        <v>70161229.680000007</v>
      </c>
      <c r="AA72" s="219">
        <f t="shared" si="18"/>
        <v>1.274951447934038</v>
      </c>
      <c r="AB72" s="219">
        <f t="shared" si="19"/>
        <v>0</v>
      </c>
      <c r="AC72" s="219">
        <f t="shared" si="1"/>
        <v>0</v>
      </c>
      <c r="AD72" s="218">
        <f>AD73</f>
        <v>125</v>
      </c>
      <c r="AE72" s="218">
        <v>70161229.680000007</v>
      </c>
      <c r="AF72" s="219">
        <v>1.274951447934038</v>
      </c>
      <c r="AG72" s="218">
        <f>AG73</f>
        <v>71806974.129999995</v>
      </c>
      <c r="AH72" s="219">
        <f t="shared" si="20"/>
        <v>1.3048574840600697</v>
      </c>
      <c r="AI72" s="219">
        <f t="shared" si="21"/>
        <v>-1.9080324367704016E-4</v>
      </c>
      <c r="AJ72" s="219">
        <f t="shared" si="3"/>
        <v>-1.4620397232285675E-4</v>
      </c>
      <c r="AK72" s="218">
        <v>71817474.129999995</v>
      </c>
      <c r="AL72" s="219">
        <v>1.3050482873037468</v>
      </c>
    </row>
    <row r="73" spans="1:38" ht="39.75" customHeight="1" x14ac:dyDescent="0.3">
      <c r="A73" s="255" t="s">
        <v>268</v>
      </c>
      <c r="B73" s="254" t="str">
        <f>VLOOKUP(A73,saīsinājumi_LV_ENG!A:G,5,FALSE)</f>
        <v xml:space="preserve"> Centralizētās siltumapgādes energoefektivitāte</v>
      </c>
      <c r="C73" s="10" t="s">
        <v>49</v>
      </c>
      <c r="D73" s="42"/>
      <c r="E73" s="38" t="str">
        <f>Pasākumu_līmenis!D52</f>
        <v>KF</v>
      </c>
      <c r="F73" s="38" t="str">
        <f>Pasākumu_līmenis!E52</f>
        <v>EM</v>
      </c>
      <c r="G73" s="278" t="str">
        <f>VLOOKUP(A73,'2. Intervences kategorijas - Pa'!B:D,2,FALSE)</f>
        <v>04 - Atbalstīt pāreju uz zemu oglekļa emisiju ekonomiku visās nozarēs</v>
      </c>
      <c r="H73" s="169">
        <f>Pasākumu_līmenis!F52</f>
        <v>55030511</v>
      </c>
      <c r="I73" s="169">
        <f>Pasākumu_līmenis!G52</f>
        <v>56550000</v>
      </c>
      <c r="J73" s="169">
        <f>Pasākumu_līmenis!H52</f>
        <v>111580511</v>
      </c>
      <c r="K73" s="169">
        <f>Pasākumu_līmenis!I52</f>
        <v>3290568</v>
      </c>
      <c r="L73" s="169">
        <f>Pasākumu_līmenis!J52</f>
        <v>70161229.680000007</v>
      </c>
      <c r="M73" s="170">
        <f t="shared" si="14"/>
        <v>1.274951447934038</v>
      </c>
      <c r="N73" s="170">
        <f t="shared" si="15"/>
        <v>0</v>
      </c>
      <c r="O73" s="170">
        <f t="shared" si="22"/>
        <v>0</v>
      </c>
      <c r="P73" s="169">
        <f>Pasākumu_līmenis!N52</f>
        <v>125</v>
      </c>
      <c r="Q73" s="169">
        <v>70161229.680000007</v>
      </c>
      <c r="R73" s="170">
        <v>1.274951447934038</v>
      </c>
      <c r="S73" s="169">
        <f>Pasākumu_līmenis!Q52</f>
        <v>70161229.680000007</v>
      </c>
      <c r="T73" s="170">
        <f t="shared" si="16"/>
        <v>1.274951447934038</v>
      </c>
      <c r="U73" s="170">
        <f t="shared" si="17"/>
        <v>0</v>
      </c>
      <c r="V73" s="170">
        <f t="shared" si="23"/>
        <v>0</v>
      </c>
      <c r="W73" s="169">
        <f>Pasākumu_līmenis!U52</f>
        <v>125</v>
      </c>
      <c r="X73" s="169">
        <v>70161229.680000007</v>
      </c>
      <c r="Y73" s="170">
        <v>1.274951447934038</v>
      </c>
      <c r="Z73" s="169">
        <f>Pasākumu_līmenis!X52</f>
        <v>70161229.680000007</v>
      </c>
      <c r="AA73" s="170">
        <f t="shared" si="18"/>
        <v>1.274951447934038</v>
      </c>
      <c r="AB73" s="170">
        <f t="shared" si="19"/>
        <v>0</v>
      </c>
      <c r="AC73" s="170">
        <f t="shared" si="1"/>
        <v>0</v>
      </c>
      <c r="AD73" s="169">
        <f>Pasākumu_līmenis!AB52</f>
        <v>125</v>
      </c>
      <c r="AE73" s="169">
        <v>70161229.680000007</v>
      </c>
      <c r="AF73" s="170">
        <v>1.274951447934038</v>
      </c>
      <c r="AG73" s="169">
        <f>Pasākumu_līmenis!AE52</f>
        <v>71806974.129999995</v>
      </c>
      <c r="AH73" s="170">
        <f t="shared" si="20"/>
        <v>1.3048574840600697</v>
      </c>
      <c r="AI73" s="170">
        <f t="shared" si="21"/>
        <v>-1.9080324367704016E-4</v>
      </c>
      <c r="AJ73" s="170">
        <f t="shared" si="3"/>
        <v>-1.4620397232285675E-4</v>
      </c>
      <c r="AK73" s="169">
        <v>71817474.129999995</v>
      </c>
      <c r="AL73" s="170">
        <v>1.3050482873037468</v>
      </c>
    </row>
    <row r="74" spans="1:38" ht="39.75" customHeight="1" x14ac:dyDescent="0.3">
      <c r="A74" s="249" t="s">
        <v>47</v>
      </c>
      <c r="B74" s="250" t="str">
        <f>VLOOKUP(A74,saīsinājumi_LV_ENG!A:G,5,FALSE)</f>
        <v>Zemu oglekļa emisiju stratēģijas, īpaši mobilitātei pilsētvidē</v>
      </c>
      <c r="C74" s="215" t="s">
        <v>50</v>
      </c>
      <c r="D74" s="215" t="str">
        <f>IFERROR(IF((VLOOKUP(A74,Pasākumu_līmenis!A:H,3,0))=0,"",VLOOKUP(A74,Pasākumu_līmenis!A:H,3,0)),"")</f>
        <v/>
      </c>
      <c r="E74" s="217"/>
      <c r="F74" s="217"/>
      <c r="G74" s="276"/>
      <c r="H74" s="218">
        <f>H75</f>
        <v>6631445</v>
      </c>
      <c r="I74" s="218">
        <f>I75</f>
        <v>0</v>
      </c>
      <c r="J74" s="218">
        <f>J75</f>
        <v>6631445</v>
      </c>
      <c r="K74" s="218">
        <f>K75</f>
        <v>432614.80372968898</v>
      </c>
      <c r="L74" s="218">
        <f>L75</f>
        <v>6406845.4299999997</v>
      </c>
      <c r="M74" s="219">
        <f t="shared" si="14"/>
        <v>0.96613112677553681</v>
      </c>
      <c r="N74" s="219">
        <f t="shared" si="15"/>
        <v>0</v>
      </c>
      <c r="O74" s="219">
        <f t="shared" si="22"/>
        <v>0</v>
      </c>
      <c r="P74" s="218">
        <f>P75</f>
        <v>1</v>
      </c>
      <c r="Q74" s="218">
        <v>6406845.4299999997</v>
      </c>
      <c r="R74" s="219">
        <v>0.96613112677553681</v>
      </c>
      <c r="S74" s="218">
        <f>S75</f>
        <v>6406845.4299999997</v>
      </c>
      <c r="T74" s="219">
        <f t="shared" si="16"/>
        <v>0.96613112677553681</v>
      </c>
      <c r="U74" s="219">
        <f t="shared" si="17"/>
        <v>0</v>
      </c>
      <c r="V74" s="219">
        <f t="shared" si="23"/>
        <v>0</v>
      </c>
      <c r="W74" s="218">
        <f>W75</f>
        <v>1</v>
      </c>
      <c r="X74" s="218">
        <v>6406845.4299999997</v>
      </c>
      <c r="Y74" s="219">
        <v>0.96613112677553681</v>
      </c>
      <c r="Z74" s="218">
        <f>Z75</f>
        <v>6406845.4299999997</v>
      </c>
      <c r="AA74" s="219">
        <f t="shared" si="18"/>
        <v>0.96613112677553681</v>
      </c>
      <c r="AB74" s="219">
        <f t="shared" si="19"/>
        <v>0</v>
      </c>
      <c r="AC74" s="219">
        <f t="shared" si="1"/>
        <v>0</v>
      </c>
      <c r="AD74" s="218">
        <f>AD75</f>
        <v>1</v>
      </c>
      <c r="AE74" s="218">
        <v>6406845.4299999997</v>
      </c>
      <c r="AF74" s="219">
        <v>0.96613112677553681</v>
      </c>
      <c r="AG74" s="218">
        <f>AG75</f>
        <v>6406845.4299999997</v>
      </c>
      <c r="AH74" s="219">
        <f t="shared" si="20"/>
        <v>0.96613112677553681</v>
      </c>
      <c r="AI74" s="219">
        <f t="shared" si="21"/>
        <v>0</v>
      </c>
      <c r="AJ74" s="219">
        <f t="shared" si="3"/>
        <v>0</v>
      </c>
      <c r="AK74" s="218">
        <v>6406845.4299999997</v>
      </c>
      <c r="AL74" s="219">
        <v>0.96613112677553681</v>
      </c>
    </row>
    <row r="75" spans="1:38" ht="39.75" customHeight="1" x14ac:dyDescent="0.3">
      <c r="A75" s="255" t="s">
        <v>269</v>
      </c>
      <c r="B75" s="254" t="str">
        <f>VLOOKUP(A75,saīsinājumi_LV_ENG!A:G,5,FALSE)</f>
        <v>Elektro transportlīdzekļu infrastruktūra</v>
      </c>
      <c r="C75" s="10" t="s">
        <v>416</v>
      </c>
      <c r="D75" s="10"/>
      <c r="E75" s="38" t="str">
        <f>Pasākumu_līmenis!D53</f>
        <v>ERAF</v>
      </c>
      <c r="F75" s="38" t="str">
        <f>Pasākumu_līmenis!E53</f>
        <v>SM</v>
      </c>
      <c r="G75" s="278" t="str">
        <f>VLOOKUP(A75,'2. Intervences kategorijas - Pa'!B:D,2,FALSE)</f>
        <v>04 - Atbalstīt pāreju uz zemu oglekļa emisiju ekonomiku visās nozarēs</v>
      </c>
      <c r="H75" s="169">
        <f>Pasākumu_līmenis!F53</f>
        <v>6631445</v>
      </c>
      <c r="I75" s="169">
        <f>Pasākumu_līmenis!G53</f>
        <v>0</v>
      </c>
      <c r="J75" s="169">
        <f>Pasākumu_līmenis!H53</f>
        <v>6631445</v>
      </c>
      <c r="K75" s="169">
        <f>Pasākumu_līmenis!I53</f>
        <v>432614.80372968898</v>
      </c>
      <c r="L75" s="169">
        <f>Pasākumu_līmenis!J53</f>
        <v>6406845.4299999997</v>
      </c>
      <c r="M75" s="170">
        <f t="shared" si="14"/>
        <v>0.96613112677553681</v>
      </c>
      <c r="N75" s="170">
        <f t="shared" si="15"/>
        <v>0</v>
      </c>
      <c r="O75" s="170">
        <f t="shared" si="22"/>
        <v>0</v>
      </c>
      <c r="P75" s="169">
        <f>Pasākumu_līmenis!N53</f>
        <v>1</v>
      </c>
      <c r="Q75" s="169">
        <v>6406845.4299999997</v>
      </c>
      <c r="R75" s="170">
        <v>0.96613112677553681</v>
      </c>
      <c r="S75" s="169">
        <f>Pasākumu_līmenis!Q53</f>
        <v>6406845.4299999997</v>
      </c>
      <c r="T75" s="170">
        <f t="shared" si="16"/>
        <v>0.96613112677553681</v>
      </c>
      <c r="U75" s="170">
        <f t="shared" si="17"/>
        <v>0</v>
      </c>
      <c r="V75" s="170">
        <f t="shared" si="23"/>
        <v>0</v>
      </c>
      <c r="W75" s="169">
        <f>Pasākumu_līmenis!U53</f>
        <v>1</v>
      </c>
      <c r="X75" s="169">
        <v>6406845.4299999997</v>
      </c>
      <c r="Y75" s="170">
        <v>0.96613112677553681</v>
      </c>
      <c r="Z75" s="169">
        <f>Pasākumu_līmenis!X53</f>
        <v>6406845.4299999997</v>
      </c>
      <c r="AA75" s="170">
        <f t="shared" si="18"/>
        <v>0.96613112677553681</v>
      </c>
      <c r="AB75" s="170">
        <f t="shared" si="19"/>
        <v>0</v>
      </c>
      <c r="AC75" s="170">
        <f t="shared" si="1"/>
        <v>0</v>
      </c>
      <c r="AD75" s="169">
        <f>Pasākumu_līmenis!AB53</f>
        <v>1</v>
      </c>
      <c r="AE75" s="169">
        <v>6406845.4299999997</v>
      </c>
      <c r="AF75" s="170">
        <v>0.96613112677553681</v>
      </c>
      <c r="AG75" s="169">
        <f>Pasākumu_līmenis!AE53</f>
        <v>6406845.4299999997</v>
      </c>
      <c r="AH75" s="170">
        <f t="shared" si="20"/>
        <v>0.96613112677553681</v>
      </c>
      <c r="AI75" s="170">
        <f t="shared" si="21"/>
        <v>0</v>
      </c>
      <c r="AJ75" s="170">
        <f t="shared" si="3"/>
        <v>0</v>
      </c>
      <c r="AK75" s="169">
        <v>6406845.4299999997</v>
      </c>
      <c r="AL75" s="170">
        <v>0.96613112677553681</v>
      </c>
    </row>
    <row r="76" spans="1:38" ht="39.75" customHeight="1" x14ac:dyDescent="0.3">
      <c r="A76" s="249" t="s">
        <v>33</v>
      </c>
      <c r="B76" s="250" t="str">
        <f>VLOOKUP(A76,saīsinājumi_LV_ENG!A:G,5,FALSE)</f>
        <v>Zemu oglekļa emisiju stratēģijas, īpaši mobilitātei pilsētvidē</v>
      </c>
      <c r="C76" s="215" t="s">
        <v>50</v>
      </c>
      <c r="D76" s="215" t="str">
        <f>IFERROR(IF((VLOOKUP(A76,Pasākumu_līmenis!A:H,3,0))=0,"",VLOOKUP(A76,Pasākumu_līmenis!A:H,3,0)),"")</f>
        <v/>
      </c>
      <c r="E76" s="217"/>
      <c r="F76" s="217"/>
      <c r="G76" s="276"/>
      <c r="H76" s="218">
        <f>H77</f>
        <v>279905458</v>
      </c>
      <c r="I76" s="218">
        <f>I77</f>
        <v>0</v>
      </c>
      <c r="J76" s="218">
        <f>J77</f>
        <v>279905458</v>
      </c>
      <c r="K76" s="218">
        <f>K77</f>
        <v>6713574.1033218019</v>
      </c>
      <c r="L76" s="218">
        <f>L77</f>
        <v>265422597.75999999</v>
      </c>
      <c r="M76" s="219">
        <f t="shared" si="14"/>
        <v>0.94825802846616869</v>
      </c>
      <c r="N76" s="219">
        <f t="shared" si="15"/>
        <v>0</v>
      </c>
      <c r="O76" s="219">
        <f t="shared" si="22"/>
        <v>0</v>
      </c>
      <c r="P76" s="218">
        <f>P77</f>
        <v>22</v>
      </c>
      <c r="Q76" s="218">
        <v>265422597.75999999</v>
      </c>
      <c r="R76" s="219">
        <v>0.94825802846616869</v>
      </c>
      <c r="S76" s="218">
        <f>S77</f>
        <v>265422597.75999999</v>
      </c>
      <c r="T76" s="219">
        <f t="shared" si="16"/>
        <v>0.94825802846616869</v>
      </c>
      <c r="U76" s="219">
        <f t="shared" si="17"/>
        <v>0</v>
      </c>
      <c r="V76" s="219">
        <f t="shared" si="23"/>
        <v>0</v>
      </c>
      <c r="W76" s="218">
        <f>W77</f>
        <v>22</v>
      </c>
      <c r="X76" s="218">
        <v>265422597.75999999</v>
      </c>
      <c r="Y76" s="219">
        <v>0.94825802846616869</v>
      </c>
      <c r="Z76" s="218">
        <f>Z77</f>
        <v>265422597.75999999</v>
      </c>
      <c r="AA76" s="219">
        <f t="shared" si="18"/>
        <v>0.94825802846616869</v>
      </c>
      <c r="AB76" s="219">
        <f t="shared" si="19"/>
        <v>0</v>
      </c>
      <c r="AC76" s="219">
        <f t="shared" ref="AC76:AC145" si="59">IFERROR(((Z76-AE76)/AE76),0)</f>
        <v>0</v>
      </c>
      <c r="AD76" s="218">
        <f>AD77</f>
        <v>22</v>
      </c>
      <c r="AE76" s="218">
        <v>265422597.75999999</v>
      </c>
      <c r="AF76" s="219">
        <v>0.94825802846616869</v>
      </c>
      <c r="AG76" s="218">
        <f>AG77</f>
        <v>265350472.05000001</v>
      </c>
      <c r="AH76" s="219">
        <f t="shared" si="20"/>
        <v>0.94800034963948443</v>
      </c>
      <c r="AI76" s="219">
        <f t="shared" si="21"/>
        <v>0</v>
      </c>
      <c r="AJ76" s="219">
        <f t="shared" si="3"/>
        <v>0</v>
      </c>
      <c r="AK76" s="218">
        <v>265350472.05000001</v>
      </c>
      <c r="AL76" s="219">
        <v>0.94800034963948443</v>
      </c>
    </row>
    <row r="77" spans="1:38" ht="39.75" customHeight="1" x14ac:dyDescent="0.3">
      <c r="A77" s="251" t="s">
        <v>436</v>
      </c>
      <c r="B77" s="252" t="str">
        <f>VLOOKUP(A77,saīsinājumi_LV_ENG!A:G,5,FALSE)</f>
        <v>Videi draudzīgs sabiedriskais transports</v>
      </c>
      <c r="C77" s="220" t="s">
        <v>35</v>
      </c>
      <c r="D77" s="220" t="str">
        <f>IFERROR(IF((VLOOKUP(A77,Pasākumu_līmenis!A:H,3,0))=0,"",VLOOKUP(A77,Pasākumu_līmenis!A:H,3,0)),"")</f>
        <v/>
      </c>
      <c r="E77" s="222"/>
      <c r="F77" s="222"/>
      <c r="G77" s="277"/>
      <c r="H77" s="223">
        <f>SUM(H78:H79)</f>
        <v>279905458</v>
      </c>
      <c r="I77" s="223">
        <f>SUM(I78:I79)</f>
        <v>0</v>
      </c>
      <c r="J77" s="223">
        <f>SUM(J78:J79)</f>
        <v>279905458</v>
      </c>
      <c r="K77" s="223">
        <f>SUM(K78:K79)</f>
        <v>6713574.1033218019</v>
      </c>
      <c r="L77" s="223">
        <f>SUM(L78:L79)</f>
        <v>265422597.75999999</v>
      </c>
      <c r="M77" s="224">
        <f t="shared" si="14"/>
        <v>0.94825802846616869</v>
      </c>
      <c r="N77" s="224">
        <f t="shared" si="15"/>
        <v>0</v>
      </c>
      <c r="O77" s="224">
        <f t="shared" si="22"/>
        <v>0</v>
      </c>
      <c r="P77" s="223">
        <f>SUM(P78:P79)</f>
        <v>22</v>
      </c>
      <c r="Q77" s="223">
        <v>265422597.75999999</v>
      </c>
      <c r="R77" s="224">
        <v>0.94825802846616869</v>
      </c>
      <c r="S77" s="223">
        <f>SUM(S78:S79)</f>
        <v>265422597.75999999</v>
      </c>
      <c r="T77" s="224">
        <f t="shared" si="16"/>
        <v>0.94825802846616869</v>
      </c>
      <c r="U77" s="224">
        <f t="shared" si="17"/>
        <v>0</v>
      </c>
      <c r="V77" s="224">
        <f t="shared" si="23"/>
        <v>0</v>
      </c>
      <c r="W77" s="223">
        <f>SUM(W78:W79)</f>
        <v>22</v>
      </c>
      <c r="X77" s="223">
        <v>265422597.75999999</v>
      </c>
      <c r="Y77" s="224">
        <v>0.94825802846616869</v>
      </c>
      <c r="Z77" s="223">
        <f>SUM(Z78:Z79)</f>
        <v>265422597.75999999</v>
      </c>
      <c r="AA77" s="224">
        <f t="shared" si="18"/>
        <v>0.94825802846616869</v>
      </c>
      <c r="AB77" s="224">
        <f t="shared" si="19"/>
        <v>0</v>
      </c>
      <c r="AC77" s="224">
        <f t="shared" si="59"/>
        <v>0</v>
      </c>
      <c r="AD77" s="223">
        <f>SUM(AD78:AD79)</f>
        <v>22</v>
      </c>
      <c r="AE77" s="223">
        <v>265422597.75999999</v>
      </c>
      <c r="AF77" s="224">
        <v>0.94825802846616869</v>
      </c>
      <c r="AG77" s="223">
        <f>SUM(AG78:AG79)</f>
        <v>265350472.05000001</v>
      </c>
      <c r="AH77" s="224">
        <f t="shared" si="20"/>
        <v>0.94800034963948443</v>
      </c>
      <c r="AI77" s="224">
        <f t="shared" si="21"/>
        <v>0</v>
      </c>
      <c r="AJ77" s="224">
        <f t="shared" si="3"/>
        <v>0</v>
      </c>
      <c r="AK77" s="223">
        <v>265350472.05000001</v>
      </c>
      <c r="AL77" s="224">
        <v>0.94800034963948443</v>
      </c>
    </row>
    <row r="78" spans="1:38" ht="21" customHeight="1" x14ac:dyDescent="0.3">
      <c r="A78" s="253" t="s">
        <v>270</v>
      </c>
      <c r="B78" s="254" t="str">
        <f>VLOOKUP(A78,saīsinājumi_LV_ENG!A:G,5,FALSE)</f>
        <v>Tramvaji un elektrovilcieni</v>
      </c>
      <c r="C78" s="10" t="s">
        <v>185</v>
      </c>
      <c r="D78" s="10"/>
      <c r="E78" s="38" t="str">
        <f>Pasākumu_līmenis!D54</f>
        <v>KF</v>
      </c>
      <c r="F78" s="38" t="str">
        <f>Pasākumu_līmenis!E54</f>
        <v>SM</v>
      </c>
      <c r="G78" s="278" t="str">
        <f>VLOOKUP(A78,'2. Intervences kategorijas - Pa'!B:D,2,FALSE)</f>
        <v>04 - Atbalstīt pāreju uz zemu oglekļa emisiju ekonomiku visās nozarēs</v>
      </c>
      <c r="H78" s="169">
        <f>Pasākumu_līmenis!F54</f>
        <v>235002439</v>
      </c>
      <c r="I78" s="169">
        <f>Pasākumu_līmenis!G54</f>
        <v>0</v>
      </c>
      <c r="J78" s="169">
        <f>Pasākumu_līmenis!H54</f>
        <v>235002439</v>
      </c>
      <c r="K78" s="169">
        <f>Pasākumu_līmenis!I54</f>
        <v>5939202.99873742</v>
      </c>
      <c r="L78" s="169">
        <f>Pasākumu_līmenis!J54</f>
        <v>225530348.43000001</v>
      </c>
      <c r="M78" s="170">
        <f>L78/$H78</f>
        <v>0.95969364994548001</v>
      </c>
      <c r="N78" s="170">
        <f>M78-R78</f>
        <v>0</v>
      </c>
      <c r="O78" s="170">
        <f>IFERROR(((L78-Q78)/Q78),0)</f>
        <v>0</v>
      </c>
      <c r="P78" s="169">
        <f>Pasākumu_līmenis!N54</f>
        <v>8</v>
      </c>
      <c r="Q78" s="169">
        <v>225530348.43000001</v>
      </c>
      <c r="R78" s="170">
        <v>0.95969364994548001</v>
      </c>
      <c r="S78" s="169">
        <f>Pasākumu_līmenis!Q54</f>
        <v>225530348.43000001</v>
      </c>
      <c r="T78" s="170">
        <f>S78/$H78</f>
        <v>0.95969364994548001</v>
      </c>
      <c r="U78" s="170">
        <f>T78-Y78</f>
        <v>0</v>
      </c>
      <c r="V78" s="170">
        <f>IFERROR(((S78-X78)/X78),0)</f>
        <v>0</v>
      </c>
      <c r="W78" s="169">
        <f>Pasākumu_līmenis!U54</f>
        <v>8</v>
      </c>
      <c r="X78" s="169">
        <v>225530348.43000001</v>
      </c>
      <c r="Y78" s="170">
        <v>0.95969364994548001</v>
      </c>
      <c r="Z78" s="169">
        <f>Pasākumu_līmenis!X54</f>
        <v>225530348.43000001</v>
      </c>
      <c r="AA78" s="170">
        <f>Z78/$H78</f>
        <v>0.95969364994548001</v>
      </c>
      <c r="AB78" s="170">
        <f>AA78-AF78</f>
        <v>0</v>
      </c>
      <c r="AC78" s="170">
        <f>IFERROR(((Z78-AE78)/AE78),0)</f>
        <v>0</v>
      </c>
      <c r="AD78" s="169">
        <f>Pasākumu_līmenis!AB54</f>
        <v>8</v>
      </c>
      <c r="AE78" s="169">
        <v>225530348.43000001</v>
      </c>
      <c r="AF78" s="170">
        <v>0.95969364994548001</v>
      </c>
      <c r="AG78" s="169">
        <f>Pasākumu_līmenis!AE54</f>
        <v>225458222.72</v>
      </c>
      <c r="AH78" s="170">
        <f>AG78/$H78</f>
        <v>0.9593867352159694</v>
      </c>
      <c r="AI78" s="170">
        <f>AH78-AL78</f>
        <v>0</v>
      </c>
      <c r="AJ78" s="170">
        <f>IFERROR(((AG78-AK78)/AK78),0)</f>
        <v>0</v>
      </c>
      <c r="AK78" s="169">
        <v>225458222.72</v>
      </c>
      <c r="AL78" s="170">
        <v>0.9593867352159694</v>
      </c>
    </row>
    <row r="79" spans="1:38" ht="21" customHeight="1" x14ac:dyDescent="0.3">
      <c r="A79" s="253" t="s">
        <v>271</v>
      </c>
      <c r="B79" s="254" t="str">
        <f>VLOOKUP(A79,saīsinājumi_LV_ENG!A:G,5,FALSE)</f>
        <v>Videi draudzīgi autobusi</v>
      </c>
      <c r="C79" s="10" t="s">
        <v>186</v>
      </c>
      <c r="D79" s="10"/>
      <c r="E79" s="38" t="str">
        <f>Pasākumu_līmenis!D55</f>
        <v>KF</v>
      </c>
      <c r="F79" s="38" t="str">
        <f>Pasākumu_līmenis!E55</f>
        <v>SM</v>
      </c>
      <c r="G79" s="278" t="str">
        <f>VLOOKUP(A79,'2. Intervences kategorijas - Pa'!B:D,2,FALSE)</f>
        <v>04 - Atbalstīt pāreju uz zemu oglekļa emisiju ekonomiku visās nozarēs</v>
      </c>
      <c r="H79" s="169">
        <f>Pasākumu_līmenis!F55</f>
        <v>44903019</v>
      </c>
      <c r="I79" s="169">
        <f>Pasākumu_līmenis!G55</f>
        <v>0</v>
      </c>
      <c r="J79" s="169">
        <f>Pasākumu_līmenis!H55</f>
        <v>44903019</v>
      </c>
      <c r="K79" s="169">
        <f>Pasākumu_līmenis!I55</f>
        <v>774371.10458438203</v>
      </c>
      <c r="L79" s="169">
        <f>Pasākumu_līmenis!J55</f>
        <v>39892249.329999998</v>
      </c>
      <c r="M79" s="170">
        <f t="shared" si="14"/>
        <v>0.88840906955498911</v>
      </c>
      <c r="N79" s="170">
        <f t="shared" si="15"/>
        <v>0</v>
      </c>
      <c r="O79" s="170">
        <f t="shared" si="22"/>
        <v>0</v>
      </c>
      <c r="P79" s="169">
        <f>Pasākumu_līmenis!N55</f>
        <v>14</v>
      </c>
      <c r="Q79" s="169">
        <v>39892249.329999998</v>
      </c>
      <c r="R79" s="170">
        <v>0.88840906955498911</v>
      </c>
      <c r="S79" s="169">
        <f>Pasākumu_līmenis!Q55</f>
        <v>39892249.329999998</v>
      </c>
      <c r="T79" s="170">
        <f t="shared" si="16"/>
        <v>0.88840906955498911</v>
      </c>
      <c r="U79" s="170">
        <f t="shared" si="17"/>
        <v>0</v>
      </c>
      <c r="V79" s="170">
        <f t="shared" si="23"/>
        <v>0</v>
      </c>
      <c r="W79" s="169">
        <f>Pasākumu_līmenis!U55</f>
        <v>14</v>
      </c>
      <c r="X79" s="169">
        <v>39892249.329999998</v>
      </c>
      <c r="Y79" s="170">
        <v>0.88840906955498911</v>
      </c>
      <c r="Z79" s="169">
        <f>Pasākumu_līmenis!X55</f>
        <v>39892249.329999998</v>
      </c>
      <c r="AA79" s="170">
        <f t="shared" si="18"/>
        <v>0.88840906955498911</v>
      </c>
      <c r="AB79" s="170">
        <f t="shared" si="19"/>
        <v>0</v>
      </c>
      <c r="AC79" s="170">
        <f t="shared" si="59"/>
        <v>0</v>
      </c>
      <c r="AD79" s="169">
        <f>Pasākumu_līmenis!AB55</f>
        <v>14</v>
      </c>
      <c r="AE79" s="169">
        <v>39892249.329999998</v>
      </c>
      <c r="AF79" s="170">
        <v>0.88840906955498911</v>
      </c>
      <c r="AG79" s="169">
        <f>Pasākumu_līmenis!AE55</f>
        <v>39892249.329999998</v>
      </c>
      <c r="AH79" s="170">
        <f t="shared" si="20"/>
        <v>0.88840906955498911</v>
      </c>
      <c r="AI79" s="170">
        <f t="shared" si="21"/>
        <v>0</v>
      </c>
      <c r="AJ79" s="170">
        <f t="shared" ref="AJ79:AJ147" si="60">IFERROR(((AG79-AK79)/AK79),0)</f>
        <v>0</v>
      </c>
      <c r="AK79" s="169">
        <v>39892249.329999998</v>
      </c>
      <c r="AL79" s="170">
        <v>0.88840906955498911</v>
      </c>
    </row>
    <row r="80" spans="1:38" ht="21" customHeight="1" x14ac:dyDescent="0.3">
      <c r="A80" s="247" t="s">
        <v>51</v>
      </c>
      <c r="B80" s="248" t="str">
        <f>VLOOKUP(A80,saīsinājumi_LV_ENG!A:G,5,FALSE)</f>
        <v>Vide un teritoriālā attīstība</v>
      </c>
      <c r="C80" s="8" t="s">
        <v>367</v>
      </c>
      <c r="D80" s="225">
        <f>IFERROR((VLOOKUP(A80,Pasākumu_līmenis!A:H,3,0)),"")</f>
        <v>0</v>
      </c>
      <c r="E80" s="66"/>
      <c r="F80" s="66"/>
      <c r="G80" s="280"/>
      <c r="H80" s="226">
        <f>H81+H84+H89+H91+H100+H102</f>
        <v>581390235</v>
      </c>
      <c r="I80" s="226">
        <f>I81+I84+I89+I91+I100+I102</f>
        <v>78662967</v>
      </c>
      <c r="J80" s="226">
        <f>J81+J84+J89+J91+J100+J102</f>
        <v>660053202</v>
      </c>
      <c r="K80" s="226">
        <f>K81+K84+K89+K91+K100+K102</f>
        <v>21646183.946061909</v>
      </c>
      <c r="L80" s="226">
        <f>L81+L84+L89+L91+L100+L102</f>
        <v>622630364.61000001</v>
      </c>
      <c r="M80" s="227">
        <f t="shared" si="14"/>
        <v>1.0709336468473709</v>
      </c>
      <c r="N80" s="227">
        <f t="shared" si="15"/>
        <v>0</v>
      </c>
      <c r="O80" s="227">
        <f t="shared" si="22"/>
        <v>0</v>
      </c>
      <c r="P80" s="226">
        <f>P81+P84+P89+P91+P100+P102</f>
        <v>273</v>
      </c>
      <c r="Q80" s="175">
        <v>622630364.61000001</v>
      </c>
      <c r="R80" s="176">
        <v>1.0709336468473709</v>
      </c>
      <c r="S80" s="226">
        <f>S81+S84+S89+S91+S100+S102</f>
        <v>622630364.61000001</v>
      </c>
      <c r="T80" s="227">
        <f t="shared" si="16"/>
        <v>1.0709336468473709</v>
      </c>
      <c r="U80" s="227">
        <f t="shared" si="17"/>
        <v>0</v>
      </c>
      <c r="V80" s="227">
        <f t="shared" si="23"/>
        <v>0</v>
      </c>
      <c r="W80" s="226">
        <f>W81+W84+W89+W91+W100+W102</f>
        <v>273</v>
      </c>
      <c r="X80" s="226">
        <v>622630364.61000001</v>
      </c>
      <c r="Y80" s="227">
        <v>1.0709336468473709</v>
      </c>
      <c r="Z80" s="226">
        <f>Z81+Z84+Z89+Z91+Z100+Z102</f>
        <v>622630364.61000001</v>
      </c>
      <c r="AA80" s="227">
        <f t="shared" si="18"/>
        <v>1.0709336468473709</v>
      </c>
      <c r="AB80" s="227">
        <f t="shared" si="19"/>
        <v>0</v>
      </c>
      <c r="AC80" s="227">
        <f t="shared" si="59"/>
        <v>0</v>
      </c>
      <c r="AD80" s="226">
        <f>AD81+AD84+AD89+AD91+AD100+AD102</f>
        <v>273</v>
      </c>
      <c r="AE80" s="175">
        <v>622630364.61000001</v>
      </c>
      <c r="AF80" s="176">
        <v>1.0709336468473709</v>
      </c>
      <c r="AG80" s="226">
        <f>AG81+AG84+AG89+AG91+AG100+AG102</f>
        <v>619092896.13999999</v>
      </c>
      <c r="AH80" s="227">
        <f t="shared" si="20"/>
        <v>1.0648491475609321</v>
      </c>
      <c r="AI80" s="227">
        <f t="shared" si="21"/>
        <v>0</v>
      </c>
      <c r="AJ80" s="227">
        <f t="shared" si="60"/>
        <v>0</v>
      </c>
      <c r="AK80" s="226">
        <v>619092896.13999999</v>
      </c>
      <c r="AL80" s="227">
        <v>1.0648491475609321</v>
      </c>
    </row>
    <row r="81" spans="1:38" ht="21" customHeight="1" x14ac:dyDescent="0.3">
      <c r="A81" s="249" t="s">
        <v>52</v>
      </c>
      <c r="B81" s="250" t="str">
        <f>VLOOKUP(A81,saīsinājumi_LV_ENG!A:G,5,FALSE)</f>
        <v xml:space="preserve">Pielāgošanās klimata pārmaiņām </v>
      </c>
      <c r="C81" s="215" t="s">
        <v>58</v>
      </c>
      <c r="D81" s="216" t="str">
        <f>IFERROR(IF((VLOOKUP(A81,Pasākumu_līmenis!A:H,3,0))=0,"",VLOOKUP(A81,Pasākumu_līmenis!A:H,3,0)),"")</f>
        <v/>
      </c>
      <c r="E81" s="234"/>
      <c r="F81" s="217"/>
      <c r="G81" s="276"/>
      <c r="H81" s="218">
        <f>H82+H83</f>
        <v>0</v>
      </c>
      <c r="I81" s="218">
        <f>I82+I83</f>
        <v>61180784</v>
      </c>
      <c r="J81" s="218">
        <f>J82+J83</f>
        <v>61180784</v>
      </c>
      <c r="K81" s="218">
        <f>K82+K83</f>
        <v>4929593.9460619101</v>
      </c>
      <c r="L81" s="218">
        <f>L82+L83</f>
        <v>59347610.930000007</v>
      </c>
      <c r="M81" s="219">
        <f>IFERROR(L81/$H81,0)</f>
        <v>0</v>
      </c>
      <c r="N81" s="219">
        <f t="shared" si="15"/>
        <v>0</v>
      </c>
      <c r="O81" s="219">
        <f t="shared" si="22"/>
        <v>0</v>
      </c>
      <c r="P81" s="218">
        <f>P82+P83</f>
        <v>42</v>
      </c>
      <c r="Q81" s="218">
        <v>59347610.930000007</v>
      </c>
      <c r="R81" s="219">
        <v>0</v>
      </c>
      <c r="S81" s="218">
        <f>S82+S83</f>
        <v>59347610.930000007</v>
      </c>
      <c r="T81" s="219">
        <f>IFERROR(S81/$H81,0)</f>
        <v>0</v>
      </c>
      <c r="U81" s="219">
        <f t="shared" si="17"/>
        <v>0</v>
      </c>
      <c r="V81" s="219">
        <f t="shared" si="23"/>
        <v>0</v>
      </c>
      <c r="W81" s="218">
        <f>W82+W83</f>
        <v>42</v>
      </c>
      <c r="X81" s="218">
        <v>59347610.930000007</v>
      </c>
      <c r="Y81" s="219">
        <v>0</v>
      </c>
      <c r="Z81" s="218">
        <f>Z82+Z83</f>
        <v>59347610.930000007</v>
      </c>
      <c r="AA81" s="219">
        <f>IFERROR(Z81/$H81,0)</f>
        <v>0</v>
      </c>
      <c r="AB81" s="219">
        <f t="shared" si="19"/>
        <v>0</v>
      </c>
      <c r="AC81" s="219">
        <f t="shared" si="59"/>
        <v>0</v>
      </c>
      <c r="AD81" s="218">
        <f>AD82+AD83</f>
        <v>42</v>
      </c>
      <c r="AE81" s="218">
        <v>59347610.930000007</v>
      </c>
      <c r="AF81" s="219">
        <v>0</v>
      </c>
      <c r="AG81" s="218">
        <f>AG82+AG83</f>
        <v>59336909.68</v>
      </c>
      <c r="AH81" s="219">
        <f>IFERROR(AG81/$H81,0)</f>
        <v>0</v>
      </c>
      <c r="AI81" s="219">
        <f t="shared" si="21"/>
        <v>0</v>
      </c>
      <c r="AJ81" s="219">
        <f t="shared" si="60"/>
        <v>0</v>
      </c>
      <c r="AK81" s="218">
        <v>59336909.68</v>
      </c>
      <c r="AL81" s="219">
        <v>0</v>
      </c>
    </row>
    <row r="82" spans="1:38" ht="39.75" customHeight="1" x14ac:dyDescent="0.3">
      <c r="A82" s="255" t="s">
        <v>273</v>
      </c>
      <c r="B82" s="254" t="str">
        <f>VLOOKUP(A82,saīsinājumi_LV_ENG!A:G,5,FALSE)</f>
        <v>Plūdu risku samazināšana blīvi apdzīvotās teritorijās</v>
      </c>
      <c r="C82" s="10" t="s">
        <v>59</v>
      </c>
      <c r="D82" s="42"/>
      <c r="E82" s="33" t="str">
        <f>Pasākumu_līmenis!D57</f>
        <v>KF</v>
      </c>
      <c r="F82" s="38" t="str">
        <f>Pasākumu_līmenis!E57</f>
        <v>VARAM</v>
      </c>
      <c r="G82" s="278" t="str">
        <f>VLOOKUP(A82,'2. Intervences kategorijas - Pa'!B:D,2,FALSE)</f>
        <v>05 - Veicināt pielāgošanos klimata pārmaiņām, risku novēršanu un vadību</v>
      </c>
      <c r="H82" s="169">
        <f>Pasākumu_līmenis!F57</f>
        <v>0</v>
      </c>
      <c r="I82" s="169">
        <f>Pasākumu_līmenis!G57</f>
        <v>24299268</v>
      </c>
      <c r="J82" s="169">
        <f>Pasākumu_līmenis!H57</f>
        <v>24299268</v>
      </c>
      <c r="K82" s="169">
        <f>Pasākumu_līmenis!I57</f>
        <v>2679997</v>
      </c>
      <c r="L82" s="169">
        <f>Pasākumu_līmenis!J57</f>
        <v>22886986.370000001</v>
      </c>
      <c r="M82" s="170">
        <f>IFERROR(L82/$H82,0)</f>
        <v>0</v>
      </c>
      <c r="N82" s="170">
        <f t="shared" ref="N82:N150" si="61">M82-R82</f>
        <v>0</v>
      </c>
      <c r="O82" s="170">
        <f t="shared" si="22"/>
        <v>0</v>
      </c>
      <c r="P82" s="169">
        <f>Pasākumu_līmenis!N57</f>
        <v>10</v>
      </c>
      <c r="Q82" s="169">
        <v>22886986.370000001</v>
      </c>
      <c r="R82" s="170">
        <v>0</v>
      </c>
      <c r="S82" s="169">
        <f>Pasākumu_līmenis!Q57</f>
        <v>22886986.370000001</v>
      </c>
      <c r="T82" s="170">
        <f>IFERROR(S82/$H82,0)</f>
        <v>0</v>
      </c>
      <c r="U82" s="170">
        <f t="shared" ref="U82:U150" si="62">T82-Y82</f>
        <v>0</v>
      </c>
      <c r="V82" s="170">
        <f t="shared" si="23"/>
        <v>0</v>
      </c>
      <c r="W82" s="169">
        <f>Pasākumu_līmenis!U57</f>
        <v>10</v>
      </c>
      <c r="X82" s="169">
        <v>22886986.370000001</v>
      </c>
      <c r="Y82" s="170">
        <v>0</v>
      </c>
      <c r="Z82" s="169">
        <f>Pasākumu_līmenis!X57</f>
        <v>22886986.370000001</v>
      </c>
      <c r="AA82" s="170">
        <f>IFERROR(Z82/$H82,0)</f>
        <v>0</v>
      </c>
      <c r="AB82" s="170">
        <f t="shared" ref="AB82:AB150" si="63">AA82-AF82</f>
        <v>0</v>
      </c>
      <c r="AC82" s="170">
        <f t="shared" si="59"/>
        <v>0</v>
      </c>
      <c r="AD82" s="169">
        <f>Pasākumu_līmenis!AB57</f>
        <v>10</v>
      </c>
      <c r="AE82" s="169">
        <v>22886986.370000001</v>
      </c>
      <c r="AF82" s="170">
        <v>0</v>
      </c>
      <c r="AG82" s="169">
        <f>Pasākumu_līmenis!AE57</f>
        <v>22876285.149999999</v>
      </c>
      <c r="AH82" s="170">
        <f>IFERROR(AG82/$H82,0)</f>
        <v>0</v>
      </c>
      <c r="AI82" s="170">
        <f t="shared" ref="AI82:AI150" si="64">AH82-AL82</f>
        <v>0</v>
      </c>
      <c r="AJ82" s="170">
        <f t="shared" si="60"/>
        <v>0</v>
      </c>
      <c r="AK82" s="169">
        <v>22876285.149999999</v>
      </c>
      <c r="AL82" s="170">
        <v>0</v>
      </c>
    </row>
    <row r="83" spans="1:38" ht="39.75" customHeight="1" x14ac:dyDescent="0.3">
      <c r="A83" s="255" t="s">
        <v>274</v>
      </c>
      <c r="B83" s="254" t="str">
        <f>VLOOKUP(A83,saīsinājumi_LV_ENG!A:G,5,FALSE)</f>
        <v>Plūdu risku samazināšana lauku teritorijās</v>
      </c>
      <c r="C83" s="10" t="s">
        <v>60</v>
      </c>
      <c r="D83" s="42"/>
      <c r="E83" s="33" t="str">
        <f>Pasākumu_līmenis!D58</f>
        <v>KF</v>
      </c>
      <c r="F83" s="38" t="s">
        <v>400</v>
      </c>
      <c r="G83" s="278" t="str">
        <f>VLOOKUP(A83,'2. Intervences kategorijas - Pa'!B:D,2,FALSE)</f>
        <v>05 - Veicināt pielāgošanos klimata pārmaiņām, risku novēršanu un vadību</v>
      </c>
      <c r="H83" s="169">
        <f>Pasākumu_līmenis!F58</f>
        <v>0</v>
      </c>
      <c r="I83" s="169">
        <f>Pasākumu_līmenis!G58</f>
        <v>36881516</v>
      </c>
      <c r="J83" s="169">
        <f>Pasākumu_līmenis!H58</f>
        <v>36881516</v>
      </c>
      <c r="K83" s="169">
        <f>Pasākumu_līmenis!I58</f>
        <v>2249596.9460619101</v>
      </c>
      <c r="L83" s="169">
        <f>Pasākumu_līmenis!J58</f>
        <v>36460624.560000002</v>
      </c>
      <c r="M83" s="170">
        <f>IFERROR(L83/$H83,0)</f>
        <v>0</v>
      </c>
      <c r="N83" s="170">
        <f t="shared" si="61"/>
        <v>0</v>
      </c>
      <c r="O83" s="170">
        <f t="shared" si="22"/>
        <v>0</v>
      </c>
      <c r="P83" s="169">
        <f>Pasākumu_līmenis!N58</f>
        <v>32</v>
      </c>
      <c r="Q83" s="169">
        <v>36460624.560000002</v>
      </c>
      <c r="R83" s="170">
        <v>0</v>
      </c>
      <c r="S83" s="169">
        <f>Pasākumu_līmenis!Q58</f>
        <v>36460624.560000002</v>
      </c>
      <c r="T83" s="170">
        <f>IFERROR(S83/$H83,0)</f>
        <v>0</v>
      </c>
      <c r="U83" s="170">
        <f t="shared" si="62"/>
        <v>0</v>
      </c>
      <c r="V83" s="170">
        <f t="shared" si="23"/>
        <v>0</v>
      </c>
      <c r="W83" s="169">
        <f>Pasākumu_līmenis!U58</f>
        <v>32</v>
      </c>
      <c r="X83" s="169">
        <v>36460624.560000002</v>
      </c>
      <c r="Y83" s="170">
        <v>0</v>
      </c>
      <c r="Z83" s="169">
        <f>Pasākumu_līmenis!X58</f>
        <v>36460624.560000002</v>
      </c>
      <c r="AA83" s="170">
        <f>IFERROR(Z83/$H83,)</f>
        <v>0</v>
      </c>
      <c r="AB83" s="170">
        <f t="shared" si="63"/>
        <v>0</v>
      </c>
      <c r="AC83" s="170">
        <f t="shared" si="59"/>
        <v>0</v>
      </c>
      <c r="AD83" s="169">
        <f>Pasākumu_līmenis!AB58</f>
        <v>32</v>
      </c>
      <c r="AE83" s="169">
        <v>36460624.560000002</v>
      </c>
      <c r="AF83" s="170">
        <v>0</v>
      </c>
      <c r="AG83" s="169">
        <f>Pasākumu_līmenis!AE58</f>
        <v>36460624.530000001</v>
      </c>
      <c r="AH83" s="170">
        <f>IFERROR(AG83/$H83,0)</f>
        <v>0</v>
      </c>
      <c r="AI83" s="170">
        <f t="shared" si="64"/>
        <v>0</v>
      </c>
      <c r="AJ83" s="170">
        <f t="shared" si="60"/>
        <v>0</v>
      </c>
      <c r="AK83" s="169">
        <v>36460624.530000001</v>
      </c>
      <c r="AL83" s="170">
        <v>0</v>
      </c>
    </row>
    <row r="84" spans="1:38" ht="59.25" customHeight="1" x14ac:dyDescent="0.3">
      <c r="A84" s="249" t="s">
        <v>53</v>
      </c>
      <c r="B84" s="250" t="str">
        <f>VLOOKUP(A84,saīsinājumi_LV_ENG!A:G,5,FALSE)</f>
        <v xml:space="preserve">Investīcijas atkritumu nozarē, lai ievērotu Savienības acquis noteiktās prasības vides jomā </v>
      </c>
      <c r="C84" s="229" t="s">
        <v>378</v>
      </c>
      <c r="D84" s="216" t="str">
        <f>IFERROR(IF((VLOOKUP(A84,Pasākumu_līmenis!A:H,3,0))=0,"",VLOOKUP(A84,Pasākumu_līmenis!A:H,3,0)),"")</f>
        <v/>
      </c>
      <c r="E84" s="234"/>
      <c r="F84" s="217"/>
      <c r="G84" s="276"/>
      <c r="H84" s="218">
        <f>H85</f>
        <v>55771320</v>
      </c>
      <c r="I84" s="218">
        <f>I85</f>
        <v>17482183</v>
      </c>
      <c r="J84" s="218">
        <f>J85</f>
        <v>73253503</v>
      </c>
      <c r="K84" s="218">
        <f>K85</f>
        <v>0</v>
      </c>
      <c r="L84" s="218">
        <f>L85</f>
        <v>71898764.629999995</v>
      </c>
      <c r="M84" s="219">
        <f t="shared" ref="M84:M150" si="65">L84/$H84</f>
        <v>1.2891709328378815</v>
      </c>
      <c r="N84" s="219">
        <f t="shared" si="61"/>
        <v>0</v>
      </c>
      <c r="O84" s="219">
        <f t="shared" ref="O84:O153" si="66">IFERROR(((L84-Q84)/Q84),0)</f>
        <v>0</v>
      </c>
      <c r="P84" s="218">
        <f>P85</f>
        <v>17</v>
      </c>
      <c r="Q84" s="218">
        <v>71898764.629999995</v>
      </c>
      <c r="R84" s="219">
        <v>1.2891709328378815</v>
      </c>
      <c r="S84" s="218">
        <f>S85</f>
        <v>71898764.629999995</v>
      </c>
      <c r="T84" s="219">
        <f t="shared" ref="T84:T150" si="67">S84/$H84</f>
        <v>1.2891709328378815</v>
      </c>
      <c r="U84" s="219">
        <f t="shared" si="62"/>
        <v>0</v>
      </c>
      <c r="V84" s="219">
        <f t="shared" ref="V84:V153" si="68">IFERROR(((S84-X84)/X84),0)</f>
        <v>0</v>
      </c>
      <c r="W84" s="218">
        <f>W85</f>
        <v>17</v>
      </c>
      <c r="X84" s="218">
        <v>71898764.629999995</v>
      </c>
      <c r="Y84" s="219">
        <v>1.2891709328378815</v>
      </c>
      <c r="Z84" s="218">
        <f>Z85</f>
        <v>71898764.629999995</v>
      </c>
      <c r="AA84" s="219">
        <f t="shared" ref="AA84:AA150" si="69">Z84/$H84</f>
        <v>1.2891709328378815</v>
      </c>
      <c r="AB84" s="219">
        <f t="shared" si="63"/>
        <v>0</v>
      </c>
      <c r="AC84" s="219">
        <f t="shared" si="59"/>
        <v>0</v>
      </c>
      <c r="AD84" s="218">
        <f>AD85</f>
        <v>17</v>
      </c>
      <c r="AE84" s="218">
        <v>71898764.629999995</v>
      </c>
      <c r="AF84" s="219">
        <v>1.2891709328378815</v>
      </c>
      <c r="AG84" s="218">
        <f>AG85</f>
        <v>71898764.629999995</v>
      </c>
      <c r="AH84" s="219">
        <f t="shared" ref="AH84:AH150" si="70">AG84/$H84</f>
        <v>1.2891709328378815</v>
      </c>
      <c r="AI84" s="219">
        <f t="shared" si="64"/>
        <v>0</v>
      </c>
      <c r="AJ84" s="219">
        <f t="shared" si="60"/>
        <v>0</v>
      </c>
      <c r="AK84" s="218">
        <v>71898764.629999995</v>
      </c>
      <c r="AL84" s="219">
        <v>1.2891709328378815</v>
      </c>
    </row>
    <row r="85" spans="1:38" ht="39.75" customHeight="1" x14ac:dyDescent="0.3">
      <c r="A85" s="251" t="s">
        <v>437</v>
      </c>
      <c r="B85" s="252" t="str">
        <f>VLOOKUP(A85,saīsinājumi_LV_ENG!A:G,5,FALSE)</f>
        <v>Atkritumu atkārtota izmantošana, pārstrāde un reģenerācija</v>
      </c>
      <c r="C85" s="220" t="s">
        <v>61</v>
      </c>
      <c r="D85" s="221" t="str">
        <f>IFERROR(IF((VLOOKUP(A85,Pasākumu_līmenis!A:H,3,0))=0,"",VLOOKUP(A85,Pasākumu_līmenis!A:H,3,0)),"")</f>
        <v/>
      </c>
      <c r="E85" s="233"/>
      <c r="F85" s="222"/>
      <c r="G85" s="277"/>
      <c r="H85" s="223">
        <f>SUM(H86:H88)</f>
        <v>55771320</v>
      </c>
      <c r="I85" s="223">
        <f>SUM(I86:I88)</f>
        <v>17482183</v>
      </c>
      <c r="J85" s="223">
        <f>SUM(J86:J88)</f>
        <v>73253503</v>
      </c>
      <c r="K85" s="223">
        <f>SUM(K86:K88)</f>
        <v>0</v>
      </c>
      <c r="L85" s="223">
        <f>SUM(L86:L88)</f>
        <v>71898764.629999995</v>
      </c>
      <c r="M85" s="224">
        <f t="shared" si="65"/>
        <v>1.2891709328378815</v>
      </c>
      <c r="N85" s="224">
        <f t="shared" si="61"/>
        <v>0</v>
      </c>
      <c r="O85" s="224">
        <f t="shared" si="66"/>
        <v>0</v>
      </c>
      <c r="P85" s="223">
        <f>SUM(P86:P88)</f>
        <v>17</v>
      </c>
      <c r="Q85" s="223">
        <v>71898764.629999995</v>
      </c>
      <c r="R85" s="224">
        <v>1.2891709328378815</v>
      </c>
      <c r="S85" s="223">
        <f>SUM(S86:S88)</f>
        <v>71898764.629999995</v>
      </c>
      <c r="T85" s="224">
        <f t="shared" si="67"/>
        <v>1.2891709328378815</v>
      </c>
      <c r="U85" s="224">
        <f t="shared" si="62"/>
        <v>0</v>
      </c>
      <c r="V85" s="224">
        <f t="shared" si="68"/>
        <v>0</v>
      </c>
      <c r="W85" s="223">
        <f>SUM(W86:W88)</f>
        <v>17</v>
      </c>
      <c r="X85" s="223">
        <v>71898764.629999995</v>
      </c>
      <c r="Y85" s="224">
        <v>1.2891709328378815</v>
      </c>
      <c r="Z85" s="223">
        <f>SUM(Z86:Z88)</f>
        <v>71898764.629999995</v>
      </c>
      <c r="AA85" s="224">
        <f t="shared" si="69"/>
        <v>1.2891709328378815</v>
      </c>
      <c r="AB85" s="224">
        <f t="shared" si="63"/>
        <v>0</v>
      </c>
      <c r="AC85" s="224">
        <f t="shared" si="59"/>
        <v>0</v>
      </c>
      <c r="AD85" s="223">
        <f>SUM(AD86:AD88)</f>
        <v>17</v>
      </c>
      <c r="AE85" s="223">
        <v>71898764.629999995</v>
      </c>
      <c r="AF85" s="224">
        <v>1.2891709328378815</v>
      </c>
      <c r="AG85" s="223">
        <f>SUM(AG86:AG88)</f>
        <v>71898764.629999995</v>
      </c>
      <c r="AH85" s="224">
        <f t="shared" si="70"/>
        <v>1.2891709328378815</v>
      </c>
      <c r="AI85" s="224">
        <f t="shared" si="64"/>
        <v>0</v>
      </c>
      <c r="AJ85" s="224">
        <f t="shared" si="60"/>
        <v>0</v>
      </c>
      <c r="AK85" s="223">
        <v>71898764.629999995</v>
      </c>
      <c r="AL85" s="224">
        <v>1.2891709328378815</v>
      </c>
    </row>
    <row r="86" spans="1:38" ht="21" customHeight="1" x14ac:dyDescent="0.3">
      <c r="A86" s="253" t="s">
        <v>275</v>
      </c>
      <c r="B86" s="254" t="str">
        <f>VLOOKUP(A86,saīsinājumi_LV_ENG!A:G,5,FALSE)</f>
        <v>Atkritumu dalītā vākšana</v>
      </c>
      <c r="C86" s="10" t="s">
        <v>187</v>
      </c>
      <c r="D86" s="42"/>
      <c r="E86" s="33" t="str">
        <f>Pasākumu_līmenis!D59</f>
        <v>KF</v>
      </c>
      <c r="F86" s="38" t="str">
        <f>Pasākumu_līmenis!E59</f>
        <v>VARAM</v>
      </c>
      <c r="G86" s="278" t="str">
        <f>VLOOKUP(A86,'2. Intervences kategorijas - Pa'!B:D,2,FALSE)</f>
        <v>06 - Saglabāt un aizsargāt vidi un uzlabot resursu izmantošanas efektivitāti</v>
      </c>
      <c r="H86" s="169">
        <f>Pasākumu_līmenis!F59</f>
        <v>151400</v>
      </c>
      <c r="I86" s="169">
        <f>Pasākumu_līmenis!G59</f>
        <v>0</v>
      </c>
      <c r="J86" s="169">
        <f>Pasākumu_līmenis!H59</f>
        <v>151400</v>
      </c>
      <c r="K86" s="169">
        <f>Pasākumu_līmenis!I59</f>
        <v>0</v>
      </c>
      <c r="L86" s="169">
        <f>Pasākumu_līmenis!J59</f>
        <v>151399.01999999999</v>
      </c>
      <c r="M86" s="170">
        <f t="shared" si="65"/>
        <v>0.9999935270805812</v>
      </c>
      <c r="N86" s="170">
        <f t="shared" si="61"/>
        <v>0</v>
      </c>
      <c r="O86" s="170">
        <f t="shared" si="66"/>
        <v>0</v>
      </c>
      <c r="P86" s="169">
        <f>Pasākumu_līmenis!N59</f>
        <v>4</v>
      </c>
      <c r="Q86" s="169">
        <v>151399.01999999999</v>
      </c>
      <c r="R86" s="170">
        <v>0.9999935270805812</v>
      </c>
      <c r="S86" s="169">
        <f>Pasākumu_līmenis!Q59</f>
        <v>151399.01999999999</v>
      </c>
      <c r="T86" s="170">
        <f t="shared" si="67"/>
        <v>0.9999935270805812</v>
      </c>
      <c r="U86" s="170">
        <f t="shared" si="62"/>
        <v>0</v>
      </c>
      <c r="V86" s="170">
        <f t="shared" si="68"/>
        <v>0</v>
      </c>
      <c r="W86" s="169">
        <f>Pasākumu_līmenis!U59</f>
        <v>4</v>
      </c>
      <c r="X86" s="169">
        <v>151399.01999999999</v>
      </c>
      <c r="Y86" s="170">
        <v>0.9999935270805812</v>
      </c>
      <c r="Z86" s="169">
        <f>Pasākumu_līmenis!X59</f>
        <v>151399.01999999999</v>
      </c>
      <c r="AA86" s="170">
        <f t="shared" si="69"/>
        <v>0.9999935270805812</v>
      </c>
      <c r="AB86" s="170">
        <f t="shared" si="63"/>
        <v>0</v>
      </c>
      <c r="AC86" s="170">
        <f t="shared" si="59"/>
        <v>0</v>
      </c>
      <c r="AD86" s="169">
        <f>Pasākumu_līmenis!AB59</f>
        <v>4</v>
      </c>
      <c r="AE86" s="169">
        <v>151399.01999999999</v>
      </c>
      <c r="AF86" s="170">
        <v>0.9999935270805812</v>
      </c>
      <c r="AG86" s="169">
        <f>Pasākumu_līmenis!AE59</f>
        <v>151399.01999999999</v>
      </c>
      <c r="AH86" s="170">
        <f t="shared" si="70"/>
        <v>0.9999935270805812</v>
      </c>
      <c r="AI86" s="170">
        <f t="shared" si="64"/>
        <v>0</v>
      </c>
      <c r="AJ86" s="170">
        <f t="shared" si="60"/>
        <v>0</v>
      </c>
      <c r="AK86" s="169">
        <v>151399.01999999999</v>
      </c>
      <c r="AL86" s="170">
        <v>0.9999935270805812</v>
      </c>
    </row>
    <row r="87" spans="1:38" ht="21" customHeight="1" x14ac:dyDescent="0.3">
      <c r="A87" s="253" t="s">
        <v>276</v>
      </c>
      <c r="B87" s="254" t="str">
        <f>VLOOKUP(A87,saīsinājumi_LV_ENG!A:G,5,FALSE)</f>
        <v xml:space="preserve">Atkritumu pārstrāde </v>
      </c>
      <c r="C87" s="10" t="s">
        <v>404</v>
      </c>
      <c r="D87" s="42"/>
      <c r="E87" s="33" t="str">
        <f>Pasākumu_līmenis!D60</f>
        <v>KF</v>
      </c>
      <c r="F87" s="38" t="str">
        <f>Pasākumu_līmenis!E60</f>
        <v>VARAM</v>
      </c>
      <c r="G87" s="278" t="str">
        <f>VLOOKUP(A87,'2. Intervences kategorijas - Pa'!B:D,2,FALSE)</f>
        <v>06 - Saglabāt un aizsargāt vidi un uzlabot resursu izmantošanas efektivitāti</v>
      </c>
      <c r="H87" s="169">
        <f>Pasākumu_līmenis!F60</f>
        <v>46435671</v>
      </c>
      <c r="I87" s="169">
        <f>Pasākumu_līmenis!G60</f>
        <v>17482183</v>
      </c>
      <c r="J87" s="169">
        <f>Pasākumu_līmenis!H60</f>
        <v>63917854</v>
      </c>
      <c r="K87" s="169">
        <f>Pasākumu_līmenis!I60</f>
        <v>0</v>
      </c>
      <c r="L87" s="169">
        <f>Pasākumu_līmenis!J60</f>
        <v>62563116.609999999</v>
      </c>
      <c r="M87" s="170">
        <f t="shared" si="65"/>
        <v>1.3473072588958606</v>
      </c>
      <c r="N87" s="170">
        <f t="shared" si="61"/>
        <v>0</v>
      </c>
      <c r="O87" s="170">
        <f t="shared" si="66"/>
        <v>0</v>
      </c>
      <c r="P87" s="169">
        <f>Pasākumu_līmenis!N60</f>
        <v>12</v>
      </c>
      <c r="Q87" s="169">
        <v>62563116.609999999</v>
      </c>
      <c r="R87" s="170">
        <v>1.3473072588958606</v>
      </c>
      <c r="S87" s="169">
        <f>Pasākumu_līmenis!Q60</f>
        <v>62563116.609999999</v>
      </c>
      <c r="T87" s="170">
        <f t="shared" si="67"/>
        <v>1.3473072588958606</v>
      </c>
      <c r="U87" s="170">
        <f t="shared" si="62"/>
        <v>0</v>
      </c>
      <c r="V87" s="170">
        <f t="shared" si="68"/>
        <v>0</v>
      </c>
      <c r="W87" s="169">
        <f>Pasākumu_līmenis!U60</f>
        <v>12</v>
      </c>
      <c r="X87" s="169">
        <v>62563116.609999999</v>
      </c>
      <c r="Y87" s="170">
        <v>1.3473072588958606</v>
      </c>
      <c r="Z87" s="169">
        <f>Pasākumu_līmenis!X60</f>
        <v>62563116.609999999</v>
      </c>
      <c r="AA87" s="170">
        <f t="shared" si="69"/>
        <v>1.3473072588958606</v>
      </c>
      <c r="AB87" s="170">
        <f t="shared" si="63"/>
        <v>0</v>
      </c>
      <c r="AC87" s="170">
        <f t="shared" si="59"/>
        <v>0</v>
      </c>
      <c r="AD87" s="169">
        <f>Pasākumu_līmenis!AB60</f>
        <v>12</v>
      </c>
      <c r="AE87" s="169">
        <v>62563116.609999999</v>
      </c>
      <c r="AF87" s="170">
        <v>1.3473072588958606</v>
      </c>
      <c r="AG87" s="169">
        <f>Pasākumu_līmenis!AE60</f>
        <v>62563116.609999999</v>
      </c>
      <c r="AH87" s="170">
        <f t="shared" si="70"/>
        <v>1.3473072588958606</v>
      </c>
      <c r="AI87" s="170">
        <f t="shared" si="64"/>
        <v>0</v>
      </c>
      <c r="AJ87" s="170">
        <f t="shared" si="60"/>
        <v>0</v>
      </c>
      <c r="AK87" s="169">
        <v>62563116.609999999</v>
      </c>
      <c r="AL87" s="170">
        <v>1.3473072588958606</v>
      </c>
    </row>
    <row r="88" spans="1:38" ht="21" customHeight="1" x14ac:dyDescent="0.3">
      <c r="A88" s="253" t="s">
        <v>405</v>
      </c>
      <c r="B88" s="254" t="str">
        <f>VLOOKUP(A88,saīsinājumi_LV_ENG!A:G,5,FALSE)</f>
        <v>Atkritumu reģenerācija</v>
      </c>
      <c r="C88" s="10" t="s">
        <v>403</v>
      </c>
      <c r="D88" s="42"/>
      <c r="E88" s="33" t="str">
        <f>Pasākumu_līmenis!D61</f>
        <v>KF</v>
      </c>
      <c r="F88" s="38" t="str">
        <f>Pasākumu_līmenis!E61</f>
        <v>VARAM</v>
      </c>
      <c r="G88" s="278" t="str">
        <f>VLOOKUP(A88,'2. Intervences kategorijas - Pa'!B:D,2,FALSE)</f>
        <v>06 - Saglabāt un aizsargāt vidi un uzlabot resursu izmantošanas efektivitāti</v>
      </c>
      <c r="H88" s="169">
        <f>Pasākumu_līmenis!F61</f>
        <v>9184249</v>
      </c>
      <c r="I88" s="169">
        <f>Pasākumu_līmenis!G61</f>
        <v>0</v>
      </c>
      <c r="J88" s="169">
        <f>Pasākumu_līmenis!H61</f>
        <v>9184249</v>
      </c>
      <c r="K88" s="169">
        <f>Pasākumu_līmenis!I61</f>
        <v>0</v>
      </c>
      <c r="L88" s="169">
        <f>Pasākumu_līmenis!J61</f>
        <v>9184249</v>
      </c>
      <c r="M88" s="170">
        <f>L88/$H88</f>
        <v>1</v>
      </c>
      <c r="N88" s="170">
        <f>M88-R88</f>
        <v>0</v>
      </c>
      <c r="O88" s="170">
        <f t="shared" si="66"/>
        <v>0</v>
      </c>
      <c r="P88" s="169">
        <f>Pasākumu_līmenis!N61</f>
        <v>1</v>
      </c>
      <c r="Q88" s="169">
        <v>9184249</v>
      </c>
      <c r="R88" s="170">
        <v>1</v>
      </c>
      <c r="S88" s="169">
        <f>Pasākumu_līmenis!Q61</f>
        <v>9184249</v>
      </c>
      <c r="T88" s="170">
        <f>S88/$H88</f>
        <v>1</v>
      </c>
      <c r="U88" s="170">
        <f>T88-Y88</f>
        <v>0</v>
      </c>
      <c r="V88" s="170">
        <f t="shared" si="68"/>
        <v>0</v>
      </c>
      <c r="W88" s="169">
        <f>Pasākumu_līmenis!U61</f>
        <v>1</v>
      </c>
      <c r="X88" s="169">
        <v>9184249</v>
      </c>
      <c r="Y88" s="170">
        <v>1</v>
      </c>
      <c r="Z88" s="169">
        <f>Pasākumu_līmenis!X61</f>
        <v>9184249</v>
      </c>
      <c r="AA88" s="170">
        <f>Z88/$H88</f>
        <v>1</v>
      </c>
      <c r="AB88" s="170">
        <f>AA88-AF88</f>
        <v>0</v>
      </c>
      <c r="AC88" s="170">
        <f t="shared" si="59"/>
        <v>0</v>
      </c>
      <c r="AD88" s="169">
        <f>Pasākumu_līmenis!AB61</f>
        <v>1</v>
      </c>
      <c r="AE88" s="169">
        <v>9184249</v>
      </c>
      <c r="AF88" s="170">
        <v>1</v>
      </c>
      <c r="AG88" s="169">
        <f>Pasākumu_līmenis!AE61</f>
        <v>9184249</v>
      </c>
      <c r="AH88" s="170">
        <f>AG88/$H88</f>
        <v>1</v>
      </c>
      <c r="AI88" s="170">
        <f>AH88-AL88</f>
        <v>0</v>
      </c>
      <c r="AJ88" s="170">
        <f t="shared" si="60"/>
        <v>0</v>
      </c>
      <c r="AK88" s="169">
        <v>9184249</v>
      </c>
      <c r="AL88" s="170">
        <v>1</v>
      </c>
    </row>
    <row r="89" spans="1:38" ht="77.25" customHeight="1" x14ac:dyDescent="0.3">
      <c r="A89" s="249" t="s">
        <v>54</v>
      </c>
      <c r="B89" s="250" t="str">
        <f>VLOOKUP(A89,saīsinājumi_LV_ENG!A:G,5,FALSE)</f>
        <v>Investēt ūdenssaimniecības nozarē, lai ievērotu Savienības acquis noteiktās prasības vides jomā</v>
      </c>
      <c r="C89" s="215" t="s">
        <v>62</v>
      </c>
      <c r="D89" s="216" t="str">
        <f>IFERROR(IF((VLOOKUP(A89,Pasākumu_līmenis!A:H,3,0))=0,"",VLOOKUP(A89,Pasākumu_līmenis!A:H,3,0)),"")</f>
        <v/>
      </c>
      <c r="E89" s="234"/>
      <c r="F89" s="217"/>
      <c r="G89" s="276"/>
      <c r="H89" s="218">
        <f>H90</f>
        <v>102562507</v>
      </c>
      <c r="I89" s="218">
        <f>I90</f>
        <v>0</v>
      </c>
      <c r="J89" s="218">
        <f>J90</f>
        <v>102562507</v>
      </c>
      <c r="K89" s="218">
        <f>K90</f>
        <v>0</v>
      </c>
      <c r="L89" s="218">
        <f>L90</f>
        <v>101505926.48999999</v>
      </c>
      <c r="M89" s="219">
        <f t="shared" si="65"/>
        <v>0.98969817976465801</v>
      </c>
      <c r="N89" s="219">
        <f t="shared" si="61"/>
        <v>0</v>
      </c>
      <c r="O89" s="219">
        <f t="shared" si="66"/>
        <v>0</v>
      </c>
      <c r="P89" s="218">
        <f>P90</f>
        <v>47</v>
      </c>
      <c r="Q89" s="218">
        <v>101505926.48999999</v>
      </c>
      <c r="R89" s="219">
        <v>0.98969817976465801</v>
      </c>
      <c r="S89" s="218">
        <f>S90</f>
        <v>101505926.48999999</v>
      </c>
      <c r="T89" s="219">
        <f t="shared" si="67"/>
        <v>0.98969817976465801</v>
      </c>
      <c r="U89" s="219">
        <f t="shared" si="62"/>
        <v>0</v>
      </c>
      <c r="V89" s="219">
        <f t="shared" si="68"/>
        <v>0</v>
      </c>
      <c r="W89" s="218">
        <f>W90</f>
        <v>47</v>
      </c>
      <c r="X89" s="218">
        <v>101505926.48999999</v>
      </c>
      <c r="Y89" s="219">
        <v>0.98969817976465801</v>
      </c>
      <c r="Z89" s="218">
        <f>Z90</f>
        <v>101505926.48999999</v>
      </c>
      <c r="AA89" s="219">
        <f t="shared" si="69"/>
        <v>0.98969817976465801</v>
      </c>
      <c r="AB89" s="219">
        <f t="shared" si="63"/>
        <v>0</v>
      </c>
      <c r="AC89" s="219">
        <f t="shared" si="59"/>
        <v>0</v>
      </c>
      <c r="AD89" s="218">
        <f>AD90</f>
        <v>47</v>
      </c>
      <c r="AE89" s="218">
        <v>101505926.48999999</v>
      </c>
      <c r="AF89" s="219">
        <v>0.98969817976465801</v>
      </c>
      <c r="AG89" s="218">
        <f>AG90</f>
        <v>101207903.51000001</v>
      </c>
      <c r="AH89" s="219">
        <f t="shared" si="70"/>
        <v>0.98679241050533217</v>
      </c>
      <c r="AI89" s="219">
        <f t="shared" si="64"/>
        <v>0</v>
      </c>
      <c r="AJ89" s="219">
        <f t="shared" si="60"/>
        <v>0</v>
      </c>
      <c r="AK89" s="218">
        <v>101207903.51000001</v>
      </c>
      <c r="AL89" s="219">
        <v>0.98679241050533217</v>
      </c>
    </row>
    <row r="90" spans="1:38" ht="21" customHeight="1" x14ac:dyDescent="0.3">
      <c r="A90" s="255" t="s">
        <v>277</v>
      </c>
      <c r="B90" s="254" t="str">
        <f>VLOOKUP(A90,saīsinājumi_LV_ENG!A:G,5,FALSE)</f>
        <v>Ūdenssaimniecība</v>
      </c>
      <c r="C90" s="10" t="s">
        <v>63</v>
      </c>
      <c r="D90" s="42"/>
      <c r="E90" s="33" t="str">
        <f>Pasākumu_līmenis!D62</f>
        <v>KF</v>
      </c>
      <c r="F90" s="38" t="str">
        <f>Pasākumu_līmenis!E62</f>
        <v>VARAM</v>
      </c>
      <c r="G90" s="278" t="str">
        <f>VLOOKUP(A90,'2. Intervences kategorijas - Pa'!B:D,2,FALSE)</f>
        <v>06 - Saglabāt un aizsargāt vidi un uzlabot resursu izmantošanas efektivitāti</v>
      </c>
      <c r="H90" s="169">
        <f>Pasākumu_līmenis!F62</f>
        <v>102562507</v>
      </c>
      <c r="I90" s="169">
        <f>Pasākumu_līmenis!G62</f>
        <v>0</v>
      </c>
      <c r="J90" s="169">
        <f>Pasākumu_līmenis!H62</f>
        <v>102562507</v>
      </c>
      <c r="K90" s="169">
        <f>Pasākumu_līmenis!I62</f>
        <v>0</v>
      </c>
      <c r="L90" s="169">
        <f>Pasākumu_līmenis!J62</f>
        <v>101505926.48999999</v>
      </c>
      <c r="M90" s="170">
        <f t="shared" si="65"/>
        <v>0.98969817976465801</v>
      </c>
      <c r="N90" s="170">
        <f t="shared" si="61"/>
        <v>0</v>
      </c>
      <c r="O90" s="170">
        <f t="shared" si="66"/>
        <v>0</v>
      </c>
      <c r="P90" s="169">
        <f>Pasākumu_līmenis!N62</f>
        <v>47</v>
      </c>
      <c r="Q90" s="169">
        <v>101505926.48999999</v>
      </c>
      <c r="R90" s="170">
        <v>0.98969817976465801</v>
      </c>
      <c r="S90" s="169">
        <f>Pasākumu_līmenis!Q62</f>
        <v>101505926.48999999</v>
      </c>
      <c r="T90" s="170">
        <f t="shared" si="67"/>
        <v>0.98969817976465801</v>
      </c>
      <c r="U90" s="170">
        <f t="shared" si="62"/>
        <v>0</v>
      </c>
      <c r="V90" s="170">
        <f t="shared" si="68"/>
        <v>0</v>
      </c>
      <c r="W90" s="169">
        <f>Pasākumu_līmenis!U62</f>
        <v>47</v>
      </c>
      <c r="X90" s="169">
        <v>101505926.48999999</v>
      </c>
      <c r="Y90" s="170">
        <v>0.98969817976465801</v>
      </c>
      <c r="Z90" s="169">
        <f>Pasākumu_līmenis!X62</f>
        <v>101505926.48999999</v>
      </c>
      <c r="AA90" s="170">
        <f t="shared" si="69"/>
        <v>0.98969817976465801</v>
      </c>
      <c r="AB90" s="170">
        <f t="shared" si="63"/>
        <v>0</v>
      </c>
      <c r="AC90" s="170">
        <f t="shared" si="59"/>
        <v>0</v>
      </c>
      <c r="AD90" s="169">
        <f>Pasākumu_līmenis!AB62</f>
        <v>47</v>
      </c>
      <c r="AE90" s="169">
        <v>101505926.48999999</v>
      </c>
      <c r="AF90" s="170">
        <v>0.98969817976465801</v>
      </c>
      <c r="AG90" s="169">
        <f>Pasākumu_līmenis!AE62</f>
        <v>101207903.51000001</v>
      </c>
      <c r="AH90" s="170">
        <f t="shared" si="70"/>
        <v>0.98679241050533217</v>
      </c>
      <c r="AI90" s="170">
        <f t="shared" si="64"/>
        <v>0</v>
      </c>
      <c r="AJ90" s="170">
        <f t="shared" si="60"/>
        <v>0</v>
      </c>
      <c r="AK90" s="169">
        <v>101207903.51000001</v>
      </c>
      <c r="AL90" s="170">
        <v>0.98679241050533217</v>
      </c>
    </row>
    <row r="91" spans="1:38" ht="39.75" customHeight="1" x14ac:dyDescent="0.3">
      <c r="A91" s="249" t="s">
        <v>55</v>
      </c>
      <c r="B91" s="250" t="str">
        <f>VLOOKUP(A91,saīsinājumi_LV_ENG!A:G,5,FALSE)</f>
        <v>Bioloģiskās daudzveidības atjaunošana un aizsargāšana</v>
      </c>
      <c r="C91" s="215" t="s">
        <v>64</v>
      </c>
      <c r="D91" s="216" t="str">
        <f>IFERROR(IF((VLOOKUP(A91,Pasākumu_līmenis!A:H,3,0))=0,"",VLOOKUP(A91,Pasākumu_līmenis!A:H,3,0)),"")</f>
        <v/>
      </c>
      <c r="E91" s="234"/>
      <c r="F91" s="217"/>
      <c r="G91" s="276"/>
      <c r="H91" s="218">
        <f>H92+H94+H97</f>
        <v>35602659</v>
      </c>
      <c r="I91" s="218">
        <f>I92+I94+I97</f>
        <v>0</v>
      </c>
      <c r="J91" s="218">
        <f>J92+J94+J97</f>
        <v>35602659</v>
      </c>
      <c r="K91" s="218">
        <f>K92+K94+K98</f>
        <v>2289729</v>
      </c>
      <c r="L91" s="218">
        <f>L92+L94+L97</f>
        <v>34973053.940000005</v>
      </c>
      <c r="M91" s="219">
        <f t="shared" si="65"/>
        <v>0.98231578545860876</v>
      </c>
      <c r="N91" s="219">
        <f t="shared" si="61"/>
        <v>0</v>
      </c>
      <c r="O91" s="219">
        <f t="shared" si="66"/>
        <v>0</v>
      </c>
      <c r="P91" s="218">
        <f>P92+P94+P97</f>
        <v>25</v>
      </c>
      <c r="Q91" s="218">
        <v>34973053.940000005</v>
      </c>
      <c r="R91" s="219">
        <v>0.98231578545860876</v>
      </c>
      <c r="S91" s="218">
        <f>S92+S94+S97</f>
        <v>34973053.940000005</v>
      </c>
      <c r="T91" s="219">
        <f t="shared" si="67"/>
        <v>0.98231578545860876</v>
      </c>
      <c r="U91" s="219">
        <f t="shared" si="62"/>
        <v>0</v>
      </c>
      <c r="V91" s="219">
        <f t="shared" si="68"/>
        <v>0</v>
      </c>
      <c r="W91" s="218">
        <f>W92+W94+W97</f>
        <v>25</v>
      </c>
      <c r="X91" s="218">
        <v>34973053.940000005</v>
      </c>
      <c r="Y91" s="219">
        <v>0.98231578545860876</v>
      </c>
      <c r="Z91" s="218">
        <f>Z92+Z94+Z97</f>
        <v>34973053.940000005</v>
      </c>
      <c r="AA91" s="219">
        <f t="shared" si="69"/>
        <v>0.98231578545860876</v>
      </c>
      <c r="AB91" s="219">
        <f t="shared" si="63"/>
        <v>0</v>
      </c>
      <c r="AC91" s="219">
        <f t="shared" si="59"/>
        <v>0</v>
      </c>
      <c r="AD91" s="218">
        <f>AD92+AD94+AD97</f>
        <v>25</v>
      </c>
      <c r="AE91" s="218">
        <v>34973053.940000005</v>
      </c>
      <c r="AF91" s="219">
        <v>0.98231578545860876</v>
      </c>
      <c r="AG91" s="218">
        <f>AG92+AG94+AG97</f>
        <v>34973053.940000005</v>
      </c>
      <c r="AH91" s="219">
        <f t="shared" si="70"/>
        <v>0.98231578545860876</v>
      </c>
      <c r="AI91" s="219">
        <f t="shared" si="64"/>
        <v>0</v>
      </c>
      <c r="AJ91" s="219">
        <f t="shared" si="60"/>
        <v>0</v>
      </c>
      <c r="AK91" s="218">
        <v>34973053.940000005</v>
      </c>
      <c r="AL91" s="219">
        <v>0.98231578545860876</v>
      </c>
    </row>
    <row r="92" spans="1:38" ht="21" customHeight="1" x14ac:dyDescent="0.3">
      <c r="A92" s="251" t="s">
        <v>438</v>
      </c>
      <c r="B92" s="252" t="str">
        <f>VLOOKUP(A92,saīsinājumi_LV_ENG!A:G,5,FALSE)</f>
        <v>Bioloģiskā daudzveidība</v>
      </c>
      <c r="C92" s="220" t="s">
        <v>65</v>
      </c>
      <c r="D92" s="221" t="str">
        <f>IFERROR(IF((VLOOKUP(A92,Pasākumu_līmenis!A:H,3,0))=0,"",VLOOKUP(A92,Pasākumu_līmenis!A:H,3,0)),"")</f>
        <v/>
      </c>
      <c r="E92" s="233"/>
      <c r="F92" s="222"/>
      <c r="G92" s="277"/>
      <c r="H92" s="223">
        <f>SUM(H93:H93)</f>
        <v>3072721</v>
      </c>
      <c r="I92" s="223">
        <f>SUM(I93:I93)</f>
        <v>0</v>
      </c>
      <c r="J92" s="223">
        <f>SUM(J93:J93)</f>
        <v>3072721</v>
      </c>
      <c r="K92" s="223">
        <f>SUM(K93:K93)</f>
        <v>0</v>
      </c>
      <c r="L92" s="223">
        <f>SUM(L93:L93)</f>
        <v>3072720.94</v>
      </c>
      <c r="M92" s="224">
        <f t="shared" si="65"/>
        <v>0.99999998047333294</v>
      </c>
      <c r="N92" s="224">
        <f t="shared" si="61"/>
        <v>0</v>
      </c>
      <c r="O92" s="224">
        <f t="shared" si="66"/>
        <v>0</v>
      </c>
      <c r="P92" s="223">
        <f>SUM(P93:P93)</f>
        <v>13</v>
      </c>
      <c r="Q92" s="223">
        <v>3072720.94</v>
      </c>
      <c r="R92" s="224">
        <v>0.99999998047333294</v>
      </c>
      <c r="S92" s="223">
        <f>SUM(S93:S93)</f>
        <v>3072720.94</v>
      </c>
      <c r="T92" s="224">
        <f t="shared" si="67"/>
        <v>0.99999998047333294</v>
      </c>
      <c r="U92" s="224">
        <f t="shared" si="62"/>
        <v>0</v>
      </c>
      <c r="V92" s="224">
        <f t="shared" si="68"/>
        <v>0</v>
      </c>
      <c r="W92" s="223">
        <f>SUM(W93:W93)</f>
        <v>13</v>
      </c>
      <c r="X92" s="223">
        <v>3072720.94</v>
      </c>
      <c r="Y92" s="224">
        <v>0.99999998047333294</v>
      </c>
      <c r="Z92" s="223">
        <f>SUM(Z93:Z93)</f>
        <v>3072720.94</v>
      </c>
      <c r="AA92" s="224">
        <f t="shared" si="69"/>
        <v>0.99999998047333294</v>
      </c>
      <c r="AB92" s="224">
        <f t="shared" si="63"/>
        <v>0</v>
      </c>
      <c r="AC92" s="224">
        <f t="shared" si="59"/>
        <v>0</v>
      </c>
      <c r="AD92" s="223">
        <f>SUM(AD93:AD93)</f>
        <v>13</v>
      </c>
      <c r="AE92" s="223">
        <v>3072720.94</v>
      </c>
      <c r="AF92" s="224">
        <v>0.99999998047333294</v>
      </c>
      <c r="AG92" s="223">
        <f>SUM(AG93:AG93)</f>
        <v>3072720.94</v>
      </c>
      <c r="AH92" s="224">
        <f t="shared" si="70"/>
        <v>0.99999998047333294</v>
      </c>
      <c r="AI92" s="224">
        <f t="shared" si="64"/>
        <v>0</v>
      </c>
      <c r="AJ92" s="224">
        <f t="shared" si="60"/>
        <v>0</v>
      </c>
      <c r="AK92" s="223">
        <v>3072720.94</v>
      </c>
      <c r="AL92" s="224">
        <v>0.99999998047333294</v>
      </c>
    </row>
    <row r="93" spans="1:38" ht="39.75" customHeight="1" x14ac:dyDescent="0.3">
      <c r="A93" s="253" t="s">
        <v>278</v>
      </c>
      <c r="B93" s="254" t="str">
        <f>VLOOKUP(A93,saīsinājumi_LV_ENG!A:G,5,FALSE)</f>
        <v>Infrastruktūra Natura 2000 teritorijās</v>
      </c>
      <c r="C93" s="10" t="s">
        <v>188</v>
      </c>
      <c r="D93" s="42"/>
      <c r="E93" s="33" t="str">
        <f>Pasākumu_līmenis!D63</f>
        <v>ERAF</v>
      </c>
      <c r="F93" s="38" t="str">
        <f>Pasākumu_līmenis!E63</f>
        <v>VARAM</v>
      </c>
      <c r="G93" s="278" t="str">
        <f>VLOOKUP(A93,'2. Intervences kategorijas - Pa'!B:D,2,FALSE)</f>
        <v>06 - Saglabāt un aizsargāt vidi un uzlabot resursu izmantošanas efektivitāti</v>
      </c>
      <c r="H93" s="169">
        <f>Pasākumu_līmenis!F63</f>
        <v>3072721</v>
      </c>
      <c r="I93" s="169">
        <f>Pasākumu_līmenis!G63</f>
        <v>0</v>
      </c>
      <c r="J93" s="169">
        <f>Pasākumu_līmenis!H63</f>
        <v>3072721</v>
      </c>
      <c r="K93" s="169">
        <f>Pasākumu_līmenis!I63</f>
        <v>0</v>
      </c>
      <c r="L93" s="169">
        <f>Pasākumu_līmenis!J63</f>
        <v>3072720.94</v>
      </c>
      <c r="M93" s="170">
        <f t="shared" si="65"/>
        <v>0.99999998047333294</v>
      </c>
      <c r="N93" s="170">
        <f t="shared" si="61"/>
        <v>0</v>
      </c>
      <c r="O93" s="170">
        <f t="shared" si="66"/>
        <v>0</v>
      </c>
      <c r="P93" s="169">
        <f>Pasākumu_līmenis!N63</f>
        <v>13</v>
      </c>
      <c r="Q93" s="169">
        <v>3072720.94</v>
      </c>
      <c r="R93" s="170">
        <v>0.99999998047333294</v>
      </c>
      <c r="S93" s="169">
        <f>Pasākumu_līmenis!Q63</f>
        <v>3072720.94</v>
      </c>
      <c r="T93" s="170">
        <f t="shared" si="67"/>
        <v>0.99999998047333294</v>
      </c>
      <c r="U93" s="170">
        <f t="shared" si="62"/>
        <v>0</v>
      </c>
      <c r="V93" s="170">
        <f t="shared" si="68"/>
        <v>0</v>
      </c>
      <c r="W93" s="169">
        <f>Pasākumu_līmenis!U63</f>
        <v>13</v>
      </c>
      <c r="X93" s="169">
        <v>3072720.94</v>
      </c>
      <c r="Y93" s="170">
        <v>0.99999998047333294</v>
      </c>
      <c r="Z93" s="169">
        <f>Pasākumu_līmenis!X63</f>
        <v>3072720.94</v>
      </c>
      <c r="AA93" s="170">
        <f t="shared" si="69"/>
        <v>0.99999998047333294</v>
      </c>
      <c r="AB93" s="170">
        <f t="shared" si="63"/>
        <v>0</v>
      </c>
      <c r="AC93" s="170">
        <f t="shared" si="59"/>
        <v>0</v>
      </c>
      <c r="AD93" s="169">
        <f>Pasākumu_līmenis!AB63</f>
        <v>13</v>
      </c>
      <c r="AE93" s="169">
        <v>3072720.94</v>
      </c>
      <c r="AF93" s="170">
        <v>0.99999998047333294</v>
      </c>
      <c r="AG93" s="169">
        <f>Pasākumu_līmenis!AE63</f>
        <v>3072720.94</v>
      </c>
      <c r="AH93" s="170">
        <f t="shared" si="70"/>
        <v>0.99999998047333294</v>
      </c>
      <c r="AI93" s="170">
        <f t="shared" si="64"/>
        <v>0</v>
      </c>
      <c r="AJ93" s="170">
        <f t="shared" si="60"/>
        <v>0</v>
      </c>
      <c r="AK93" s="169">
        <v>3072720.94</v>
      </c>
      <c r="AL93" s="170">
        <v>0.99999998047333294</v>
      </c>
    </row>
    <row r="94" spans="1:38" ht="39.75" customHeight="1" x14ac:dyDescent="0.3">
      <c r="A94" s="251" t="s">
        <v>439</v>
      </c>
      <c r="B94" s="252" t="str">
        <f>VLOOKUP(A94,saīsinājumi_LV_ENG!A:G,5,FALSE)</f>
        <v>Vides monitorings un vides risku novēršana</v>
      </c>
      <c r="C94" s="220" t="s">
        <v>66</v>
      </c>
      <c r="D94" s="221" t="str">
        <f>IFERROR(IF((VLOOKUP(A94,Pasākumu_līmenis!A:H,3,0))=0,"",VLOOKUP(A94,Pasākumu_līmenis!A:H,3,0)),"")</f>
        <v/>
      </c>
      <c r="E94" s="233"/>
      <c r="F94" s="222"/>
      <c r="G94" s="277"/>
      <c r="H94" s="223">
        <f>SUM(H95:H96)</f>
        <v>26224830</v>
      </c>
      <c r="I94" s="223">
        <f>SUM(I95:I96)</f>
        <v>0</v>
      </c>
      <c r="J94" s="223">
        <f>SUM(J95:J96)</f>
        <v>26224830</v>
      </c>
      <c r="K94" s="223">
        <f>SUM(K95:K96)</f>
        <v>2289729</v>
      </c>
      <c r="L94" s="223">
        <f>SUM(L95:L96)</f>
        <v>26102930.060000002</v>
      </c>
      <c r="M94" s="224">
        <f t="shared" si="65"/>
        <v>0.99535173574051772</v>
      </c>
      <c r="N94" s="224">
        <f t="shared" si="61"/>
        <v>0</v>
      </c>
      <c r="O94" s="224">
        <f t="shared" si="66"/>
        <v>0</v>
      </c>
      <c r="P94" s="223">
        <f>SUM(P95:P96)</f>
        <v>5</v>
      </c>
      <c r="Q94" s="223">
        <v>26102930.060000002</v>
      </c>
      <c r="R94" s="224">
        <v>0.99535173574051772</v>
      </c>
      <c r="S94" s="223">
        <f>SUM(S95:S96)</f>
        <v>26102930.060000002</v>
      </c>
      <c r="T94" s="224">
        <f t="shared" si="67"/>
        <v>0.99535173574051772</v>
      </c>
      <c r="U94" s="224">
        <f t="shared" si="62"/>
        <v>0</v>
      </c>
      <c r="V94" s="224">
        <f t="shared" si="68"/>
        <v>0</v>
      </c>
      <c r="W94" s="223">
        <f>SUM(W95:W96)</f>
        <v>5</v>
      </c>
      <c r="X94" s="223">
        <v>26102930.060000002</v>
      </c>
      <c r="Y94" s="224">
        <v>0.99535173574051772</v>
      </c>
      <c r="Z94" s="223">
        <f>SUM(Z95:Z96)</f>
        <v>26102930.060000002</v>
      </c>
      <c r="AA94" s="224">
        <f t="shared" si="69"/>
        <v>0.99535173574051772</v>
      </c>
      <c r="AB94" s="224">
        <f t="shared" si="63"/>
        <v>0</v>
      </c>
      <c r="AC94" s="224">
        <f t="shared" si="59"/>
        <v>0</v>
      </c>
      <c r="AD94" s="223">
        <f>SUM(AD95:AD96)</f>
        <v>5</v>
      </c>
      <c r="AE94" s="223">
        <v>26102930.060000002</v>
      </c>
      <c r="AF94" s="224">
        <v>0.99535173574051772</v>
      </c>
      <c r="AG94" s="223">
        <f>SUM(AG95:AG96)</f>
        <v>26102930.060000002</v>
      </c>
      <c r="AH94" s="224">
        <f t="shared" si="70"/>
        <v>0.99535173574051772</v>
      </c>
      <c r="AI94" s="224">
        <f t="shared" si="64"/>
        <v>0</v>
      </c>
      <c r="AJ94" s="224">
        <f t="shared" si="60"/>
        <v>0</v>
      </c>
      <c r="AK94" s="223">
        <v>26102930.060000002</v>
      </c>
      <c r="AL94" s="224">
        <v>0.99535173574051772</v>
      </c>
    </row>
    <row r="95" spans="1:38" ht="21" customHeight="1" x14ac:dyDescent="0.3">
      <c r="A95" s="253" t="s">
        <v>279</v>
      </c>
      <c r="B95" s="254" t="str">
        <f>VLOOKUP(A95,saīsinājumi_LV_ENG!A:G,5,FALSE)</f>
        <v>Biotopu un sugu kartēšana</v>
      </c>
      <c r="C95" s="10" t="s">
        <v>190</v>
      </c>
      <c r="D95" s="42"/>
      <c r="E95" s="33" t="str">
        <f>Pasākumu_līmenis!D64</f>
        <v>KF</v>
      </c>
      <c r="F95" s="38" t="str">
        <f>Pasākumu_līmenis!E64</f>
        <v>VARAM</v>
      </c>
      <c r="G95" s="278" t="str">
        <f>VLOOKUP(A95,'2. Intervences kategorijas - Pa'!B:D,2,FALSE)</f>
        <v>06 - Saglabāt un aizsargāt vidi un uzlabot resursu izmantošanas efektivitāti</v>
      </c>
      <c r="H95" s="169">
        <f>Pasākumu_līmenis!F64</f>
        <v>8723624</v>
      </c>
      <c r="I95" s="169">
        <f>Pasākumu_līmenis!G64</f>
        <v>0</v>
      </c>
      <c r="J95" s="169">
        <f>Pasākumu_līmenis!H64</f>
        <v>8723624</v>
      </c>
      <c r="K95" s="169">
        <f>Pasākumu_līmenis!I64</f>
        <v>0</v>
      </c>
      <c r="L95" s="169">
        <f>Pasākumu_līmenis!J64</f>
        <v>8720098.6199999992</v>
      </c>
      <c r="M95" s="170">
        <f t="shared" si="65"/>
        <v>0.99959588125302046</v>
      </c>
      <c r="N95" s="170">
        <f t="shared" si="61"/>
        <v>0</v>
      </c>
      <c r="O95" s="170">
        <f t="shared" si="66"/>
        <v>0</v>
      </c>
      <c r="P95" s="169">
        <f>Pasākumu_līmenis!N64</f>
        <v>1</v>
      </c>
      <c r="Q95" s="169">
        <v>8720098.6199999992</v>
      </c>
      <c r="R95" s="170">
        <v>0.99959588125302046</v>
      </c>
      <c r="S95" s="169">
        <f>Pasākumu_līmenis!Q64</f>
        <v>8720098.6199999992</v>
      </c>
      <c r="T95" s="170">
        <f t="shared" si="67"/>
        <v>0.99959588125302046</v>
      </c>
      <c r="U95" s="170">
        <f t="shared" si="62"/>
        <v>0</v>
      </c>
      <c r="V95" s="170">
        <f t="shared" si="68"/>
        <v>0</v>
      </c>
      <c r="W95" s="169">
        <f>Pasākumu_līmenis!U64</f>
        <v>1</v>
      </c>
      <c r="X95" s="169">
        <v>8720098.6199999992</v>
      </c>
      <c r="Y95" s="170">
        <v>0.99959588125302046</v>
      </c>
      <c r="Z95" s="169">
        <f>Pasākumu_līmenis!X64</f>
        <v>8720098.6199999992</v>
      </c>
      <c r="AA95" s="170">
        <f t="shared" si="69"/>
        <v>0.99959588125302046</v>
      </c>
      <c r="AB95" s="170">
        <f t="shared" si="63"/>
        <v>0</v>
      </c>
      <c r="AC95" s="170">
        <f t="shared" si="59"/>
        <v>0</v>
      </c>
      <c r="AD95" s="169">
        <f>Pasākumu_līmenis!AB64</f>
        <v>1</v>
      </c>
      <c r="AE95" s="169">
        <v>8720098.6199999992</v>
      </c>
      <c r="AF95" s="170">
        <v>0.99959588125302046</v>
      </c>
      <c r="AG95" s="169">
        <f>Pasākumu_līmenis!AE64</f>
        <v>8720098.6199999992</v>
      </c>
      <c r="AH95" s="170">
        <f t="shared" si="70"/>
        <v>0.99959588125302046</v>
      </c>
      <c r="AI95" s="170">
        <f t="shared" si="64"/>
        <v>0</v>
      </c>
      <c r="AJ95" s="170">
        <f t="shared" si="60"/>
        <v>0</v>
      </c>
      <c r="AK95" s="169">
        <v>8720098.6199999992</v>
      </c>
      <c r="AL95" s="170">
        <v>0.99959588125302046</v>
      </c>
    </row>
    <row r="96" spans="1:38" ht="21" customHeight="1" x14ac:dyDescent="0.3">
      <c r="A96" s="253" t="s">
        <v>280</v>
      </c>
      <c r="B96" s="254" t="str">
        <f>VLOOKUP(A96,saīsinājumi_LV_ENG!A:G,5,FALSE)</f>
        <v>Vides monitorings</v>
      </c>
      <c r="C96" s="10" t="s">
        <v>191</v>
      </c>
      <c r="D96" s="42"/>
      <c r="E96" s="33" t="str">
        <f>Pasākumu_līmenis!D65</f>
        <v>KF</v>
      </c>
      <c r="F96" s="38" t="str">
        <f>Pasākumu_līmenis!E65</f>
        <v>VARAM</v>
      </c>
      <c r="G96" s="278" t="str">
        <f>VLOOKUP(A96,'2. Intervences kategorijas - Pa'!B:D,2,FALSE)</f>
        <v>06 - Saglabāt un aizsargāt vidi un uzlabot resursu izmantošanas efektivitāti</v>
      </c>
      <c r="H96" s="169">
        <f>Pasākumu_līmenis!F65</f>
        <v>17501206</v>
      </c>
      <c r="I96" s="169">
        <f>Pasākumu_līmenis!G65</f>
        <v>0</v>
      </c>
      <c r="J96" s="169">
        <f>Pasākumu_līmenis!H65</f>
        <v>17501206</v>
      </c>
      <c r="K96" s="169">
        <f>Pasākumu_līmenis!I65</f>
        <v>2289729</v>
      </c>
      <c r="L96" s="169">
        <f>Pasākumu_līmenis!J65</f>
        <v>17382831.440000001</v>
      </c>
      <c r="M96" s="170">
        <f t="shared" si="65"/>
        <v>0.99323620555063474</v>
      </c>
      <c r="N96" s="170">
        <f t="shared" si="61"/>
        <v>0</v>
      </c>
      <c r="O96" s="170">
        <f t="shared" si="66"/>
        <v>0</v>
      </c>
      <c r="P96" s="169">
        <f>Pasākumu_līmenis!N65</f>
        <v>4</v>
      </c>
      <c r="Q96" s="169">
        <v>17382831.440000001</v>
      </c>
      <c r="R96" s="170">
        <v>0.99323620555063474</v>
      </c>
      <c r="S96" s="169">
        <f>Pasākumu_līmenis!Q65</f>
        <v>17382831.440000001</v>
      </c>
      <c r="T96" s="170">
        <f t="shared" si="67"/>
        <v>0.99323620555063474</v>
      </c>
      <c r="U96" s="170">
        <f t="shared" si="62"/>
        <v>0</v>
      </c>
      <c r="V96" s="170">
        <f t="shared" si="68"/>
        <v>0</v>
      </c>
      <c r="W96" s="169">
        <f>Pasākumu_līmenis!U65</f>
        <v>4</v>
      </c>
      <c r="X96" s="169">
        <v>17382831.440000001</v>
      </c>
      <c r="Y96" s="170">
        <v>0.99323620555063474</v>
      </c>
      <c r="Z96" s="169">
        <f>Pasākumu_līmenis!X65</f>
        <v>17382831.440000001</v>
      </c>
      <c r="AA96" s="170">
        <f t="shared" si="69"/>
        <v>0.99323620555063474</v>
      </c>
      <c r="AB96" s="170">
        <f>AA96-AF96</f>
        <v>0</v>
      </c>
      <c r="AC96" s="170">
        <f t="shared" si="59"/>
        <v>0</v>
      </c>
      <c r="AD96" s="169">
        <f>Pasākumu_līmenis!AB65</f>
        <v>4</v>
      </c>
      <c r="AE96" s="169">
        <v>17382831.440000001</v>
      </c>
      <c r="AF96" s="170">
        <v>0.99323620555063474</v>
      </c>
      <c r="AG96" s="169">
        <f>Pasākumu_līmenis!AE65</f>
        <v>17382831.440000001</v>
      </c>
      <c r="AH96" s="170">
        <f t="shared" si="70"/>
        <v>0.99323620555063474</v>
      </c>
      <c r="AI96" s="170">
        <f t="shared" si="64"/>
        <v>0</v>
      </c>
      <c r="AJ96" s="170">
        <f>IFERROR(((AG96-AK96)/AK96),0)</f>
        <v>0</v>
      </c>
      <c r="AK96" s="169">
        <v>17382831.440000001</v>
      </c>
      <c r="AL96" s="170">
        <v>0.99323620555063474</v>
      </c>
    </row>
    <row r="97" spans="1:38" ht="21" customHeight="1" x14ac:dyDescent="0.3">
      <c r="A97" s="251" t="s">
        <v>1244</v>
      </c>
      <c r="B97" s="252" t="str">
        <f>VLOOKUP(A97,saīsinājumi_LV_ENG!A:G,5,FALSE)</f>
        <v>Biotopu atjaunošana</v>
      </c>
      <c r="C97" s="220" t="s">
        <v>189</v>
      </c>
      <c r="D97" s="221"/>
      <c r="E97" s="233"/>
      <c r="F97" s="222" t="str">
        <f>Pasākumu_līmenis!E66</f>
        <v>VARAM</v>
      </c>
      <c r="G97" s="277" t="str">
        <f>VLOOKUP(A97,'2. Intervences kategorijas - Pa'!B:D,2,FALSE)</f>
        <v>06 - Saglabāt un aizsargāt vidi un uzlabot resursu izmantošanas efektivitāti</v>
      </c>
      <c r="H97" s="223">
        <f>SUM(H98:H99)</f>
        <v>6305108</v>
      </c>
      <c r="I97" s="223">
        <f t="shared" ref="I97:AG97" si="71">SUM(I98:I99)</f>
        <v>0</v>
      </c>
      <c r="J97" s="223">
        <f t="shared" si="71"/>
        <v>6305108</v>
      </c>
      <c r="K97" s="223">
        <f t="shared" si="71"/>
        <v>1</v>
      </c>
      <c r="L97" s="223">
        <f t="shared" si="71"/>
        <v>5797402.9399999995</v>
      </c>
      <c r="M97" s="224">
        <f>L97/$H97</f>
        <v>0.91947718262716505</v>
      </c>
      <c r="N97" s="224">
        <f>M97-R97</f>
        <v>0</v>
      </c>
      <c r="O97" s="224">
        <f>IFERROR(((L97-Q97)/Q97),0)</f>
        <v>0</v>
      </c>
      <c r="P97" s="223">
        <f t="shared" si="71"/>
        <v>7</v>
      </c>
      <c r="Q97" s="223">
        <v>5797402.9399999995</v>
      </c>
      <c r="R97" s="224">
        <v>0.91947718262716505</v>
      </c>
      <c r="S97" s="223">
        <f t="shared" si="71"/>
        <v>5797402.9399999995</v>
      </c>
      <c r="T97" s="224">
        <f>S97/$H97</f>
        <v>0.91947718262716505</v>
      </c>
      <c r="U97" s="224">
        <f>T97-Y97</f>
        <v>0</v>
      </c>
      <c r="V97" s="224">
        <f>IFERROR(((S97-X97)/X97),0)</f>
        <v>0</v>
      </c>
      <c r="W97" s="223">
        <f t="shared" si="71"/>
        <v>7</v>
      </c>
      <c r="X97" s="223">
        <v>5797402.9399999995</v>
      </c>
      <c r="Y97" s="224">
        <v>0.91947718262716505</v>
      </c>
      <c r="Z97" s="223">
        <f t="shared" si="71"/>
        <v>5797402.9399999995</v>
      </c>
      <c r="AA97" s="224">
        <f>Z97/$H97</f>
        <v>0.91947718262716505</v>
      </c>
      <c r="AB97" s="224">
        <f>AA97-AF97</f>
        <v>0</v>
      </c>
      <c r="AC97" s="224">
        <f>IFERROR(((Z97-AE97)/AE97),0)</f>
        <v>0</v>
      </c>
      <c r="AD97" s="223">
        <f t="shared" si="71"/>
        <v>7</v>
      </c>
      <c r="AE97" s="223">
        <v>5797402.9399999995</v>
      </c>
      <c r="AF97" s="224">
        <v>0.91947718262716505</v>
      </c>
      <c r="AG97" s="223">
        <f t="shared" si="71"/>
        <v>5797402.9399999995</v>
      </c>
      <c r="AH97" s="224">
        <f>AG97/$H97</f>
        <v>0.91947718262716505</v>
      </c>
      <c r="AI97" s="224">
        <f>AH97-AL97</f>
        <v>0</v>
      </c>
      <c r="AJ97" s="224">
        <f>IFERROR(((AG97-AK97)/AK97),0)</f>
        <v>0</v>
      </c>
      <c r="AK97" s="223">
        <v>5797402.9399999995</v>
      </c>
      <c r="AL97" s="224">
        <v>0.91947718262716505</v>
      </c>
    </row>
    <row r="98" spans="1:38" ht="21" customHeight="1" x14ac:dyDescent="0.3">
      <c r="A98" s="255" t="s">
        <v>1366</v>
      </c>
      <c r="B98" s="254" t="str">
        <f>VLOOKUP(A98,saīsinājumi_LV_ENG!A:G,5,FALSE)</f>
        <v>Dzīvotņu atjaunošana</v>
      </c>
      <c r="C98" s="10"/>
      <c r="D98" s="38"/>
      <c r="E98" s="33" t="str">
        <f>Pasākumu_līmenis!D66</f>
        <v>KF</v>
      </c>
      <c r="F98" s="38" t="str">
        <f>Pasākumu_līmenis!E66</f>
        <v>VARAM</v>
      </c>
      <c r="G98" s="278"/>
      <c r="H98" s="169">
        <f>Pasākumu_līmenis!F66</f>
        <v>3000000</v>
      </c>
      <c r="I98" s="169">
        <f>Pasākumu_līmenis!G66</f>
        <v>0</v>
      </c>
      <c r="J98" s="169">
        <f>Pasākumu_līmenis!H66</f>
        <v>3000000</v>
      </c>
      <c r="K98" s="169">
        <f>Pasākumu_līmenis!I66</f>
        <v>0</v>
      </c>
      <c r="L98" s="169">
        <f>Pasākumu_līmenis!J66</f>
        <v>2890541.68</v>
      </c>
      <c r="M98" s="170">
        <f>L98/$H98</f>
        <v>0.96351389333333337</v>
      </c>
      <c r="N98" s="170">
        <f>M98-R98</f>
        <v>0</v>
      </c>
      <c r="O98" s="170">
        <f>IFERROR(((L98-Q98)/Q98),0)</f>
        <v>0</v>
      </c>
      <c r="P98" s="169">
        <f>Pasākumu_līmenis!N66</f>
        <v>1</v>
      </c>
      <c r="Q98" s="169">
        <v>2890541.68</v>
      </c>
      <c r="R98" s="170">
        <v>0.96351389333333337</v>
      </c>
      <c r="S98" s="169">
        <f>Pasākumu_līmenis!Q66</f>
        <v>2890541.68</v>
      </c>
      <c r="T98" s="170">
        <f>S98/$H98</f>
        <v>0.96351389333333337</v>
      </c>
      <c r="U98" s="170">
        <f>T98-Y98</f>
        <v>0</v>
      </c>
      <c r="V98" s="170">
        <f>IFERROR(((S98-X98)/X98),0)</f>
        <v>0</v>
      </c>
      <c r="W98" s="169">
        <f>Pasākumu_līmenis!U66</f>
        <v>1</v>
      </c>
      <c r="X98" s="169">
        <v>2890541.68</v>
      </c>
      <c r="Y98" s="170">
        <v>0.96351389333333337</v>
      </c>
      <c r="Z98" s="169">
        <f>Pasākumu_līmenis!X66</f>
        <v>2890541.68</v>
      </c>
      <c r="AA98" s="170">
        <f>Z98/$H98</f>
        <v>0.96351389333333337</v>
      </c>
      <c r="AB98" s="170">
        <f>AA98-AF98</f>
        <v>0</v>
      </c>
      <c r="AC98" s="170">
        <f>IFERROR(((Z98-AE98)/AE98),0)</f>
        <v>0</v>
      </c>
      <c r="AD98" s="169">
        <f>Pasākumu_līmenis!AB66</f>
        <v>1</v>
      </c>
      <c r="AE98" s="169">
        <v>2890541.68</v>
      </c>
      <c r="AF98" s="170">
        <v>0.96351389333333337</v>
      </c>
      <c r="AG98" s="169">
        <f>Pasākumu_līmenis!AE66</f>
        <v>2890541.68</v>
      </c>
      <c r="AH98" s="170">
        <f>AG98/$H98</f>
        <v>0.96351389333333337</v>
      </c>
      <c r="AI98" s="170">
        <f>AH98-AL98</f>
        <v>0</v>
      </c>
      <c r="AJ98" s="170">
        <f>IFERROR(((AG98-AK98)/AK98),0)</f>
        <v>0</v>
      </c>
      <c r="AK98" s="169">
        <v>2890541.68</v>
      </c>
      <c r="AL98" s="170">
        <v>0.96351389333333337</v>
      </c>
    </row>
    <row r="99" spans="1:38" ht="35.25" customHeight="1" x14ac:dyDescent="0.3">
      <c r="A99" s="255" t="s">
        <v>1368</v>
      </c>
      <c r="B99" s="254" t="str">
        <f>VLOOKUP(A99,saīsinājumi_LV_ENG!A:G,5,FALSE)</f>
        <v xml:space="preserve">Apsaimniekošanas pasākumi Natura 2000 teritorijās </v>
      </c>
      <c r="C99" s="10"/>
      <c r="D99" s="38"/>
      <c r="E99" s="33" t="str">
        <f>Pasākumu_līmenis!D67</f>
        <v>KF</v>
      </c>
      <c r="F99" s="38" t="str">
        <f>Pasākumu_līmenis!E67</f>
        <v>VARAM</v>
      </c>
      <c r="G99" s="278"/>
      <c r="H99" s="169">
        <f>Pasākumu_līmenis!F67</f>
        <v>3305108</v>
      </c>
      <c r="I99" s="169">
        <f>Pasākumu_līmenis!G67</f>
        <v>0</v>
      </c>
      <c r="J99" s="169">
        <f>Pasākumu_līmenis!H67</f>
        <v>3305108</v>
      </c>
      <c r="K99" s="169">
        <f>Pasākumu_līmenis!I67</f>
        <v>1</v>
      </c>
      <c r="L99" s="169">
        <f>Pasākumu_līmenis!J67</f>
        <v>2906861.26</v>
      </c>
      <c r="M99" s="170">
        <f>L99/$H99</f>
        <v>0.87950568029849552</v>
      </c>
      <c r="N99" s="170">
        <f>M99-R99</f>
        <v>0</v>
      </c>
      <c r="O99" s="170">
        <f>IFERROR(((L99-Q99)/Q99),0)</f>
        <v>0</v>
      </c>
      <c r="P99" s="169">
        <f>Pasākumu_līmenis!N67</f>
        <v>6</v>
      </c>
      <c r="Q99" s="169">
        <v>2906861.26</v>
      </c>
      <c r="R99" s="170">
        <v>0.87950568029849552</v>
      </c>
      <c r="S99" s="169">
        <f>Pasākumu_līmenis!Q67</f>
        <v>2906861.26</v>
      </c>
      <c r="T99" s="170">
        <f>S99/$H99</f>
        <v>0.87950568029849552</v>
      </c>
      <c r="U99" s="170">
        <f>T99-Y99</f>
        <v>0</v>
      </c>
      <c r="V99" s="170">
        <f>IFERROR(((S99-X99)/X99),0)</f>
        <v>0</v>
      </c>
      <c r="W99" s="169">
        <f>Pasākumu_līmenis!U67</f>
        <v>6</v>
      </c>
      <c r="X99" s="169">
        <v>2906861.26</v>
      </c>
      <c r="Y99" s="170">
        <v>0.87950568029849552</v>
      </c>
      <c r="Z99" s="169">
        <f>Pasākumu_līmenis!X67</f>
        <v>2906861.26</v>
      </c>
      <c r="AA99" s="170">
        <f>Z99/$H99</f>
        <v>0.87950568029849552</v>
      </c>
      <c r="AB99" s="170">
        <f>AA99-AF99</f>
        <v>0</v>
      </c>
      <c r="AC99" s="170">
        <f>IFERROR(((Z99-AE99)/AE99),0)</f>
        <v>0</v>
      </c>
      <c r="AD99" s="169">
        <f>Pasākumu_līmenis!AB67</f>
        <v>6</v>
      </c>
      <c r="AE99" s="169">
        <v>2906861.26</v>
      </c>
      <c r="AF99" s="170">
        <v>0.87950568029849552</v>
      </c>
      <c r="AG99" s="169">
        <f>Pasākumu_līmenis!AE67</f>
        <v>2906861.26</v>
      </c>
      <c r="AH99" s="170">
        <f>AG99/$H99</f>
        <v>0.87950568029849552</v>
      </c>
      <c r="AI99" s="170">
        <f>AH99-AL99</f>
        <v>0</v>
      </c>
      <c r="AJ99" s="170">
        <f>IFERROR(((AG99-AK99)/AK99),0)</f>
        <v>0</v>
      </c>
      <c r="AK99" s="169">
        <v>2906861.26</v>
      </c>
      <c r="AL99" s="170">
        <v>0.87950568029849552</v>
      </c>
    </row>
    <row r="100" spans="1:38" ht="21" customHeight="1" x14ac:dyDescent="0.3">
      <c r="A100" s="249" t="s">
        <v>56</v>
      </c>
      <c r="B100" s="250" t="str">
        <f>VLOOKUP(A100,saīsinājumi_LV_ENG!A:G,5,FALSE)</f>
        <v>Dabas un kultūras mantojums</v>
      </c>
      <c r="C100" s="215" t="s">
        <v>67</v>
      </c>
      <c r="D100" s="216" t="str">
        <f>IFERROR(IF((VLOOKUP(A100,Pasākumu_līmenis!A:H,3,0))=0,"",VLOOKUP(A100,Pasākumu_līmenis!A:H,3,0)),"")</f>
        <v/>
      </c>
      <c r="E100" s="234"/>
      <c r="F100" s="217"/>
      <c r="G100" s="276"/>
      <c r="H100" s="218">
        <f>H101</f>
        <v>67507333</v>
      </c>
      <c r="I100" s="218">
        <f>I101</f>
        <v>0</v>
      </c>
      <c r="J100" s="218">
        <f>J101</f>
        <v>67507333</v>
      </c>
      <c r="K100" s="218">
        <f>K101</f>
        <v>0</v>
      </c>
      <c r="L100" s="218">
        <f>L101</f>
        <v>65821749.299999997</v>
      </c>
      <c r="M100" s="219">
        <f t="shared" si="65"/>
        <v>0.97503110217670719</v>
      </c>
      <c r="N100" s="219">
        <f t="shared" si="61"/>
        <v>0</v>
      </c>
      <c r="O100" s="219">
        <f t="shared" si="66"/>
        <v>0</v>
      </c>
      <c r="P100" s="218">
        <f>P101</f>
        <v>23</v>
      </c>
      <c r="Q100" s="218">
        <v>65821749.299999997</v>
      </c>
      <c r="R100" s="219">
        <v>0.97503110217670719</v>
      </c>
      <c r="S100" s="218">
        <f>S101</f>
        <v>65821749.299999997</v>
      </c>
      <c r="T100" s="219">
        <f t="shared" si="67"/>
        <v>0.97503110217670719</v>
      </c>
      <c r="U100" s="219">
        <f t="shared" si="62"/>
        <v>0</v>
      </c>
      <c r="V100" s="219">
        <f t="shared" si="68"/>
        <v>0</v>
      </c>
      <c r="W100" s="218">
        <f>W101</f>
        <v>23</v>
      </c>
      <c r="X100" s="218">
        <v>65821749.299999997</v>
      </c>
      <c r="Y100" s="219">
        <v>0.97503110217670719</v>
      </c>
      <c r="Z100" s="218">
        <f>Z101</f>
        <v>65821749.299999997</v>
      </c>
      <c r="AA100" s="219">
        <f t="shared" si="69"/>
        <v>0.97503110217670719</v>
      </c>
      <c r="AB100" s="219">
        <f t="shared" si="63"/>
        <v>0</v>
      </c>
      <c r="AC100" s="219">
        <f t="shared" si="59"/>
        <v>0</v>
      </c>
      <c r="AD100" s="218">
        <f>AD101</f>
        <v>23</v>
      </c>
      <c r="AE100" s="218">
        <v>65821749.299999997</v>
      </c>
      <c r="AF100" s="219">
        <v>0.97503110217670719</v>
      </c>
      <c r="AG100" s="218">
        <f>AG101</f>
        <v>64071055.219999999</v>
      </c>
      <c r="AH100" s="219">
        <f t="shared" si="70"/>
        <v>0.94909771091090211</v>
      </c>
      <c r="AI100" s="219">
        <f t="shared" si="64"/>
        <v>0</v>
      </c>
      <c r="AJ100" s="219">
        <f>IFERROR(((AG100-AK100)/AK100),0)</f>
        <v>0</v>
      </c>
      <c r="AK100" s="218">
        <v>64071055.219999999</v>
      </c>
      <c r="AL100" s="219">
        <v>0.94909771091090211</v>
      </c>
    </row>
    <row r="101" spans="1:38" ht="21" customHeight="1" x14ac:dyDescent="0.3">
      <c r="A101" s="255" t="s">
        <v>281</v>
      </c>
      <c r="B101" s="254" t="str">
        <f>VLOOKUP(A101,saīsinājumi_LV_ENG!A:G,5,FALSE)</f>
        <v>Kultūras un dabas mantojums</v>
      </c>
      <c r="C101" s="10" t="s">
        <v>68</v>
      </c>
      <c r="D101" s="42"/>
      <c r="E101" s="33" t="str">
        <f>Pasākumu_līmenis!D68</f>
        <v>ERAF</v>
      </c>
      <c r="F101" s="38" t="str">
        <f>Pasākumu_līmenis!E68</f>
        <v>KM</v>
      </c>
      <c r="G101" s="278" t="str">
        <f>VLOOKUP(A101,'2. Intervences kategorijas - Pa'!B:D,2,FALSE)</f>
        <v>06 - Saglabāt un aizsargāt vidi un uzlabot resursu izmantošanas efektivitāti</v>
      </c>
      <c r="H101" s="169">
        <f>Pasākumu_līmenis!F68</f>
        <v>67507333</v>
      </c>
      <c r="I101" s="169">
        <f>Pasākumu_līmenis!G68</f>
        <v>0</v>
      </c>
      <c r="J101" s="169">
        <f>Pasākumu_līmenis!H68</f>
        <v>67507333</v>
      </c>
      <c r="K101" s="169">
        <f>Pasākumu_līmenis!I68</f>
        <v>0</v>
      </c>
      <c r="L101" s="169">
        <f>Pasākumu_līmenis!J68</f>
        <v>65821749.299999997</v>
      </c>
      <c r="M101" s="170">
        <f t="shared" si="65"/>
        <v>0.97503110217670719</v>
      </c>
      <c r="N101" s="170">
        <f t="shared" si="61"/>
        <v>0</v>
      </c>
      <c r="O101" s="170">
        <f t="shared" si="66"/>
        <v>0</v>
      </c>
      <c r="P101" s="169">
        <f>Pasākumu_līmenis!N68</f>
        <v>23</v>
      </c>
      <c r="Q101" s="169">
        <v>65821749.299999997</v>
      </c>
      <c r="R101" s="170">
        <v>0.97503110217670719</v>
      </c>
      <c r="S101" s="169">
        <f>Pasākumu_līmenis!Q68</f>
        <v>65821749.299999997</v>
      </c>
      <c r="T101" s="170">
        <f t="shared" si="67"/>
        <v>0.97503110217670719</v>
      </c>
      <c r="U101" s="170">
        <f t="shared" si="62"/>
        <v>0</v>
      </c>
      <c r="V101" s="170">
        <f t="shared" si="68"/>
        <v>0</v>
      </c>
      <c r="W101" s="169">
        <f>Pasākumu_līmenis!U68</f>
        <v>23</v>
      </c>
      <c r="X101" s="169">
        <v>65821749.299999997</v>
      </c>
      <c r="Y101" s="170">
        <v>0.97503110217670719</v>
      </c>
      <c r="Z101" s="169">
        <f>Pasākumu_līmenis!X68</f>
        <v>65821749.299999997</v>
      </c>
      <c r="AA101" s="170">
        <f t="shared" si="69"/>
        <v>0.97503110217670719</v>
      </c>
      <c r="AB101" s="170">
        <f t="shared" si="63"/>
        <v>0</v>
      </c>
      <c r="AC101" s="170">
        <f t="shared" si="59"/>
        <v>0</v>
      </c>
      <c r="AD101" s="169">
        <f>Pasākumu_līmenis!AB68</f>
        <v>23</v>
      </c>
      <c r="AE101" s="169">
        <v>65821749.299999997</v>
      </c>
      <c r="AF101" s="170">
        <v>0.97503110217670719</v>
      </c>
      <c r="AG101" s="169">
        <f>Pasākumu_līmenis!AE68</f>
        <v>64071055.219999999</v>
      </c>
      <c r="AH101" s="170">
        <f t="shared" si="70"/>
        <v>0.94909771091090211</v>
      </c>
      <c r="AI101" s="170">
        <f t="shared" si="64"/>
        <v>0</v>
      </c>
      <c r="AJ101" s="170">
        <f t="shared" si="60"/>
        <v>0</v>
      </c>
      <c r="AK101" s="169">
        <v>64071055.219999999</v>
      </c>
      <c r="AL101" s="170">
        <v>0.94909771091090211</v>
      </c>
    </row>
    <row r="102" spans="1:38" ht="21" customHeight="1" x14ac:dyDescent="0.3">
      <c r="A102" s="249" t="s">
        <v>57</v>
      </c>
      <c r="B102" s="250" t="str">
        <f>VLOOKUP(A102,saīsinājumi_LV_ENG!A:G,5,FALSE)</f>
        <v>Pilsētvides uzlabošana</v>
      </c>
      <c r="C102" s="215" t="s">
        <v>69</v>
      </c>
      <c r="D102" s="216" t="str">
        <f>IFERROR(IF((VLOOKUP(A102,Pasākumu_līmenis!A:H,3,0))=0,"",VLOOKUP(A102,Pasākumu_līmenis!A:H,3,0)),"")</f>
        <v/>
      </c>
      <c r="E102" s="234"/>
      <c r="F102" s="217"/>
      <c r="G102" s="276"/>
      <c r="H102" s="218">
        <f>H103+H104+H105</f>
        <v>319946416</v>
      </c>
      <c r="I102" s="218">
        <f>I103+I104+I105</f>
        <v>0</v>
      </c>
      <c r="J102" s="218">
        <f>J103+J104+J105</f>
        <v>319946416</v>
      </c>
      <c r="K102" s="218">
        <f>K103+K104+K105</f>
        <v>14426861</v>
      </c>
      <c r="L102" s="218">
        <f>L103+L104+L105</f>
        <v>289083259.31999999</v>
      </c>
      <c r="M102" s="219">
        <f t="shared" si="65"/>
        <v>0.90353648255900443</v>
      </c>
      <c r="N102" s="219">
        <f t="shared" si="61"/>
        <v>0</v>
      </c>
      <c r="O102" s="219">
        <f t="shared" si="66"/>
        <v>0</v>
      </c>
      <c r="P102" s="218">
        <f>P103+P104+P105</f>
        <v>119</v>
      </c>
      <c r="Q102" s="218">
        <v>289083259.31999999</v>
      </c>
      <c r="R102" s="219">
        <v>0.90353648255900443</v>
      </c>
      <c r="S102" s="218">
        <f>S103+S104+S105</f>
        <v>289083259.31999999</v>
      </c>
      <c r="T102" s="219">
        <f>S102/$H102</f>
        <v>0.90353648255900443</v>
      </c>
      <c r="U102" s="219">
        <f>T102-Y102</f>
        <v>0</v>
      </c>
      <c r="V102" s="219">
        <f>IFERROR(((S102-X102)/X102),0)</f>
        <v>0</v>
      </c>
      <c r="W102" s="218">
        <f>W103+W104+W105</f>
        <v>119</v>
      </c>
      <c r="X102" s="218">
        <v>289083259.31999999</v>
      </c>
      <c r="Y102" s="219">
        <v>0.90353648255900443</v>
      </c>
      <c r="Z102" s="218">
        <f>Z103+Z104+Z105</f>
        <v>289083259.31999999</v>
      </c>
      <c r="AA102" s="219">
        <f t="shared" si="69"/>
        <v>0.90353648255900443</v>
      </c>
      <c r="AB102" s="219">
        <f t="shared" si="63"/>
        <v>0</v>
      </c>
      <c r="AC102" s="219">
        <f t="shared" si="59"/>
        <v>0</v>
      </c>
      <c r="AD102" s="218">
        <f>AD103+AD104+AD105</f>
        <v>119</v>
      </c>
      <c r="AE102" s="218">
        <v>289083259.31999999</v>
      </c>
      <c r="AF102" s="219">
        <v>0.90353648255900443</v>
      </c>
      <c r="AG102" s="218">
        <f>AG103+AG104+AG105</f>
        <v>287605209.15999997</v>
      </c>
      <c r="AH102" s="219">
        <f t="shared" si="70"/>
        <v>0.89891680224353554</v>
      </c>
      <c r="AI102" s="219">
        <f t="shared" si="64"/>
        <v>0</v>
      </c>
      <c r="AJ102" s="219">
        <f t="shared" si="60"/>
        <v>0</v>
      </c>
      <c r="AK102" s="218">
        <v>287605209.15999997</v>
      </c>
      <c r="AL102" s="219">
        <v>0.89891680224353554</v>
      </c>
    </row>
    <row r="103" spans="1:38" ht="21" customHeight="1" x14ac:dyDescent="0.3">
      <c r="A103" s="255" t="s">
        <v>282</v>
      </c>
      <c r="B103" s="254" t="str">
        <f>VLOOKUP(A103,saīsinājumi_LV_ENG!A:G,5,FALSE)</f>
        <v>Rīgas revitalizācija</v>
      </c>
      <c r="C103" s="10" t="s">
        <v>609</v>
      </c>
      <c r="D103" s="42"/>
      <c r="E103" s="33" t="str">
        <f>Pasākumu_līmenis!D69</f>
        <v>ERAF</v>
      </c>
      <c r="F103" s="38" t="str">
        <f>Pasākumu_līmenis!E69</f>
        <v>KM</v>
      </c>
      <c r="G103" s="278" t="str">
        <f>VLOOKUP(A103,'2. Intervences kategorijas - Pa'!B:D,2,FALSE)</f>
        <v>06 - Saglabāt un aizsargāt vidi un uzlabot resursu izmantošanas efektivitāti</v>
      </c>
      <c r="H103" s="169">
        <f>Pasākumu_līmenis!F69</f>
        <v>58552956</v>
      </c>
      <c r="I103" s="169">
        <f>Pasākumu_līmenis!G69</f>
        <v>0</v>
      </c>
      <c r="J103" s="169">
        <f>Pasākumu_līmenis!H69</f>
        <v>58552956</v>
      </c>
      <c r="K103" s="169">
        <f>Pasākumu_līmenis!I69</f>
        <v>0</v>
      </c>
      <c r="L103" s="169">
        <f>Pasākumu_līmenis!J69</f>
        <v>54726810.719999999</v>
      </c>
      <c r="M103" s="170">
        <f t="shared" si="65"/>
        <v>0.93465495952074562</v>
      </c>
      <c r="N103" s="170">
        <f t="shared" si="61"/>
        <v>0</v>
      </c>
      <c r="O103" s="170">
        <f t="shared" si="66"/>
        <v>0</v>
      </c>
      <c r="P103" s="169">
        <f>Pasākumu_līmenis!N69</f>
        <v>5</v>
      </c>
      <c r="Q103" s="169">
        <v>54726810.719999999</v>
      </c>
      <c r="R103" s="170">
        <v>0.93465495952074562</v>
      </c>
      <c r="S103" s="169">
        <f>Pasākumu_līmenis!Q69</f>
        <v>54726810.719999999</v>
      </c>
      <c r="T103" s="170">
        <f t="shared" si="67"/>
        <v>0.93465495952074562</v>
      </c>
      <c r="U103" s="170">
        <f t="shared" si="62"/>
        <v>0</v>
      </c>
      <c r="V103" s="170">
        <f t="shared" si="68"/>
        <v>0</v>
      </c>
      <c r="W103" s="169">
        <f>Pasākumu_līmenis!U69</f>
        <v>5</v>
      </c>
      <c r="X103" s="169">
        <v>54726810.719999999</v>
      </c>
      <c r="Y103" s="170">
        <v>0.93465495952074562</v>
      </c>
      <c r="Z103" s="169">
        <f>Pasākumu_līmenis!X69</f>
        <v>54726810.719999999</v>
      </c>
      <c r="AA103" s="170">
        <f t="shared" si="69"/>
        <v>0.93465495952074562</v>
      </c>
      <c r="AB103" s="170">
        <f t="shared" si="63"/>
        <v>0</v>
      </c>
      <c r="AC103" s="170">
        <f t="shared" si="59"/>
        <v>0</v>
      </c>
      <c r="AD103" s="169">
        <f>Pasākumu_līmenis!AB69</f>
        <v>5</v>
      </c>
      <c r="AE103" s="169">
        <v>54726810.719999999</v>
      </c>
      <c r="AF103" s="170">
        <v>0.93465495952074562</v>
      </c>
      <c r="AG103" s="169">
        <f>Pasākumu_līmenis!AE69</f>
        <v>53219294.700000003</v>
      </c>
      <c r="AH103" s="170">
        <f t="shared" si="70"/>
        <v>0.90890876115631125</v>
      </c>
      <c r="AI103" s="170">
        <f t="shared" si="64"/>
        <v>0</v>
      </c>
      <c r="AJ103" s="170">
        <f t="shared" si="60"/>
        <v>0</v>
      </c>
      <c r="AK103" s="169">
        <v>53219294.700000003</v>
      </c>
      <c r="AL103" s="170">
        <v>0.90890876115631125</v>
      </c>
    </row>
    <row r="104" spans="1:38" ht="21" customHeight="1" x14ac:dyDescent="0.3">
      <c r="A104" s="255" t="s">
        <v>283</v>
      </c>
      <c r="B104" s="254" t="str">
        <f>VLOOKUP(A104,saīsinājumi_LV_ENG!A:G,5,FALSE)</f>
        <v>Degradēto teritoriju atjaunošana</v>
      </c>
      <c r="C104" s="10" t="s">
        <v>70</v>
      </c>
      <c r="D104" s="42"/>
      <c r="E104" s="33" t="str">
        <f>Pasākumu_līmenis!D70</f>
        <v>ERAF</v>
      </c>
      <c r="F104" s="38" t="str">
        <f>Pasākumu_līmenis!E71</f>
        <v>VARAM</v>
      </c>
      <c r="G104" s="278" t="str">
        <f>VLOOKUP(A104,'2. Intervences kategorijas - Pa'!B:D,2,FALSE)</f>
        <v>06 - Saglabāt un aizsargāt vidi un uzlabot resursu izmantošanas efektivitāti</v>
      </c>
      <c r="H104" s="169">
        <f>Pasākumu_līmenis!F70</f>
        <v>236524372</v>
      </c>
      <c r="I104" s="169">
        <f>Pasākumu_līmenis!G70</f>
        <v>0</v>
      </c>
      <c r="J104" s="169">
        <f>Pasākumu_līmenis!H70</f>
        <v>236524372</v>
      </c>
      <c r="K104" s="169">
        <f>Pasākumu_līmenis!I70</f>
        <v>14426861</v>
      </c>
      <c r="L104" s="169">
        <f>Pasākumu_līmenis!J70</f>
        <v>209733570.53</v>
      </c>
      <c r="M104" s="170">
        <f t="shared" si="65"/>
        <v>0.88673132817788436</v>
      </c>
      <c r="N104" s="170">
        <f t="shared" si="61"/>
        <v>0</v>
      </c>
      <c r="O104" s="170">
        <f t="shared" si="66"/>
        <v>0</v>
      </c>
      <c r="P104" s="169">
        <f>Pasākumu_līmenis!N70</f>
        <v>113</v>
      </c>
      <c r="Q104" s="169">
        <v>209733570.53</v>
      </c>
      <c r="R104" s="170">
        <v>0.88673132817788436</v>
      </c>
      <c r="S104" s="169">
        <f>Pasākumu_līmenis!Q70</f>
        <v>209733570.53</v>
      </c>
      <c r="T104" s="170">
        <f t="shared" si="67"/>
        <v>0.88673132817788436</v>
      </c>
      <c r="U104" s="170">
        <f t="shared" si="62"/>
        <v>0</v>
      </c>
      <c r="V104" s="170">
        <f t="shared" si="68"/>
        <v>0</v>
      </c>
      <c r="W104" s="169">
        <f>Pasākumu_līmenis!U70</f>
        <v>113</v>
      </c>
      <c r="X104" s="169">
        <v>209733570.53</v>
      </c>
      <c r="Y104" s="170">
        <v>0.88673132817788436</v>
      </c>
      <c r="Z104" s="169">
        <f>Pasākumu_līmenis!X70</f>
        <v>209733570.53</v>
      </c>
      <c r="AA104" s="170">
        <f t="shared" si="69"/>
        <v>0.88673132817788436</v>
      </c>
      <c r="AB104" s="170">
        <f t="shared" si="63"/>
        <v>0</v>
      </c>
      <c r="AC104" s="170">
        <f t="shared" si="59"/>
        <v>0</v>
      </c>
      <c r="AD104" s="169">
        <f>Pasākumu_līmenis!AB70</f>
        <v>113</v>
      </c>
      <c r="AE104" s="169">
        <v>209733570.53</v>
      </c>
      <c r="AF104" s="170">
        <v>0.88673132817788436</v>
      </c>
      <c r="AG104" s="169">
        <f>Pasākumu_līmenis!AE70</f>
        <v>209763036.38999999</v>
      </c>
      <c r="AH104" s="170">
        <f t="shared" si="70"/>
        <v>0.88685590671391779</v>
      </c>
      <c r="AI104" s="170">
        <f t="shared" si="64"/>
        <v>0</v>
      </c>
      <c r="AJ104" s="170">
        <f t="shared" si="60"/>
        <v>0</v>
      </c>
      <c r="AK104" s="169">
        <v>209763036.38999999</v>
      </c>
      <c r="AL104" s="170">
        <v>0.88685590671391779</v>
      </c>
    </row>
    <row r="105" spans="1:38" ht="21" customHeight="1" x14ac:dyDescent="0.3">
      <c r="A105" s="255" t="s">
        <v>462</v>
      </c>
      <c r="B105" s="254" t="str">
        <f>VLOOKUP(A105,saīsinājumi_LV_ENG!A:G,5,FALSE)</f>
        <v>Piesārņoto vietu sanācija</v>
      </c>
      <c r="C105" s="10" t="s">
        <v>537</v>
      </c>
      <c r="D105" s="42"/>
      <c r="E105" s="33" t="str">
        <f>Pasākumu_līmenis!D71</f>
        <v>ERAF</v>
      </c>
      <c r="F105" s="38" t="s">
        <v>350</v>
      </c>
      <c r="G105" s="278" t="str">
        <f>VLOOKUP(A105,'2. Intervences kategorijas - Pa'!B:D,2,FALSE)</f>
        <v>06 - Saglabāt un aizsargāt vidi un uzlabot resursu izmantošanas efektivitāti</v>
      </c>
      <c r="H105" s="169">
        <f>Pasākumu_līmenis!F71</f>
        <v>24869088</v>
      </c>
      <c r="I105" s="169">
        <f>Pasākumu_līmenis!G71</f>
        <v>0</v>
      </c>
      <c r="J105" s="169">
        <f>Pasākumu_līmenis!H71</f>
        <v>24869088</v>
      </c>
      <c r="K105" s="169">
        <f>Pasākumu_līmenis!I71</f>
        <v>0</v>
      </c>
      <c r="L105" s="169">
        <f>Pasākumu_līmenis!J71</f>
        <v>24622878.07</v>
      </c>
      <c r="M105" s="170">
        <f t="shared" ref="M105" si="72">L105/$H105</f>
        <v>0.99009976039330438</v>
      </c>
      <c r="N105" s="170">
        <f t="shared" ref="N105" si="73">M105-R105</f>
        <v>0</v>
      </c>
      <c r="O105" s="170">
        <f t="shared" ref="O105" si="74">IFERROR(((L105-Q105)/Q105),0)</f>
        <v>0</v>
      </c>
      <c r="P105" s="169">
        <f>Pasākumu_līmenis!N71</f>
        <v>1</v>
      </c>
      <c r="Q105" s="169">
        <v>24622878.07</v>
      </c>
      <c r="R105" s="170">
        <v>0.99009976039330438</v>
      </c>
      <c r="S105" s="169">
        <f>Pasākumu_līmenis!Q71</f>
        <v>24622878.07</v>
      </c>
      <c r="T105" s="170">
        <f t="shared" ref="T105" si="75">S105/$H105</f>
        <v>0.99009976039330438</v>
      </c>
      <c r="U105" s="170">
        <f t="shared" ref="U105" si="76">T105-Y105</f>
        <v>0</v>
      </c>
      <c r="V105" s="170">
        <f t="shared" ref="V105" si="77">IFERROR(((S105-X105)/X105),0)</f>
        <v>0</v>
      </c>
      <c r="W105" s="169">
        <f>Pasākumu_līmenis!U71</f>
        <v>1</v>
      </c>
      <c r="X105" s="169">
        <v>24622878.07</v>
      </c>
      <c r="Y105" s="170">
        <v>0.99009976039330438</v>
      </c>
      <c r="Z105" s="169">
        <f>Pasākumu_līmenis!X71</f>
        <v>24622878.07</v>
      </c>
      <c r="AA105" s="170">
        <f t="shared" ref="AA105" si="78">Z105/$H105</f>
        <v>0.99009976039330438</v>
      </c>
      <c r="AB105" s="170">
        <f t="shared" ref="AB105" si="79">AA105-AF105</f>
        <v>0</v>
      </c>
      <c r="AC105" s="170">
        <f t="shared" ref="AC105" si="80">IFERROR(((Z105-AE105)/AE105),0)</f>
        <v>0</v>
      </c>
      <c r="AD105" s="169">
        <f>Pasākumu_līmenis!AB71</f>
        <v>1</v>
      </c>
      <c r="AE105" s="169">
        <v>24622878.07</v>
      </c>
      <c r="AF105" s="170">
        <v>0.99009976039330438</v>
      </c>
      <c r="AG105" s="169">
        <f>Pasākumu_līmenis!AE71</f>
        <v>24622878.07</v>
      </c>
      <c r="AH105" s="170">
        <f t="shared" ref="AH105" si="81">AG105/$H105</f>
        <v>0.99009976039330438</v>
      </c>
      <c r="AI105" s="170">
        <f t="shared" ref="AI105" si="82">AH105-AL105</f>
        <v>0</v>
      </c>
      <c r="AJ105" s="170">
        <f t="shared" ref="AJ105" si="83">IFERROR(((AG105-AK105)/AK105),0)</f>
        <v>0</v>
      </c>
      <c r="AK105" s="169">
        <v>24622878.07</v>
      </c>
      <c r="AL105" s="170">
        <v>0.99009976039330438</v>
      </c>
    </row>
    <row r="106" spans="1:38" ht="21" customHeight="1" x14ac:dyDescent="0.3">
      <c r="A106" s="247" t="s">
        <v>71</v>
      </c>
      <c r="B106" s="259" t="str">
        <f>VLOOKUP(A106,saīsinājumi_LV_ENG!A:G,5,FALSE)</f>
        <v>Transports</v>
      </c>
      <c r="C106" s="7" t="s">
        <v>75</v>
      </c>
      <c r="D106" s="26"/>
      <c r="E106" s="26"/>
      <c r="F106" s="26"/>
      <c r="G106" s="279"/>
      <c r="H106" s="185">
        <f>H107+H120+H124</f>
        <v>886835593</v>
      </c>
      <c r="I106" s="185">
        <f>I107+I120+I124</f>
        <v>0</v>
      </c>
      <c r="J106" s="185">
        <f>J107+J120+J124</f>
        <v>886835593</v>
      </c>
      <c r="K106" s="185">
        <f>K107+K120+K124</f>
        <v>69622402.513883501</v>
      </c>
      <c r="L106" s="185">
        <f>L107+L120+L124</f>
        <v>801894815.95999992</v>
      </c>
      <c r="M106" s="186">
        <f t="shared" si="65"/>
        <v>0.90422037894006801</v>
      </c>
      <c r="N106" s="186">
        <f t="shared" si="61"/>
        <v>0</v>
      </c>
      <c r="O106" s="186">
        <f t="shared" si="66"/>
        <v>0</v>
      </c>
      <c r="P106" s="185">
        <f>P107+P120+P124</f>
        <v>89</v>
      </c>
      <c r="Q106" s="173">
        <v>801894815.95999992</v>
      </c>
      <c r="R106" s="174">
        <v>0.90422037894006801</v>
      </c>
      <c r="S106" s="185">
        <f>S107+S120+S124</f>
        <v>801894815.95999992</v>
      </c>
      <c r="T106" s="186">
        <f t="shared" si="67"/>
        <v>0.90422037894006801</v>
      </c>
      <c r="U106" s="186">
        <f t="shared" si="62"/>
        <v>0</v>
      </c>
      <c r="V106" s="186">
        <f t="shared" si="68"/>
        <v>0</v>
      </c>
      <c r="W106" s="185">
        <f>W107+W120+W124</f>
        <v>89</v>
      </c>
      <c r="X106" s="185">
        <v>801894815.95999992</v>
      </c>
      <c r="Y106" s="186">
        <v>0.90422037894006801</v>
      </c>
      <c r="Z106" s="185">
        <f>Z107+Z120+Z124</f>
        <v>801894815.95999992</v>
      </c>
      <c r="AA106" s="186">
        <f t="shared" si="69"/>
        <v>0.90422037894006801</v>
      </c>
      <c r="AB106" s="186">
        <f t="shared" si="63"/>
        <v>0</v>
      </c>
      <c r="AC106" s="186">
        <f t="shared" si="59"/>
        <v>0</v>
      </c>
      <c r="AD106" s="185">
        <f>AD107+AD120+AD124</f>
        <v>89</v>
      </c>
      <c r="AE106" s="173">
        <v>801894815.95999992</v>
      </c>
      <c r="AF106" s="174">
        <v>0.90422037894006801</v>
      </c>
      <c r="AG106" s="185">
        <f>AG107+AG120+AG124</f>
        <v>803075614.45999992</v>
      </c>
      <c r="AH106" s="186">
        <f t="shared" si="70"/>
        <v>0.90555185290133022</v>
      </c>
      <c r="AI106" s="186">
        <f t="shared" si="64"/>
        <v>0</v>
      </c>
      <c r="AJ106" s="186">
        <f t="shared" si="60"/>
        <v>0</v>
      </c>
      <c r="AK106" s="185">
        <v>803075614.45999992</v>
      </c>
      <c r="AL106" s="186">
        <v>0.90555185290133022</v>
      </c>
    </row>
    <row r="107" spans="1:38" ht="21" customHeight="1" x14ac:dyDescent="0.3">
      <c r="A107" s="249" t="s">
        <v>72</v>
      </c>
      <c r="B107" s="250" t="str">
        <f>VLOOKUP(A107,saīsinājumi_LV_ENG!A:G,5,FALSE)</f>
        <v>Investīcijas TEN-T tīklā</v>
      </c>
      <c r="C107" s="215" t="s">
        <v>76</v>
      </c>
      <c r="D107" s="215" t="str">
        <f>IFERROR(IF((VLOOKUP(A107,Pasākumu_līmenis!A:H,3,0))=0,"",VLOOKUP(A107,Pasākumu_līmenis!A:H,3,0)),"")</f>
        <v/>
      </c>
      <c r="E107" s="217"/>
      <c r="F107" s="217"/>
      <c r="G107" s="276"/>
      <c r="H107" s="218">
        <f>H108+H109+H110+H113+H116+H117+H118+H119</f>
        <v>528270272</v>
      </c>
      <c r="I107" s="218">
        <f>I108+I109+I110+I113+I116+I117+I118+I119</f>
        <v>0</v>
      </c>
      <c r="J107" s="218">
        <f>J108+J109+J110+J113+J116+J117+J118+J119</f>
        <v>528270272</v>
      </c>
      <c r="K107" s="218">
        <f>K108+K109+K110+K113+K116</f>
        <v>27176405.513883501</v>
      </c>
      <c r="L107" s="218">
        <f>L108+L109+L110+L113+L116+L117+L118+L119</f>
        <v>510380676.93999994</v>
      </c>
      <c r="M107" s="219">
        <f>L107/$H107</f>
        <v>0.96613552568030925</v>
      </c>
      <c r="N107" s="219">
        <f t="shared" si="61"/>
        <v>0</v>
      </c>
      <c r="O107" s="219">
        <f>IFERROR(((L107-Q107)/Q107),0)</f>
        <v>0</v>
      </c>
      <c r="P107" s="218">
        <f>P108+P109+P110+P113+P116+P117+P118+P119</f>
        <v>49</v>
      </c>
      <c r="Q107" s="218">
        <v>510380676.93999994</v>
      </c>
      <c r="R107" s="219">
        <v>0.96613552568030925</v>
      </c>
      <c r="S107" s="218">
        <f>S108+S109+S110+S113+S116+S117+S118+S119</f>
        <v>510380676.93999994</v>
      </c>
      <c r="T107" s="219">
        <f t="shared" si="67"/>
        <v>0.96613552568030925</v>
      </c>
      <c r="U107" s="219">
        <f t="shared" si="62"/>
        <v>0</v>
      </c>
      <c r="V107" s="219">
        <f t="shared" si="68"/>
        <v>0</v>
      </c>
      <c r="W107" s="218">
        <f>W108+W109+W110+W113+W116+W117+W118+W119</f>
        <v>49</v>
      </c>
      <c r="X107" s="218">
        <v>510380676.93999994</v>
      </c>
      <c r="Y107" s="219">
        <v>0.96613552568030925</v>
      </c>
      <c r="Z107" s="218">
        <f>Z108+Z109+Z110+Z113+Z116+Z117+Z118+Z119</f>
        <v>510380676.93999994</v>
      </c>
      <c r="AA107" s="219">
        <f t="shared" si="69"/>
        <v>0.96613552568030925</v>
      </c>
      <c r="AB107" s="219">
        <f t="shared" si="63"/>
        <v>0</v>
      </c>
      <c r="AC107" s="219">
        <f t="shared" si="59"/>
        <v>0</v>
      </c>
      <c r="AD107" s="218">
        <f>AD108+AD109+AD110+AD113+AD116+AD117+AD118+AD119</f>
        <v>49</v>
      </c>
      <c r="AE107" s="218">
        <v>510380676.93999994</v>
      </c>
      <c r="AF107" s="219">
        <v>0.96613552568030925</v>
      </c>
      <c r="AG107" s="218">
        <f>AG108+AG109+AG110+AG113+AG116+AG117+AG118+AG119</f>
        <v>511899591.83999997</v>
      </c>
      <c r="AH107" s="219">
        <f t="shared" si="70"/>
        <v>0.96901078666035545</v>
      </c>
      <c r="AI107" s="219">
        <f t="shared" si="64"/>
        <v>0</v>
      </c>
      <c r="AJ107" s="219">
        <f t="shared" si="60"/>
        <v>0</v>
      </c>
      <c r="AK107" s="218">
        <v>511899591.83999997</v>
      </c>
      <c r="AL107" s="219">
        <v>0.96901078666035545</v>
      </c>
    </row>
    <row r="108" spans="1:38" ht="21" customHeight="1" x14ac:dyDescent="0.3">
      <c r="A108" s="255" t="s">
        <v>285</v>
      </c>
      <c r="B108" s="254" t="str">
        <f>VLOOKUP(A108,saīsinājumi_LV_ENG!A:G,5,FALSE)</f>
        <v>Lielo ostu attīstība</v>
      </c>
      <c r="C108" s="10" t="s">
        <v>77</v>
      </c>
      <c r="D108" s="10"/>
      <c r="E108" s="38" t="str">
        <f>Pasākumu_līmenis!D73</f>
        <v>KF</v>
      </c>
      <c r="F108" s="38" t="str">
        <f>Pasākumu_līmenis!E73</f>
        <v>SM</v>
      </c>
      <c r="G108" s="278" t="str">
        <f>VLOOKUP(A108,'2. Intervences kategorijas - Pa'!B:D,2,FALSE)</f>
        <v>07 - Veicināt ilgtspējīgu transportu un novērst trūkumus galvenajās tīkla infrastruktūrās</v>
      </c>
      <c r="H108" s="169">
        <f>Pasākumu_līmenis!F73</f>
        <v>71113776</v>
      </c>
      <c r="I108" s="169">
        <f>Pasākumu_līmenis!G73</f>
        <v>0</v>
      </c>
      <c r="J108" s="169">
        <f>Pasākumu_līmenis!H73</f>
        <v>71113776</v>
      </c>
      <c r="K108" s="169">
        <f>Pasākumu_līmenis!I73</f>
        <v>5525477.0040577296</v>
      </c>
      <c r="L108" s="169">
        <f>Pasākumu_līmenis!J73</f>
        <v>67678486.409999996</v>
      </c>
      <c r="M108" s="170">
        <f t="shared" si="65"/>
        <v>0.95169305044355956</v>
      </c>
      <c r="N108" s="170">
        <f t="shared" si="61"/>
        <v>0</v>
      </c>
      <c r="O108" s="170">
        <f t="shared" si="66"/>
        <v>0</v>
      </c>
      <c r="P108" s="169">
        <f>Pasākumu_līmenis!N73</f>
        <v>6</v>
      </c>
      <c r="Q108" s="169">
        <v>67678486.409999996</v>
      </c>
      <c r="R108" s="170">
        <v>0.95169305044355956</v>
      </c>
      <c r="S108" s="169">
        <f>Pasākumu_līmenis!Q73</f>
        <v>67678486.409999996</v>
      </c>
      <c r="T108" s="170">
        <f t="shared" si="67"/>
        <v>0.95169305044355956</v>
      </c>
      <c r="U108" s="170">
        <f t="shared" si="62"/>
        <v>0</v>
      </c>
      <c r="V108" s="170">
        <f t="shared" si="68"/>
        <v>0</v>
      </c>
      <c r="W108" s="169">
        <f>Pasākumu_līmenis!U73</f>
        <v>6</v>
      </c>
      <c r="X108" s="169">
        <v>67678486.409999996</v>
      </c>
      <c r="Y108" s="170">
        <v>0.95169305044355956</v>
      </c>
      <c r="Z108" s="169">
        <f>Pasākumu_līmenis!X73</f>
        <v>67678486.409999996</v>
      </c>
      <c r="AA108" s="170">
        <f t="shared" si="69"/>
        <v>0.95169305044355956</v>
      </c>
      <c r="AB108" s="170">
        <f t="shared" si="63"/>
        <v>0</v>
      </c>
      <c r="AC108" s="170">
        <f t="shared" si="59"/>
        <v>0</v>
      </c>
      <c r="AD108" s="169">
        <f>Pasākumu_līmenis!AB73</f>
        <v>6</v>
      </c>
      <c r="AE108" s="169">
        <v>67678486.409999996</v>
      </c>
      <c r="AF108" s="170">
        <v>0.95169305044355956</v>
      </c>
      <c r="AG108" s="169">
        <f>Pasākumu_līmenis!AE73</f>
        <v>69130864.569999993</v>
      </c>
      <c r="AH108" s="170">
        <f t="shared" si="70"/>
        <v>0.97211635295529786</v>
      </c>
      <c r="AI108" s="170">
        <f t="shared" si="64"/>
        <v>0</v>
      </c>
      <c r="AJ108" s="170">
        <f t="shared" si="60"/>
        <v>0</v>
      </c>
      <c r="AK108" s="169">
        <v>69130864.569999993</v>
      </c>
      <c r="AL108" s="170">
        <v>0.97211635295529786</v>
      </c>
    </row>
    <row r="109" spans="1:38" ht="21" customHeight="1" x14ac:dyDescent="0.3">
      <c r="A109" s="255" t="s">
        <v>286</v>
      </c>
      <c r="B109" s="254" t="str">
        <f>VLOOKUP(A109,saīsinājumi_LV_ENG!A:G,5,FALSE)</f>
        <v>Lidostas "Rīga" attīstība</v>
      </c>
      <c r="C109" s="10" t="s">
        <v>78</v>
      </c>
      <c r="D109" s="10"/>
      <c r="E109" s="38" t="str">
        <f>Pasākumu_līmenis!D74</f>
        <v>KF</v>
      </c>
      <c r="F109" s="38" t="str">
        <f>Pasākumu_līmenis!E74</f>
        <v>SM</v>
      </c>
      <c r="G109" s="278" t="str">
        <f>VLOOKUP(A109,'2. Intervences kategorijas - Pa'!B:D,2,FALSE)</f>
        <v>07 - Veicināt ilgtspējīgu transportu un novērst trūkumus galvenajās tīkla infrastruktūrās</v>
      </c>
      <c r="H109" s="169">
        <f>Pasākumu_līmenis!F74</f>
        <v>12984765</v>
      </c>
      <c r="I109" s="169">
        <f>Pasākumu_līmenis!G74</f>
        <v>0</v>
      </c>
      <c r="J109" s="169">
        <f>Pasākumu_līmenis!H74</f>
        <v>12984765</v>
      </c>
      <c r="K109" s="169">
        <f>Pasākumu_līmenis!I74</f>
        <v>710524.46285737399</v>
      </c>
      <c r="L109" s="169">
        <f>Pasākumu_līmenis!J74</f>
        <v>11839585.01</v>
      </c>
      <c r="M109" s="170">
        <f t="shared" si="65"/>
        <v>0.91180587480789987</v>
      </c>
      <c r="N109" s="170">
        <f t="shared" si="61"/>
        <v>0</v>
      </c>
      <c r="O109" s="170">
        <f t="shared" si="66"/>
        <v>0</v>
      </c>
      <c r="P109" s="169">
        <f>Pasākumu_līmenis!N74</f>
        <v>2</v>
      </c>
      <c r="Q109" s="169">
        <v>11839585.01</v>
      </c>
      <c r="R109" s="170">
        <v>0.91180587480789987</v>
      </c>
      <c r="S109" s="169">
        <f>Pasākumu_līmenis!Q74</f>
        <v>11839585.01</v>
      </c>
      <c r="T109" s="170">
        <f t="shared" si="67"/>
        <v>0.91180587480789987</v>
      </c>
      <c r="U109" s="170">
        <f t="shared" si="62"/>
        <v>0</v>
      </c>
      <c r="V109" s="170">
        <f t="shared" si="68"/>
        <v>0</v>
      </c>
      <c r="W109" s="169">
        <f>Pasākumu_līmenis!U74</f>
        <v>2</v>
      </c>
      <c r="X109" s="169">
        <v>11839585.01</v>
      </c>
      <c r="Y109" s="170">
        <v>0.91180587480789987</v>
      </c>
      <c r="Z109" s="169">
        <f>Pasākumu_līmenis!X74</f>
        <v>11839585.01</v>
      </c>
      <c r="AA109" s="170">
        <f t="shared" si="69"/>
        <v>0.91180587480789987</v>
      </c>
      <c r="AB109" s="170">
        <f t="shared" si="63"/>
        <v>0</v>
      </c>
      <c r="AC109" s="170">
        <f t="shared" si="59"/>
        <v>0</v>
      </c>
      <c r="AD109" s="169">
        <f>Pasākumu_līmenis!AB74</f>
        <v>2</v>
      </c>
      <c r="AE109" s="169">
        <v>11839585.01</v>
      </c>
      <c r="AF109" s="170">
        <v>0.91180587480789987</v>
      </c>
      <c r="AG109" s="169">
        <f>Pasākumu_līmenis!AE74</f>
        <v>11839585.01</v>
      </c>
      <c r="AH109" s="170">
        <f t="shared" si="70"/>
        <v>0.91180587480789987</v>
      </c>
      <c r="AI109" s="170">
        <f t="shared" si="64"/>
        <v>0</v>
      </c>
      <c r="AJ109" s="170">
        <f t="shared" si="60"/>
        <v>0</v>
      </c>
      <c r="AK109" s="169">
        <v>11839585.01</v>
      </c>
      <c r="AL109" s="170">
        <v>0.91180587480789987</v>
      </c>
    </row>
    <row r="110" spans="1:38" ht="21" customHeight="1" x14ac:dyDescent="0.3">
      <c r="A110" s="251" t="s">
        <v>440</v>
      </c>
      <c r="B110" s="252" t="str">
        <f>VLOOKUP(A110,saīsinājumi_LV_ENG!A:G,5,FALSE)</f>
        <v>Rīgas maģistrālo ielu pārbūve</v>
      </c>
      <c r="C110" s="220" t="s">
        <v>79</v>
      </c>
      <c r="D110" s="220" t="str">
        <f>IFERROR(IF((VLOOKUP(A110,Pasākumu_līmenis!A:H,3,0))=0,"",VLOOKUP(A110,Pasākumu_līmenis!A:H,3,0)),"")</f>
        <v/>
      </c>
      <c r="E110" s="222"/>
      <c r="F110" s="222"/>
      <c r="G110" s="277"/>
      <c r="H110" s="223">
        <f>SUM(H111:H112)</f>
        <v>106823313</v>
      </c>
      <c r="I110" s="223">
        <f>SUM(I111:I112)</f>
        <v>0</v>
      </c>
      <c r="J110" s="223">
        <f>SUM(J111:J112)</f>
        <v>106823313</v>
      </c>
      <c r="K110" s="223">
        <f>SUM(K111:K112)</f>
        <v>4646774.3627410103</v>
      </c>
      <c r="L110" s="223">
        <f>SUM(L111:L112)</f>
        <v>106807324.67</v>
      </c>
      <c r="M110" s="224">
        <f t="shared" si="65"/>
        <v>0.9998503292066967</v>
      </c>
      <c r="N110" s="224">
        <f t="shared" si="61"/>
        <v>0</v>
      </c>
      <c r="O110" s="224">
        <f t="shared" si="66"/>
        <v>0</v>
      </c>
      <c r="P110" s="223">
        <f>SUM(P111:P112)</f>
        <v>5</v>
      </c>
      <c r="Q110" s="223">
        <v>106807324.67</v>
      </c>
      <c r="R110" s="224">
        <v>0.9998503292066967</v>
      </c>
      <c r="S110" s="223">
        <f>SUM(S111:S112)</f>
        <v>106807324.67</v>
      </c>
      <c r="T110" s="224">
        <f t="shared" si="67"/>
        <v>0.9998503292066967</v>
      </c>
      <c r="U110" s="224">
        <f t="shared" si="62"/>
        <v>0</v>
      </c>
      <c r="V110" s="224">
        <f t="shared" si="68"/>
        <v>0</v>
      </c>
      <c r="W110" s="223">
        <f>SUM(W111:W112)</f>
        <v>5</v>
      </c>
      <c r="X110" s="223">
        <v>106807324.67</v>
      </c>
      <c r="Y110" s="224">
        <v>0.9998503292066967</v>
      </c>
      <c r="Z110" s="223">
        <f>SUM(Z111:Z112)</f>
        <v>106807324.67</v>
      </c>
      <c r="AA110" s="224">
        <f t="shared" si="69"/>
        <v>0.9998503292066967</v>
      </c>
      <c r="AB110" s="224">
        <f t="shared" si="63"/>
        <v>0</v>
      </c>
      <c r="AC110" s="224">
        <f t="shared" si="59"/>
        <v>0</v>
      </c>
      <c r="AD110" s="223">
        <f>SUM(AD111:AD112)</f>
        <v>5</v>
      </c>
      <c r="AE110" s="223">
        <v>106807324.67</v>
      </c>
      <c r="AF110" s="224">
        <v>0.9998503292066967</v>
      </c>
      <c r="AG110" s="223">
        <f>SUM(AG111:AG112)</f>
        <v>106807324.67</v>
      </c>
      <c r="AH110" s="224">
        <f t="shared" si="70"/>
        <v>0.9998503292066967</v>
      </c>
      <c r="AI110" s="224">
        <f t="shared" si="64"/>
        <v>0</v>
      </c>
      <c r="AJ110" s="224">
        <f t="shared" si="60"/>
        <v>0</v>
      </c>
      <c r="AK110" s="223">
        <v>106807324.67</v>
      </c>
      <c r="AL110" s="224">
        <v>0.9998503292066967</v>
      </c>
    </row>
    <row r="111" spans="1:38" ht="21" customHeight="1" x14ac:dyDescent="0.3">
      <c r="A111" s="253" t="s">
        <v>287</v>
      </c>
      <c r="B111" s="254" t="str">
        <f>VLOOKUP(A111,saīsinājumi_LV_ENG!A:G,5,FALSE)</f>
        <v>Rīgas tiltu un pārvadu pārbūve</v>
      </c>
      <c r="C111" s="10" t="s">
        <v>192</v>
      </c>
      <c r="D111" s="10"/>
      <c r="E111" s="38" t="str">
        <f>Pasākumu_līmenis!D75</f>
        <v>KF</v>
      </c>
      <c r="F111" s="38" t="str">
        <f>Pasākumu_līmenis!E75</f>
        <v>SM</v>
      </c>
      <c r="G111" s="278" t="str">
        <f>VLOOKUP(A111,'2. Intervences kategorijas - Pa'!B:D,2,FALSE)</f>
        <v>07 - Veicināt ilgtspējīgu transportu un novērst trūkumus galvenajās tīkla infrastruktūrās</v>
      </c>
      <c r="H111" s="169">
        <f>Pasākumu_līmenis!F75</f>
        <v>106823313</v>
      </c>
      <c r="I111" s="169">
        <f>Pasākumu_līmenis!G75</f>
        <v>0</v>
      </c>
      <c r="J111" s="169">
        <f>Pasākumu_līmenis!H75</f>
        <v>106823313</v>
      </c>
      <c r="K111" s="169">
        <f>Pasākumu_līmenis!I75</f>
        <v>4646774.3627410103</v>
      </c>
      <c r="L111" s="169">
        <f>Pasākumu_līmenis!J75</f>
        <v>106807324.67</v>
      </c>
      <c r="M111" s="170">
        <f t="shared" si="65"/>
        <v>0.9998503292066967</v>
      </c>
      <c r="N111" s="170">
        <f t="shared" si="61"/>
        <v>0</v>
      </c>
      <c r="O111" s="170">
        <f t="shared" si="66"/>
        <v>0</v>
      </c>
      <c r="P111" s="169">
        <f>Pasākumu_līmenis!N75</f>
        <v>5</v>
      </c>
      <c r="Q111" s="169">
        <v>106807324.67</v>
      </c>
      <c r="R111" s="170">
        <v>0.9998503292066967</v>
      </c>
      <c r="S111" s="169">
        <f>Pasākumu_līmenis!Q75</f>
        <v>106807324.67</v>
      </c>
      <c r="T111" s="170">
        <f t="shared" si="67"/>
        <v>0.9998503292066967</v>
      </c>
      <c r="U111" s="170">
        <f t="shared" si="62"/>
        <v>0</v>
      </c>
      <c r="V111" s="170">
        <f t="shared" si="68"/>
        <v>0</v>
      </c>
      <c r="W111" s="169">
        <f>Pasākumu_līmenis!U75</f>
        <v>5</v>
      </c>
      <c r="X111" s="169">
        <v>106807324.67</v>
      </c>
      <c r="Y111" s="170">
        <v>0.9998503292066967</v>
      </c>
      <c r="Z111" s="169">
        <f>Pasākumu_līmenis!X75</f>
        <v>106807324.67</v>
      </c>
      <c r="AA111" s="170">
        <f t="shared" si="69"/>
        <v>0.9998503292066967</v>
      </c>
      <c r="AB111" s="170">
        <f t="shared" si="63"/>
        <v>0</v>
      </c>
      <c r="AC111" s="170">
        <f t="shared" si="59"/>
        <v>0</v>
      </c>
      <c r="AD111" s="169">
        <f>Pasākumu_līmenis!AB75</f>
        <v>5</v>
      </c>
      <c r="AE111" s="169">
        <v>106807324.67</v>
      </c>
      <c r="AF111" s="170">
        <v>0.9998503292066967</v>
      </c>
      <c r="AG111" s="169">
        <f>Pasākumu_līmenis!AE75</f>
        <v>106807324.67</v>
      </c>
      <c r="AH111" s="170">
        <f t="shared" si="70"/>
        <v>0.9998503292066967</v>
      </c>
      <c r="AI111" s="170">
        <f t="shared" si="64"/>
        <v>0</v>
      </c>
      <c r="AJ111" s="170">
        <f t="shared" si="60"/>
        <v>0</v>
      </c>
      <c r="AK111" s="169">
        <v>106807324.67</v>
      </c>
      <c r="AL111" s="170">
        <v>0.9998503292066967</v>
      </c>
    </row>
    <row r="112" spans="1:38" ht="39.75" customHeight="1" x14ac:dyDescent="0.3">
      <c r="A112" s="253" t="s">
        <v>288</v>
      </c>
      <c r="B112" s="254" t="str">
        <f>VLOOKUP(A112,saīsinājumi_LV_ENG!A:G,5,FALSE)</f>
        <v>Torņkalna multimodālais transporta mezgls</v>
      </c>
      <c r="C112" s="10" t="s">
        <v>193</v>
      </c>
      <c r="D112" s="10"/>
      <c r="E112" s="38" t="str">
        <f>Pasākumu_līmenis!D76</f>
        <v>KF</v>
      </c>
      <c r="F112" s="38" t="str">
        <f>Pasākumu_līmenis!E76</f>
        <v>SM</v>
      </c>
      <c r="G112" s="278" t="str">
        <f>VLOOKUP(A112,'2. Intervences kategorijas - Pa'!B:D,2,FALSE)</f>
        <v>07 - Veicināt ilgtspējīgu transportu un novērst trūkumus galvenajās tīkla infrastruktūrās</v>
      </c>
      <c r="H112" s="169">
        <f>Pasākumu_līmenis!F76</f>
        <v>0</v>
      </c>
      <c r="I112" s="169">
        <f>Pasākumu_līmenis!G76</f>
        <v>0</v>
      </c>
      <c r="J112" s="169">
        <f>Pasākumu_līmenis!H76</f>
        <v>0</v>
      </c>
      <c r="K112" s="169">
        <f>Pasākumu_līmenis!I76</f>
        <v>0</v>
      </c>
      <c r="L112" s="169">
        <f>Pasākumu_līmenis!J76</f>
        <v>0</v>
      </c>
      <c r="M112" s="170">
        <f>IFERROR(L112/$H112,0)</f>
        <v>0</v>
      </c>
      <c r="N112" s="170">
        <f t="shared" si="61"/>
        <v>0</v>
      </c>
      <c r="O112" s="170">
        <f t="shared" si="66"/>
        <v>0</v>
      </c>
      <c r="P112" s="169">
        <f>Pasākumu_līmenis!N76</f>
        <v>0</v>
      </c>
      <c r="Q112" s="169">
        <v>0</v>
      </c>
      <c r="R112" s="170">
        <v>0</v>
      </c>
      <c r="S112" s="169">
        <f>Pasākumu_līmenis!Q76</f>
        <v>0</v>
      </c>
      <c r="T112" s="170">
        <f>IFERROR(S112/$H112,0)</f>
        <v>0</v>
      </c>
      <c r="U112" s="170">
        <f t="shared" si="62"/>
        <v>0</v>
      </c>
      <c r="V112" s="170">
        <f t="shared" si="68"/>
        <v>0</v>
      </c>
      <c r="W112" s="169">
        <f>Pasākumu_līmenis!U76</f>
        <v>0</v>
      </c>
      <c r="X112" s="169">
        <v>0</v>
      </c>
      <c r="Y112" s="170">
        <v>0</v>
      </c>
      <c r="Z112" s="169">
        <f>Pasākumu_līmenis!X76</f>
        <v>0</v>
      </c>
      <c r="AA112" s="170">
        <f>IFERROR(Z112/$H112,0)</f>
        <v>0</v>
      </c>
      <c r="AB112" s="170">
        <f t="shared" si="63"/>
        <v>0</v>
      </c>
      <c r="AC112" s="170">
        <f t="shared" si="59"/>
        <v>0</v>
      </c>
      <c r="AD112" s="169">
        <f>Pasākumu_līmenis!AB76</f>
        <v>0</v>
      </c>
      <c r="AE112" s="169">
        <v>0</v>
      </c>
      <c r="AF112" s="170">
        <v>0</v>
      </c>
      <c r="AG112" s="169">
        <f>Pasākumu_līmenis!AE76</f>
        <v>0</v>
      </c>
      <c r="AH112" s="170">
        <f>IFERROR(AG112/$H112,0)</f>
        <v>0</v>
      </c>
      <c r="AI112" s="170">
        <f t="shared" si="64"/>
        <v>0</v>
      </c>
      <c r="AJ112" s="170">
        <f t="shared" si="60"/>
        <v>0</v>
      </c>
      <c r="AK112" s="169">
        <v>0</v>
      </c>
      <c r="AL112" s="170">
        <v>0</v>
      </c>
    </row>
    <row r="113" spans="1:38" ht="39.75" customHeight="1" x14ac:dyDescent="0.3">
      <c r="A113" s="251" t="s">
        <v>441</v>
      </c>
      <c r="B113" s="252" t="str">
        <f>VLOOKUP(A113,saīsinājumi_LV_ENG!A:G,5,FALSE)</f>
        <v>Pilsētu infrastruktūras sasaiste ar TEN-T tīklu</v>
      </c>
      <c r="C113" s="220" t="s">
        <v>80</v>
      </c>
      <c r="D113" s="220"/>
      <c r="E113" s="222"/>
      <c r="F113" s="222"/>
      <c r="G113" s="277"/>
      <c r="H113" s="223">
        <f>SUM(H114:H115)</f>
        <v>49756932</v>
      </c>
      <c r="I113" s="223">
        <f>SUM(I114:I115)</f>
        <v>0</v>
      </c>
      <c r="J113" s="223">
        <f>SUM(J114:J115)</f>
        <v>49756932</v>
      </c>
      <c r="K113" s="223">
        <f>SUM(K114:K115)</f>
        <v>2778862.1693609902</v>
      </c>
      <c r="L113" s="223">
        <f>SUM(L114:L115)</f>
        <v>44979146.530000001</v>
      </c>
      <c r="M113" s="224">
        <f t="shared" si="65"/>
        <v>0.9039774906137702</v>
      </c>
      <c r="N113" s="224">
        <f t="shared" si="61"/>
        <v>0</v>
      </c>
      <c r="O113" s="224">
        <f t="shared" si="66"/>
        <v>0</v>
      </c>
      <c r="P113" s="223">
        <f>SUM(P114:P115)</f>
        <v>9</v>
      </c>
      <c r="Q113" s="223">
        <v>44979146.530000001</v>
      </c>
      <c r="R113" s="224">
        <v>0.9039774906137702</v>
      </c>
      <c r="S113" s="223">
        <f>SUM(S114:S115)</f>
        <v>44979146.530000001</v>
      </c>
      <c r="T113" s="224">
        <f t="shared" si="67"/>
        <v>0.9039774906137702</v>
      </c>
      <c r="U113" s="224">
        <f t="shared" si="62"/>
        <v>0</v>
      </c>
      <c r="V113" s="224">
        <f t="shared" si="68"/>
        <v>0</v>
      </c>
      <c r="W113" s="223">
        <f>SUM(W114:W115)</f>
        <v>9</v>
      </c>
      <c r="X113" s="223">
        <v>44979146.530000001</v>
      </c>
      <c r="Y113" s="224">
        <v>0.9039774906137702</v>
      </c>
      <c r="Z113" s="223">
        <f>SUM(Z114:Z115)</f>
        <v>44979146.530000001</v>
      </c>
      <c r="AA113" s="224">
        <f t="shared" si="69"/>
        <v>0.9039774906137702</v>
      </c>
      <c r="AB113" s="224">
        <f t="shared" si="63"/>
        <v>0</v>
      </c>
      <c r="AC113" s="224">
        <f t="shared" si="59"/>
        <v>0</v>
      </c>
      <c r="AD113" s="223">
        <f>SUM(AD114:AD115)</f>
        <v>9</v>
      </c>
      <c r="AE113" s="223">
        <v>44979146.530000001</v>
      </c>
      <c r="AF113" s="224">
        <v>0.9039774906137702</v>
      </c>
      <c r="AG113" s="223">
        <f>SUM(AG114:AG115)</f>
        <v>45578674.630000003</v>
      </c>
      <c r="AH113" s="224">
        <f t="shared" si="70"/>
        <v>0.91602662780735766</v>
      </c>
      <c r="AI113" s="224">
        <f t="shared" si="64"/>
        <v>0</v>
      </c>
      <c r="AJ113" s="224">
        <f t="shared" si="60"/>
        <v>0</v>
      </c>
      <c r="AK113" s="223">
        <v>45578674.630000003</v>
      </c>
      <c r="AL113" s="224">
        <v>0.91602662780735766</v>
      </c>
    </row>
    <row r="114" spans="1:38" ht="39.75" customHeight="1" x14ac:dyDescent="0.3">
      <c r="A114" s="253" t="s">
        <v>289</v>
      </c>
      <c r="B114" s="254" t="str">
        <f>VLOOKUP(A114,saīsinājumi_LV_ENG!A:G,5,FALSE)</f>
        <v>Rīgas pilsētas integrēšana TEN-T tīklā</v>
      </c>
      <c r="C114" s="10" t="s">
        <v>194</v>
      </c>
      <c r="D114" s="10"/>
      <c r="E114" s="38" t="str">
        <f>Pasākumu_līmenis!D77</f>
        <v>KF</v>
      </c>
      <c r="F114" s="38" t="str">
        <f>Pasākumu_līmenis!E77</f>
        <v>SM</v>
      </c>
      <c r="G114" s="278" t="str">
        <f>VLOOKUP(A114,'2. Intervences kategorijas - Pa'!B:D,2,FALSE)</f>
        <v>07 - Veicināt ilgtspējīgu transportu un novērst trūkumus galvenajās tīkla infrastruktūrās</v>
      </c>
      <c r="H114" s="169">
        <f>Pasākumu_līmenis!F77</f>
        <v>0</v>
      </c>
      <c r="I114" s="169">
        <f>Pasākumu_līmenis!G77</f>
        <v>0</v>
      </c>
      <c r="J114" s="169">
        <f>Pasākumu_līmenis!H77</f>
        <v>0</v>
      </c>
      <c r="K114" s="169">
        <f>Pasākumu_līmenis!I77</f>
        <v>0</v>
      </c>
      <c r="L114" s="169">
        <f>Pasākumu_līmenis!J77</f>
        <v>0</v>
      </c>
      <c r="M114" s="170">
        <f>IFERROR(L114/$H114,0)</f>
        <v>0</v>
      </c>
      <c r="N114" s="170">
        <f t="shared" si="61"/>
        <v>0</v>
      </c>
      <c r="O114" s="170">
        <f t="shared" si="66"/>
        <v>0</v>
      </c>
      <c r="P114" s="169">
        <f>Pasākumu_līmenis!N77</f>
        <v>0</v>
      </c>
      <c r="Q114" s="169">
        <v>0</v>
      </c>
      <c r="R114" s="170">
        <v>0</v>
      </c>
      <c r="S114" s="169">
        <f>Pasākumu_līmenis!Q77</f>
        <v>0</v>
      </c>
      <c r="T114" s="170">
        <f>IFERROR(S114/$H114,0)</f>
        <v>0</v>
      </c>
      <c r="U114" s="170">
        <f t="shared" si="62"/>
        <v>0</v>
      </c>
      <c r="V114" s="170">
        <f t="shared" si="68"/>
        <v>0</v>
      </c>
      <c r="W114" s="169">
        <f>Pasākumu_līmenis!U77</f>
        <v>0</v>
      </c>
      <c r="X114" s="169">
        <v>0</v>
      </c>
      <c r="Y114" s="170">
        <v>0</v>
      </c>
      <c r="Z114" s="169">
        <f>Pasākumu_līmenis!X77</f>
        <v>0</v>
      </c>
      <c r="AA114" s="170">
        <f>IFERROR(Z114/$H114,0)</f>
        <v>0</v>
      </c>
      <c r="AB114" s="170">
        <f t="shared" si="63"/>
        <v>0</v>
      </c>
      <c r="AC114" s="170">
        <f t="shared" si="59"/>
        <v>0</v>
      </c>
      <c r="AD114" s="169">
        <f>Pasākumu_līmenis!AB77</f>
        <v>0</v>
      </c>
      <c r="AE114" s="169">
        <v>0</v>
      </c>
      <c r="AF114" s="170">
        <v>0</v>
      </c>
      <c r="AG114" s="169">
        <f>Pasākumu_līmenis!AE77</f>
        <v>0</v>
      </c>
      <c r="AH114" s="170">
        <f>IFERROR(AG114/$H114,0)</f>
        <v>0</v>
      </c>
      <c r="AI114" s="170">
        <f t="shared" si="64"/>
        <v>0</v>
      </c>
      <c r="AJ114" s="170">
        <f t="shared" si="60"/>
        <v>0</v>
      </c>
      <c r="AK114" s="169">
        <v>0</v>
      </c>
      <c r="AL114" s="170">
        <v>0</v>
      </c>
    </row>
    <row r="115" spans="1:38" ht="39.75" customHeight="1" x14ac:dyDescent="0.3">
      <c r="A115" s="253" t="s">
        <v>290</v>
      </c>
      <c r="B115" s="254" t="str">
        <f>VLOOKUP(A115,saīsinājumi_LV_ENG!A:G,5,FALSE)</f>
        <v>Lielo pilsētu integrēšana TEN-T tīklā</v>
      </c>
      <c r="C115" s="10" t="s">
        <v>195</v>
      </c>
      <c r="D115" s="42"/>
      <c r="E115" s="38" t="str">
        <f>Pasākumu_līmenis!D78</f>
        <v>KF</v>
      </c>
      <c r="F115" s="38" t="str">
        <f>Pasākumu_līmenis!E78</f>
        <v>SM</v>
      </c>
      <c r="G115" s="278" t="str">
        <f>VLOOKUP(A115,'2. Intervences kategorijas - Pa'!B:D,2,FALSE)</f>
        <v>07 - Veicināt ilgtspējīgu transportu un novērst trūkumus galvenajās tīkla infrastruktūrās</v>
      </c>
      <c r="H115" s="169">
        <f>Pasākumu_līmenis!F78</f>
        <v>49756932</v>
      </c>
      <c r="I115" s="169">
        <f>Pasākumu_līmenis!G78</f>
        <v>0</v>
      </c>
      <c r="J115" s="169">
        <f>Pasākumu_līmenis!H78</f>
        <v>49756932</v>
      </c>
      <c r="K115" s="169">
        <f>Pasākumu_līmenis!I78</f>
        <v>2778862.1693609902</v>
      </c>
      <c r="L115" s="169">
        <f>Pasākumu_līmenis!J78</f>
        <v>44979146.530000001</v>
      </c>
      <c r="M115" s="170">
        <f t="shared" si="65"/>
        <v>0.9039774906137702</v>
      </c>
      <c r="N115" s="170">
        <f t="shared" si="61"/>
        <v>0</v>
      </c>
      <c r="O115" s="170">
        <f t="shared" si="66"/>
        <v>0</v>
      </c>
      <c r="P115" s="169">
        <f>Pasākumu_līmenis!N78</f>
        <v>9</v>
      </c>
      <c r="Q115" s="169">
        <v>44979146.530000001</v>
      </c>
      <c r="R115" s="170">
        <v>0.9039774906137702</v>
      </c>
      <c r="S115" s="169">
        <f>Pasākumu_līmenis!Q78</f>
        <v>44979146.530000001</v>
      </c>
      <c r="T115" s="170">
        <f t="shared" si="67"/>
        <v>0.9039774906137702</v>
      </c>
      <c r="U115" s="170">
        <f t="shared" si="62"/>
        <v>0</v>
      </c>
      <c r="V115" s="170">
        <f t="shared" si="68"/>
        <v>0</v>
      </c>
      <c r="W115" s="169">
        <f>Pasākumu_līmenis!U78</f>
        <v>9</v>
      </c>
      <c r="X115" s="169">
        <v>44979146.530000001</v>
      </c>
      <c r="Y115" s="170">
        <v>0.9039774906137702</v>
      </c>
      <c r="Z115" s="169">
        <f>Pasākumu_līmenis!X78</f>
        <v>44979146.530000001</v>
      </c>
      <c r="AA115" s="170">
        <f t="shared" si="69"/>
        <v>0.9039774906137702</v>
      </c>
      <c r="AB115" s="170">
        <f t="shared" si="63"/>
        <v>0</v>
      </c>
      <c r="AC115" s="170">
        <f t="shared" si="59"/>
        <v>0</v>
      </c>
      <c r="AD115" s="169">
        <f>Pasākumu_līmenis!AB78</f>
        <v>9</v>
      </c>
      <c r="AE115" s="169">
        <v>44979146.530000001</v>
      </c>
      <c r="AF115" s="170">
        <v>0.9039774906137702</v>
      </c>
      <c r="AG115" s="169">
        <f>Pasākumu_līmenis!AE78</f>
        <v>45578674.630000003</v>
      </c>
      <c r="AH115" s="170">
        <f t="shared" si="70"/>
        <v>0.91602662780735766</v>
      </c>
      <c r="AI115" s="170">
        <f t="shared" si="64"/>
        <v>0</v>
      </c>
      <c r="AJ115" s="170">
        <f t="shared" si="60"/>
        <v>0</v>
      </c>
      <c r="AK115" s="169">
        <v>45578674.630000003</v>
      </c>
      <c r="AL115" s="170">
        <v>0.91602662780735766</v>
      </c>
    </row>
    <row r="116" spans="1:38" ht="21" customHeight="1" x14ac:dyDescent="0.3">
      <c r="A116" s="255" t="s">
        <v>291</v>
      </c>
      <c r="B116" s="254" t="str">
        <f>VLOOKUP(A116,saīsinājumi_LV_ENG!A:G,5,FALSE)</f>
        <v>Galveno autoceļu pārbūve</v>
      </c>
      <c r="C116" s="10" t="s">
        <v>81</v>
      </c>
      <c r="D116" s="42"/>
      <c r="E116" s="38" t="str">
        <f>Pasākumu_līmenis!D79</f>
        <v>KF</v>
      </c>
      <c r="F116" s="38" t="str">
        <f>Pasākumu_līmenis!E79</f>
        <v>SM</v>
      </c>
      <c r="G116" s="278" t="str">
        <f>VLOOKUP(A116,'2. Intervences kategorijas - Pa'!B:D,2,FALSE)</f>
        <v>07 - Veicināt ilgtspējīgu transportu un novērst trūkumus galvenajās tīkla infrastruktūrās</v>
      </c>
      <c r="H116" s="169">
        <f>Pasākumu_līmenis!F79</f>
        <v>257791486</v>
      </c>
      <c r="I116" s="169">
        <f>Pasākumu_līmenis!G79</f>
        <v>0</v>
      </c>
      <c r="J116" s="169">
        <f>Pasākumu_līmenis!H79</f>
        <v>257791486</v>
      </c>
      <c r="K116" s="169">
        <f>Pasākumu_līmenis!I79</f>
        <v>13514767.514866401</v>
      </c>
      <c r="L116" s="169">
        <f>Pasākumu_līmenis!J79</f>
        <v>252454762.66999999</v>
      </c>
      <c r="M116" s="170">
        <f t="shared" si="65"/>
        <v>0.97929829486300413</v>
      </c>
      <c r="N116" s="170">
        <f t="shared" si="61"/>
        <v>0</v>
      </c>
      <c r="O116" s="170">
        <f t="shared" si="66"/>
        <v>0</v>
      </c>
      <c r="P116" s="169">
        <f>Pasākumu_līmenis!N79</f>
        <v>24</v>
      </c>
      <c r="Q116" s="169">
        <v>252454762.66999999</v>
      </c>
      <c r="R116" s="170">
        <v>0.97929829486300413</v>
      </c>
      <c r="S116" s="169">
        <f>Pasākumu_līmenis!Q79</f>
        <v>252454762.66999999</v>
      </c>
      <c r="T116" s="170">
        <f t="shared" si="67"/>
        <v>0.97929829486300413</v>
      </c>
      <c r="U116" s="170">
        <f t="shared" si="62"/>
        <v>0</v>
      </c>
      <c r="V116" s="170">
        <f t="shared" si="68"/>
        <v>0</v>
      </c>
      <c r="W116" s="169">
        <f>Pasākumu_līmenis!U79</f>
        <v>24</v>
      </c>
      <c r="X116" s="169">
        <v>252454762.66999999</v>
      </c>
      <c r="Y116" s="170">
        <v>0.97929829486300413</v>
      </c>
      <c r="Z116" s="169">
        <f>Pasākumu_līmenis!X79</f>
        <v>252454762.66999999</v>
      </c>
      <c r="AA116" s="170">
        <f t="shared" si="69"/>
        <v>0.97929829486300413</v>
      </c>
      <c r="AB116" s="170">
        <f t="shared" si="63"/>
        <v>0</v>
      </c>
      <c r="AC116" s="170">
        <f t="shared" si="59"/>
        <v>0</v>
      </c>
      <c r="AD116" s="169">
        <f>Pasākumu_līmenis!AB79</f>
        <v>24</v>
      </c>
      <c r="AE116" s="169">
        <v>252454762.66999999</v>
      </c>
      <c r="AF116" s="170">
        <v>0.97929829486300413</v>
      </c>
      <c r="AG116" s="169">
        <f>Pasākumu_līmenis!AE79</f>
        <v>251921771.31</v>
      </c>
      <c r="AH116" s="170">
        <f t="shared" si="70"/>
        <v>0.9772307659144337</v>
      </c>
      <c r="AI116" s="170">
        <f t="shared" si="64"/>
        <v>0</v>
      </c>
      <c r="AJ116" s="170">
        <f t="shared" si="60"/>
        <v>0</v>
      </c>
      <c r="AK116" s="169">
        <v>251921771.31</v>
      </c>
      <c r="AL116" s="170">
        <v>0.9772307659144337</v>
      </c>
    </row>
    <row r="117" spans="1:38" ht="39.75" customHeight="1" x14ac:dyDescent="0.3">
      <c r="A117" s="255" t="s">
        <v>1295</v>
      </c>
      <c r="B117" s="254" t="str">
        <f>VLOOKUP(A117,saīsinājumi_LV_ENG!A:G,5,FALSE)</f>
        <v>Transporta nozares informācijas piekļuves punkta izveide</v>
      </c>
      <c r="C117" s="10"/>
      <c r="D117" s="42"/>
      <c r="E117" s="38" t="str">
        <f>Pasākumu_līmenis!D80</f>
        <v>KF</v>
      </c>
      <c r="F117" s="38" t="str">
        <f>Pasākumu_līmenis!E80</f>
        <v>SM</v>
      </c>
      <c r="G117" s="278"/>
      <c r="H117" s="169">
        <f>Pasākumu_līmenis!F80</f>
        <v>5000000</v>
      </c>
      <c r="I117" s="169">
        <f>Pasākumu_līmenis!G80</f>
        <v>0</v>
      </c>
      <c r="J117" s="169">
        <f>Pasākumu_līmenis!H80</f>
        <v>5000000</v>
      </c>
      <c r="K117" s="169"/>
      <c r="L117" s="169">
        <f>Pasākumu_līmenis!J80</f>
        <v>4167215.19</v>
      </c>
      <c r="M117" s="170">
        <f t="shared" si="65"/>
        <v>0.83344303799999997</v>
      </c>
      <c r="N117" s="170">
        <f>M117-R117</f>
        <v>0</v>
      </c>
      <c r="O117" s="170">
        <f t="shared" si="66"/>
        <v>0</v>
      </c>
      <c r="P117" s="169">
        <f>Pasākumu_līmenis!N80</f>
        <v>1</v>
      </c>
      <c r="Q117" s="169">
        <v>4167215.19</v>
      </c>
      <c r="R117" s="170">
        <v>0.83344303799999997</v>
      </c>
      <c r="S117" s="169">
        <f>Pasākumu_līmenis!Q80</f>
        <v>4167215.19</v>
      </c>
      <c r="T117" s="170">
        <f t="shared" ref="T117" si="84">S117/$H117</f>
        <v>0.83344303799999997</v>
      </c>
      <c r="U117" s="170">
        <f t="shared" ref="U117" si="85">T117-Y117</f>
        <v>0</v>
      </c>
      <c r="V117" s="170">
        <f t="shared" ref="V117" si="86">IFERROR(((S117-X117)/X117),0)</f>
        <v>0</v>
      </c>
      <c r="W117" s="169">
        <f>Pasākumu_līmenis!U80</f>
        <v>1</v>
      </c>
      <c r="X117" s="169">
        <v>4167215.19</v>
      </c>
      <c r="Y117" s="170">
        <v>0.83344303799999997</v>
      </c>
      <c r="Z117" s="169">
        <f>Pasākumu_līmenis!X80</f>
        <v>4167215.19</v>
      </c>
      <c r="AA117" s="170">
        <f t="shared" ref="AA117" si="87">Z117/$H117</f>
        <v>0.83344303799999997</v>
      </c>
      <c r="AB117" s="170">
        <f t="shared" ref="AB117" si="88">AA117-AF117</f>
        <v>0</v>
      </c>
      <c r="AC117" s="170">
        <f t="shared" ref="AC117" si="89">IFERROR(((Z117-AE117)/AE117),0)</f>
        <v>0</v>
      </c>
      <c r="AD117" s="169">
        <f>Pasākumu_līmenis!AB80</f>
        <v>1</v>
      </c>
      <c r="AE117" s="169">
        <v>4167215.19</v>
      </c>
      <c r="AF117" s="170">
        <v>0.83344303799999997</v>
      </c>
      <c r="AG117" s="169">
        <f>Pasākumu_līmenis!AE80</f>
        <v>4167215.19</v>
      </c>
      <c r="AH117" s="170">
        <f t="shared" ref="AH117" si="90">AG117/$H117</f>
        <v>0.83344303799999997</v>
      </c>
      <c r="AI117" s="170">
        <f t="shared" ref="AI117" si="91">AH117-AL117</f>
        <v>0</v>
      </c>
      <c r="AJ117" s="170">
        <f t="shared" ref="AJ117" si="92">IFERROR(((AG117-AK117)/AK117),0)</f>
        <v>0</v>
      </c>
      <c r="AK117" s="169">
        <v>4167215.19</v>
      </c>
      <c r="AL117" s="170">
        <v>0.83344303799999997</v>
      </c>
    </row>
    <row r="118" spans="1:38" ht="39.75" customHeight="1" x14ac:dyDescent="0.3">
      <c r="A118" s="255" t="s">
        <v>1338</v>
      </c>
      <c r="B118" s="254" t="str">
        <f>Pasākumu_līmenis!B81</f>
        <v>Ar Rail Baltica projekta saistītās atbalsta infrastruktūras pārbūve</v>
      </c>
      <c r="C118" s="10"/>
      <c r="D118" s="42"/>
      <c r="E118" s="38" t="str">
        <f>Pasākumu_līmenis!D81</f>
        <v>KF</v>
      </c>
      <c r="F118" s="38" t="str">
        <f>Pasākumu_līmenis!E81</f>
        <v>SM</v>
      </c>
      <c r="G118" s="278"/>
      <c r="H118" s="169">
        <f>Pasākumu_līmenis!F81</f>
        <v>23800000</v>
      </c>
      <c r="I118" s="169">
        <f>Pasākumu_līmenis!G81</f>
        <v>0</v>
      </c>
      <c r="J118" s="169">
        <f>Pasākumu_līmenis!H81</f>
        <v>23800000</v>
      </c>
      <c r="K118" s="169"/>
      <c r="L118" s="169">
        <f>Pasākumu_līmenis!J81</f>
        <v>21501368.760000002</v>
      </c>
      <c r="M118" s="170">
        <f t="shared" ref="M118" si="93">L118/$H118</f>
        <v>0.90341885546218492</v>
      </c>
      <c r="N118" s="170">
        <f>M118-R118</f>
        <v>0</v>
      </c>
      <c r="O118" s="170">
        <f t="shared" ref="O118" si="94">IFERROR(((L118-Q118)/Q118),0)</f>
        <v>0</v>
      </c>
      <c r="P118" s="169">
        <f>Pasākumu_līmenis!N81</f>
        <v>1</v>
      </c>
      <c r="Q118" s="169">
        <v>21501368.760000002</v>
      </c>
      <c r="R118" s="170">
        <v>0.90341885546218492</v>
      </c>
      <c r="S118" s="169">
        <f>Pasākumu_līmenis!Q81</f>
        <v>21501368.760000002</v>
      </c>
      <c r="T118" s="170">
        <f t="shared" ref="T118" si="95">S118/$H118</f>
        <v>0.90341885546218492</v>
      </c>
      <c r="U118" s="170">
        <f t="shared" ref="U118" si="96">T118-Y118</f>
        <v>0</v>
      </c>
      <c r="V118" s="170">
        <f t="shared" ref="V118" si="97">IFERROR(((S118-X118)/X118),0)</f>
        <v>0</v>
      </c>
      <c r="W118" s="169">
        <f>Pasākumu_līmenis!U81</f>
        <v>1</v>
      </c>
      <c r="X118" s="169">
        <v>21501368.760000002</v>
      </c>
      <c r="Y118" s="170">
        <v>0.90341885546218492</v>
      </c>
      <c r="Z118" s="169">
        <f>Pasākumu_līmenis!X81</f>
        <v>21501368.760000002</v>
      </c>
      <c r="AA118" s="170">
        <f t="shared" ref="AA118" si="98">Z118/$H118</f>
        <v>0.90341885546218492</v>
      </c>
      <c r="AB118" s="170">
        <f t="shared" ref="AB118" si="99">AA118-AF118</f>
        <v>0</v>
      </c>
      <c r="AC118" s="170">
        <f t="shared" ref="AC118" si="100">IFERROR(((Z118-AE118)/AE118),0)</f>
        <v>0</v>
      </c>
      <c r="AD118" s="169">
        <f>Pasākumu_līmenis!AB81</f>
        <v>1</v>
      </c>
      <c r="AE118" s="169">
        <v>21501368.760000002</v>
      </c>
      <c r="AF118" s="170">
        <v>0.90341885546218492</v>
      </c>
      <c r="AG118" s="169">
        <f>Pasākumu_līmenis!AE81</f>
        <v>21501368.760000002</v>
      </c>
      <c r="AH118" s="170">
        <f t="shared" ref="AH118" si="101">AG118/$H118</f>
        <v>0.90341885546218492</v>
      </c>
      <c r="AI118" s="170">
        <f t="shared" ref="AI118" si="102">AH118-AL118</f>
        <v>0</v>
      </c>
      <c r="AJ118" s="170">
        <f t="shared" ref="AJ118" si="103">IFERROR(((AG118-AK118)/AK118),0)</f>
        <v>0</v>
      </c>
      <c r="AK118" s="169">
        <v>21501368.760000002</v>
      </c>
      <c r="AL118" s="170">
        <v>0.90341885546218492</v>
      </c>
    </row>
    <row r="119" spans="1:38" ht="39.75" customHeight="1" x14ac:dyDescent="0.3">
      <c r="A119" s="255" t="s">
        <v>1339</v>
      </c>
      <c r="B119" s="254" t="str">
        <f>Pasākumu_līmenis!B82</f>
        <v>Pētījums sabiedriskā transporta plānam Rīgas metropoles areālā</v>
      </c>
      <c r="C119" s="10"/>
      <c r="D119" s="42"/>
      <c r="E119" s="38" t="str">
        <f>Pasākumu_līmenis!D82</f>
        <v>KF</v>
      </c>
      <c r="F119" s="38" t="str">
        <f>Pasākumu_līmenis!E82</f>
        <v>SM</v>
      </c>
      <c r="G119" s="278"/>
      <c r="H119" s="169">
        <f>Pasākumu_līmenis!F82</f>
        <v>1000000</v>
      </c>
      <c r="I119" s="169">
        <f>Pasākumu_līmenis!G82</f>
        <v>0</v>
      </c>
      <c r="J119" s="169">
        <f>Pasākumu_līmenis!H82</f>
        <v>1000000</v>
      </c>
      <c r="K119" s="169"/>
      <c r="L119" s="169">
        <f>Pasākumu_līmenis!J82</f>
        <v>952787.7</v>
      </c>
      <c r="M119" s="170">
        <f t="shared" ref="M119" si="104">L119/$H119</f>
        <v>0.9527876999999999</v>
      </c>
      <c r="N119" s="170">
        <f>M119-R119</f>
        <v>0</v>
      </c>
      <c r="O119" s="170">
        <f t="shared" ref="O119" si="105">IFERROR(((L119-Q119)/Q119),0)</f>
        <v>0</v>
      </c>
      <c r="P119" s="169">
        <f>Pasākumu_līmenis!N82</f>
        <v>1</v>
      </c>
      <c r="Q119" s="169">
        <v>952787.7</v>
      </c>
      <c r="R119" s="170">
        <v>0.9527876999999999</v>
      </c>
      <c r="S119" s="169">
        <f>Pasākumu_līmenis!Q82</f>
        <v>952787.7</v>
      </c>
      <c r="T119" s="170">
        <f t="shared" ref="T119" si="106">S119/$H119</f>
        <v>0.9527876999999999</v>
      </c>
      <c r="U119" s="170">
        <f t="shared" ref="U119" si="107">T119-Y119</f>
        <v>0</v>
      </c>
      <c r="V119" s="170">
        <f t="shared" ref="V119" si="108">IFERROR(((S119-X119)/X119),0)</f>
        <v>0</v>
      </c>
      <c r="W119" s="169">
        <f>Pasākumu_līmenis!U82</f>
        <v>1</v>
      </c>
      <c r="X119" s="169">
        <v>952787.7</v>
      </c>
      <c r="Y119" s="170">
        <v>0.9527876999999999</v>
      </c>
      <c r="Z119" s="169">
        <f>Pasākumu_līmenis!X82</f>
        <v>952787.7</v>
      </c>
      <c r="AA119" s="170">
        <f t="shared" ref="AA119" si="109">Z119/$H119</f>
        <v>0.9527876999999999</v>
      </c>
      <c r="AB119" s="170">
        <f t="shared" ref="AB119" si="110">AA119-AF119</f>
        <v>0</v>
      </c>
      <c r="AC119" s="170">
        <f t="shared" ref="AC119" si="111">IFERROR(((Z119-AE119)/AE119),0)</f>
        <v>0</v>
      </c>
      <c r="AD119" s="169">
        <f>Pasākumu_līmenis!AB82</f>
        <v>1</v>
      </c>
      <c r="AE119" s="169">
        <v>952787.7</v>
      </c>
      <c r="AF119" s="170">
        <v>0.9527876999999999</v>
      </c>
      <c r="AG119" s="169">
        <f>Pasākumu_līmenis!AE82</f>
        <v>952787.7</v>
      </c>
      <c r="AH119" s="170">
        <f t="shared" ref="AH119" si="112">AG119/$H119</f>
        <v>0.9527876999999999</v>
      </c>
      <c r="AI119" s="170">
        <f t="shared" ref="AI119" si="113">AH119-AL119</f>
        <v>0</v>
      </c>
      <c r="AJ119" s="170">
        <f t="shared" ref="AJ119" si="114">IFERROR(((AG119-AK119)/AK119),0)</f>
        <v>0</v>
      </c>
      <c r="AK119" s="169">
        <v>952787.7</v>
      </c>
      <c r="AL119" s="170">
        <v>0.9527876999999999</v>
      </c>
    </row>
    <row r="120" spans="1:38" ht="21" customHeight="1" x14ac:dyDescent="0.3">
      <c r="A120" s="249" t="s">
        <v>73</v>
      </c>
      <c r="B120" s="250" t="str">
        <f>VLOOKUP(A120,saīsinājumi_LV_ENG!A:G,5,FALSE)</f>
        <v>Investīcijas dzelzceļa tīklā</v>
      </c>
      <c r="C120" s="215" t="s">
        <v>82</v>
      </c>
      <c r="D120" s="216"/>
      <c r="E120" s="217"/>
      <c r="F120" s="217"/>
      <c r="G120" s="276"/>
      <c r="H120" s="218">
        <f>H121</f>
        <v>123087758</v>
      </c>
      <c r="I120" s="218">
        <f>I121</f>
        <v>0</v>
      </c>
      <c r="J120" s="218">
        <f>J121</f>
        <v>123087758</v>
      </c>
      <c r="K120" s="218">
        <f>K121</f>
        <v>28082986</v>
      </c>
      <c r="L120" s="218">
        <f>L121</f>
        <v>61815726.850000001</v>
      </c>
      <c r="M120" s="219">
        <f t="shared" si="65"/>
        <v>0.50220856935260771</v>
      </c>
      <c r="N120" s="219">
        <f t="shared" si="61"/>
        <v>0</v>
      </c>
      <c r="O120" s="219">
        <f t="shared" si="66"/>
        <v>0</v>
      </c>
      <c r="P120" s="218">
        <f>P121</f>
        <v>3</v>
      </c>
      <c r="Q120" s="218">
        <v>61815726.850000001</v>
      </c>
      <c r="R120" s="219">
        <v>0.50220856935260771</v>
      </c>
      <c r="S120" s="218">
        <f>S121</f>
        <v>61815726.850000001</v>
      </c>
      <c r="T120" s="219">
        <f t="shared" si="67"/>
        <v>0.50220856935260771</v>
      </c>
      <c r="U120" s="219">
        <f t="shared" si="62"/>
        <v>0</v>
      </c>
      <c r="V120" s="219">
        <f t="shared" si="68"/>
        <v>0</v>
      </c>
      <c r="W120" s="218">
        <f>W121</f>
        <v>3</v>
      </c>
      <c r="X120" s="218">
        <v>61815726.850000001</v>
      </c>
      <c r="Y120" s="219">
        <v>0.50220856935260771</v>
      </c>
      <c r="Z120" s="218">
        <f>Z121</f>
        <v>61815726.850000001</v>
      </c>
      <c r="AA120" s="219">
        <f t="shared" si="69"/>
        <v>0.50220856935260771</v>
      </c>
      <c r="AB120" s="219">
        <f t="shared" si="63"/>
        <v>0</v>
      </c>
      <c r="AC120" s="219">
        <f t="shared" si="59"/>
        <v>0</v>
      </c>
      <c r="AD120" s="218">
        <f>AD121</f>
        <v>3</v>
      </c>
      <c r="AE120" s="218">
        <v>61815726.850000001</v>
      </c>
      <c r="AF120" s="219">
        <v>0.50220856935260771</v>
      </c>
      <c r="AG120" s="218">
        <f>AG121</f>
        <v>61815726.850000001</v>
      </c>
      <c r="AH120" s="219">
        <f t="shared" si="70"/>
        <v>0.50220856935260771</v>
      </c>
      <c r="AI120" s="219">
        <f t="shared" si="64"/>
        <v>0</v>
      </c>
      <c r="AJ120" s="219">
        <f t="shared" si="60"/>
        <v>0</v>
      </c>
      <c r="AK120" s="218">
        <v>61815726.850000001</v>
      </c>
      <c r="AL120" s="219">
        <v>0.50220856935260771</v>
      </c>
    </row>
    <row r="121" spans="1:38" ht="21" customHeight="1" x14ac:dyDescent="0.3">
      <c r="A121" s="251" t="s">
        <v>442</v>
      </c>
      <c r="B121" s="252" t="str">
        <f>VLOOKUP(A121,saīsinājumi_LV_ENG!A:G,5,FALSE)</f>
        <v>Latvijas dzelzceļa tīkla attīstība</v>
      </c>
      <c r="C121" s="220" t="s">
        <v>83</v>
      </c>
      <c r="D121" s="221"/>
      <c r="E121" s="222"/>
      <c r="F121" s="222"/>
      <c r="G121" s="277"/>
      <c r="H121" s="223">
        <f>SUM(H122:H123)</f>
        <v>123087758</v>
      </c>
      <c r="I121" s="223">
        <f>SUM(I122:I123)</f>
        <v>0</v>
      </c>
      <c r="J121" s="223">
        <f>SUM(J122:J123)</f>
        <v>123087758</v>
      </c>
      <c r="K121" s="223">
        <f>SUM(K122:K123)</f>
        <v>28082986</v>
      </c>
      <c r="L121" s="223">
        <f>SUM(L122:L123)</f>
        <v>61815726.850000001</v>
      </c>
      <c r="M121" s="224">
        <f t="shared" si="65"/>
        <v>0.50220856935260771</v>
      </c>
      <c r="N121" s="224">
        <f t="shared" si="61"/>
        <v>0</v>
      </c>
      <c r="O121" s="224">
        <f t="shared" si="66"/>
        <v>0</v>
      </c>
      <c r="P121" s="223">
        <f>SUM(P122:P123)</f>
        <v>3</v>
      </c>
      <c r="Q121" s="223">
        <v>61815726.850000001</v>
      </c>
      <c r="R121" s="224">
        <v>0.50220856935260771</v>
      </c>
      <c r="S121" s="223">
        <f>SUM(S122:S123)</f>
        <v>61815726.850000001</v>
      </c>
      <c r="T121" s="224">
        <f t="shared" si="67"/>
        <v>0.50220856935260771</v>
      </c>
      <c r="U121" s="224">
        <f t="shared" si="62"/>
        <v>0</v>
      </c>
      <c r="V121" s="224">
        <f t="shared" si="68"/>
        <v>0</v>
      </c>
      <c r="W121" s="223">
        <f>SUM(W122:W123)</f>
        <v>3</v>
      </c>
      <c r="X121" s="223">
        <v>61815726.850000001</v>
      </c>
      <c r="Y121" s="224">
        <v>0.50220856935260771</v>
      </c>
      <c r="Z121" s="223">
        <f>SUM(Z122:Z123)</f>
        <v>61815726.850000001</v>
      </c>
      <c r="AA121" s="224">
        <f t="shared" si="69"/>
        <v>0.50220856935260771</v>
      </c>
      <c r="AB121" s="224">
        <f t="shared" si="63"/>
        <v>0</v>
      </c>
      <c r="AC121" s="224">
        <f t="shared" si="59"/>
        <v>0</v>
      </c>
      <c r="AD121" s="223">
        <f>SUM(AD122:AD123)</f>
        <v>3</v>
      </c>
      <c r="AE121" s="223">
        <v>61815726.850000001</v>
      </c>
      <c r="AF121" s="224">
        <v>0.50220856935260771</v>
      </c>
      <c r="AG121" s="223">
        <f>SUM(AG122:AG123)</f>
        <v>61815726.850000001</v>
      </c>
      <c r="AH121" s="224">
        <f t="shared" si="70"/>
        <v>0.50220856935260771</v>
      </c>
      <c r="AI121" s="224">
        <f t="shared" si="64"/>
        <v>0</v>
      </c>
      <c r="AJ121" s="224">
        <f t="shared" si="60"/>
        <v>0</v>
      </c>
      <c r="AK121" s="223">
        <v>61815726.850000001</v>
      </c>
      <c r="AL121" s="224">
        <v>0.50220856935260771</v>
      </c>
    </row>
    <row r="122" spans="1:38" ht="21" customHeight="1" x14ac:dyDescent="0.3">
      <c r="A122" s="253" t="s">
        <v>292</v>
      </c>
      <c r="B122" s="254" t="str">
        <f>VLOOKUP(A122,saīsinājumi_LV_ENG!A:G,5,FALSE)</f>
        <v>Dzelzceļa elektrifikācija</v>
      </c>
      <c r="C122" s="10" t="s">
        <v>196</v>
      </c>
      <c r="D122" s="42"/>
      <c r="E122" s="38" t="str">
        <f>Pasākumu_līmenis!D83</f>
        <v>KF</v>
      </c>
      <c r="F122" s="38" t="str">
        <f>Pasākumu_līmenis!E83</f>
        <v>SM</v>
      </c>
      <c r="G122" s="278" t="str">
        <f>VLOOKUP(A122,'2. Intervences kategorijas - Pa'!B:D,2,FALSE)</f>
        <v>07 - Veicināt ilgtspējīgu transportu un novērst trūkumus galvenajās tīkla infrastruktūrās</v>
      </c>
      <c r="H122" s="169">
        <f>Pasākumu_līmenis!F83</f>
        <v>0</v>
      </c>
      <c r="I122" s="169">
        <f>Pasākumu_līmenis!G83</f>
        <v>0</v>
      </c>
      <c r="J122" s="169">
        <f>Pasākumu_līmenis!H83</f>
        <v>0</v>
      </c>
      <c r="K122" s="169">
        <f>Pasākumu_līmenis!I83</f>
        <v>28082986</v>
      </c>
      <c r="L122" s="169">
        <f>Pasākumu_līmenis!J83</f>
        <v>0</v>
      </c>
      <c r="M122" s="170">
        <f>IFERROR(L122/$H122,0)</f>
        <v>0</v>
      </c>
      <c r="N122" s="170">
        <f t="shared" si="61"/>
        <v>0</v>
      </c>
      <c r="O122" s="170">
        <f t="shared" si="66"/>
        <v>0</v>
      </c>
      <c r="P122" s="169">
        <f>Pasākumu_līmenis!N83</f>
        <v>0</v>
      </c>
      <c r="Q122" s="169">
        <v>0</v>
      </c>
      <c r="R122" s="170">
        <v>0</v>
      </c>
      <c r="S122" s="169">
        <f>Pasākumu_līmenis!Q83</f>
        <v>0</v>
      </c>
      <c r="T122" s="170">
        <f>IFERROR(S122/$H122,0)</f>
        <v>0</v>
      </c>
      <c r="U122" s="170">
        <f t="shared" si="62"/>
        <v>0</v>
      </c>
      <c r="V122" s="170">
        <f t="shared" si="68"/>
        <v>0</v>
      </c>
      <c r="W122" s="169">
        <f>Pasākumu_līmenis!U83</f>
        <v>0</v>
      </c>
      <c r="X122" s="169">
        <v>0</v>
      </c>
      <c r="Y122" s="170">
        <v>0</v>
      </c>
      <c r="Z122" s="169">
        <f>Pasākumu_līmenis!X83</f>
        <v>0</v>
      </c>
      <c r="AA122" s="170">
        <f>IFERROR(Z122/$H122,0)</f>
        <v>0</v>
      </c>
      <c r="AB122" s="170">
        <f t="shared" si="63"/>
        <v>0</v>
      </c>
      <c r="AC122" s="170">
        <f t="shared" si="59"/>
        <v>0</v>
      </c>
      <c r="AD122" s="169">
        <f>Pasākumu_līmenis!AB83</f>
        <v>0</v>
      </c>
      <c r="AE122" s="169">
        <v>0</v>
      </c>
      <c r="AF122" s="170">
        <v>0</v>
      </c>
      <c r="AG122" s="169">
        <f>Pasākumu_līmenis!AE83</f>
        <v>0</v>
      </c>
      <c r="AH122" s="170">
        <f>IFERROR(AG122/$H122,0)</f>
        <v>0</v>
      </c>
      <c r="AI122" s="170">
        <f t="shared" si="64"/>
        <v>0</v>
      </c>
      <c r="AJ122" s="170">
        <f t="shared" si="60"/>
        <v>0</v>
      </c>
      <c r="AK122" s="169">
        <v>0</v>
      </c>
      <c r="AL122" s="170">
        <v>0</v>
      </c>
    </row>
    <row r="123" spans="1:38" ht="21" customHeight="1" x14ac:dyDescent="0.3">
      <c r="A123" s="253" t="s">
        <v>293</v>
      </c>
      <c r="B123" s="254" t="str">
        <f>VLOOKUP(A123,saīsinājumi_LV_ENG!A:G,5,FALSE)</f>
        <v>Dzelzceļa infrastruktūra</v>
      </c>
      <c r="C123" s="10" t="s">
        <v>197</v>
      </c>
      <c r="D123" s="42"/>
      <c r="E123" s="38" t="str">
        <f>Pasākumu_līmenis!D84</f>
        <v>KF</v>
      </c>
      <c r="F123" s="38" t="str">
        <f>Pasākumu_līmenis!E84</f>
        <v>SM</v>
      </c>
      <c r="G123" s="278" t="str">
        <f>VLOOKUP(A123,'2. Intervences kategorijas - Pa'!B:D,2,FALSE)</f>
        <v>07 - Veicināt ilgtspējīgu transportu un novērst trūkumus galvenajās tīkla infrastruktūrās</v>
      </c>
      <c r="H123" s="169">
        <f>Pasākumu_līmenis!F84</f>
        <v>123087758</v>
      </c>
      <c r="I123" s="169">
        <f>Pasākumu_līmenis!G84</f>
        <v>0</v>
      </c>
      <c r="J123" s="169">
        <f>Pasākumu_līmenis!H84</f>
        <v>123087758</v>
      </c>
      <c r="K123" s="169">
        <f>Pasākumu_līmenis!I84</f>
        <v>0</v>
      </c>
      <c r="L123" s="169">
        <f>Pasākumu_līmenis!J84</f>
        <v>61815726.850000001</v>
      </c>
      <c r="M123" s="170">
        <f t="shared" si="65"/>
        <v>0.50220856935260771</v>
      </c>
      <c r="N123" s="170">
        <f t="shared" si="61"/>
        <v>0</v>
      </c>
      <c r="O123" s="170">
        <f t="shared" si="66"/>
        <v>0</v>
      </c>
      <c r="P123" s="169">
        <f>Pasākumu_līmenis!N84</f>
        <v>3</v>
      </c>
      <c r="Q123" s="169">
        <v>61815726.850000001</v>
      </c>
      <c r="R123" s="170">
        <v>0.50220856935260771</v>
      </c>
      <c r="S123" s="169">
        <f>Pasākumu_līmenis!Q84</f>
        <v>61815726.850000001</v>
      </c>
      <c r="T123" s="170">
        <f t="shared" si="67"/>
        <v>0.50220856935260771</v>
      </c>
      <c r="U123" s="170">
        <f t="shared" si="62"/>
        <v>0</v>
      </c>
      <c r="V123" s="170">
        <f t="shared" si="68"/>
        <v>0</v>
      </c>
      <c r="W123" s="169">
        <f>Pasākumu_līmenis!U84</f>
        <v>3</v>
      </c>
      <c r="X123" s="169">
        <v>61815726.850000001</v>
      </c>
      <c r="Y123" s="170">
        <v>0.50220856935260771</v>
      </c>
      <c r="Z123" s="169">
        <f>Pasākumu_līmenis!X84</f>
        <v>61815726.850000001</v>
      </c>
      <c r="AA123" s="170">
        <f t="shared" si="69"/>
        <v>0.50220856935260771</v>
      </c>
      <c r="AB123" s="170">
        <f t="shared" si="63"/>
        <v>0</v>
      </c>
      <c r="AC123" s="170">
        <f t="shared" si="59"/>
        <v>0</v>
      </c>
      <c r="AD123" s="169">
        <f>Pasākumu_līmenis!AB84</f>
        <v>3</v>
      </c>
      <c r="AE123" s="169">
        <v>61815726.850000001</v>
      </c>
      <c r="AF123" s="170">
        <v>0.50220856935260771</v>
      </c>
      <c r="AG123" s="169">
        <f>Pasākumu_līmenis!AE84</f>
        <v>61815726.850000001</v>
      </c>
      <c r="AH123" s="170">
        <f t="shared" si="70"/>
        <v>0.50220856935260771</v>
      </c>
      <c r="AI123" s="170">
        <f t="shared" si="64"/>
        <v>0</v>
      </c>
      <c r="AJ123" s="170">
        <f t="shared" si="60"/>
        <v>0</v>
      </c>
      <c r="AK123" s="169">
        <v>61815726.850000001</v>
      </c>
      <c r="AL123" s="170">
        <v>0.50220856935260771</v>
      </c>
    </row>
    <row r="124" spans="1:38" ht="59.25" customHeight="1" x14ac:dyDescent="0.3">
      <c r="A124" s="249" t="s">
        <v>74</v>
      </c>
      <c r="B124" s="250" t="str">
        <f>VLOOKUP(A124,saīsinājumi_LV_ENG!A:G,5,FALSE)</f>
        <v>Transporta infrastruktūrā reģionālās mobilitātes uzlabošanai</v>
      </c>
      <c r="C124" s="215" t="s">
        <v>84</v>
      </c>
      <c r="D124" s="216"/>
      <c r="E124" s="217"/>
      <c r="F124" s="217"/>
      <c r="G124" s="276"/>
      <c r="H124" s="218">
        <f>H125</f>
        <v>235477563</v>
      </c>
      <c r="I124" s="218">
        <f>I125</f>
        <v>0</v>
      </c>
      <c r="J124" s="218">
        <f>J125</f>
        <v>235477563</v>
      </c>
      <c r="K124" s="218">
        <f>K125</f>
        <v>14363011</v>
      </c>
      <c r="L124" s="218">
        <f>L125</f>
        <v>229698412.16999999</v>
      </c>
      <c r="M124" s="219">
        <f t="shared" si="65"/>
        <v>0.97545774316510991</v>
      </c>
      <c r="N124" s="219">
        <f t="shared" si="61"/>
        <v>0</v>
      </c>
      <c r="O124" s="219">
        <f t="shared" si="66"/>
        <v>0</v>
      </c>
      <c r="P124" s="218">
        <f>P125</f>
        <v>37</v>
      </c>
      <c r="Q124" s="218">
        <v>229698412.16999999</v>
      </c>
      <c r="R124" s="219">
        <v>0.97545774316510991</v>
      </c>
      <c r="S124" s="218">
        <f>S125</f>
        <v>229698412.16999999</v>
      </c>
      <c r="T124" s="219">
        <f t="shared" si="67"/>
        <v>0.97545774316510991</v>
      </c>
      <c r="U124" s="219">
        <f t="shared" si="62"/>
        <v>0</v>
      </c>
      <c r="V124" s="219">
        <f t="shared" si="68"/>
        <v>0</v>
      </c>
      <c r="W124" s="218">
        <f>W125</f>
        <v>37</v>
      </c>
      <c r="X124" s="218">
        <v>229698412.16999999</v>
      </c>
      <c r="Y124" s="219">
        <v>0.97545774316510991</v>
      </c>
      <c r="Z124" s="218">
        <f>Z125</f>
        <v>229698412.16999999</v>
      </c>
      <c r="AA124" s="219">
        <f t="shared" si="69"/>
        <v>0.97545774316510991</v>
      </c>
      <c r="AB124" s="219">
        <f t="shared" si="63"/>
        <v>0</v>
      </c>
      <c r="AC124" s="219">
        <f t="shared" si="59"/>
        <v>0</v>
      </c>
      <c r="AD124" s="218">
        <f>AD125</f>
        <v>37</v>
      </c>
      <c r="AE124" s="218">
        <v>229698412.16999999</v>
      </c>
      <c r="AF124" s="219">
        <v>0.97545774316510991</v>
      </c>
      <c r="AG124" s="218">
        <f>AG125</f>
        <v>229360295.77000001</v>
      </c>
      <c r="AH124" s="219">
        <f t="shared" si="70"/>
        <v>0.97402186793482315</v>
      </c>
      <c r="AI124" s="219">
        <f t="shared" si="64"/>
        <v>0</v>
      </c>
      <c r="AJ124" s="219">
        <f t="shared" si="60"/>
        <v>0</v>
      </c>
      <c r="AK124" s="218">
        <v>229360295.77000001</v>
      </c>
      <c r="AL124" s="219">
        <v>0.97402186793482315</v>
      </c>
    </row>
    <row r="125" spans="1:38" ht="21" customHeight="1" x14ac:dyDescent="0.3">
      <c r="A125" s="255" t="s">
        <v>294</v>
      </c>
      <c r="B125" s="254" t="str">
        <f>VLOOKUP(A125,saīsinājumi_LV_ENG!A:G,5,FALSE)</f>
        <v>Reģionālo autoceļu pārbūve</v>
      </c>
      <c r="C125" s="10" t="s">
        <v>85</v>
      </c>
      <c r="D125" s="10"/>
      <c r="E125" s="38" t="str">
        <f>Pasākumu_līmenis!D85</f>
        <v>ERAF</v>
      </c>
      <c r="F125" s="38" t="str">
        <f>Pasākumu_līmenis!E85</f>
        <v>SM</v>
      </c>
      <c r="G125" s="278" t="str">
        <f>VLOOKUP(A125,'2. Intervences kategorijas - Pa'!B:D,2,FALSE)</f>
        <v>07 - Veicināt ilgtspējīgu transportu un novērst trūkumus galvenajās tīkla infrastruktūrās</v>
      </c>
      <c r="H125" s="169">
        <f>Pasākumu_līmenis!F85</f>
        <v>235477563</v>
      </c>
      <c r="I125" s="169">
        <f>Pasākumu_līmenis!G85</f>
        <v>0</v>
      </c>
      <c r="J125" s="169">
        <f>Pasākumu_līmenis!H85</f>
        <v>235477563</v>
      </c>
      <c r="K125" s="169">
        <f>Pasākumu_līmenis!I85</f>
        <v>14363011</v>
      </c>
      <c r="L125" s="169">
        <f>Pasākumu_līmenis!J85</f>
        <v>229698412.16999999</v>
      </c>
      <c r="M125" s="170">
        <f t="shared" si="65"/>
        <v>0.97545774316510991</v>
      </c>
      <c r="N125" s="170">
        <f t="shared" si="61"/>
        <v>0</v>
      </c>
      <c r="O125" s="170">
        <f t="shared" si="66"/>
        <v>0</v>
      </c>
      <c r="P125" s="169">
        <f>Pasākumu_līmenis!N85</f>
        <v>37</v>
      </c>
      <c r="Q125" s="169">
        <v>229698412.16999999</v>
      </c>
      <c r="R125" s="170">
        <v>0.97545774316510991</v>
      </c>
      <c r="S125" s="169">
        <f>Pasākumu_līmenis!Q85</f>
        <v>229698412.16999999</v>
      </c>
      <c r="T125" s="170">
        <f t="shared" si="67"/>
        <v>0.97545774316510991</v>
      </c>
      <c r="U125" s="170">
        <f t="shared" si="62"/>
        <v>0</v>
      </c>
      <c r="V125" s="170">
        <f t="shared" si="68"/>
        <v>0</v>
      </c>
      <c r="W125" s="169">
        <f>Pasākumu_līmenis!U85</f>
        <v>37</v>
      </c>
      <c r="X125" s="169">
        <v>229698412.16999999</v>
      </c>
      <c r="Y125" s="170">
        <v>0.97545774316510991</v>
      </c>
      <c r="Z125" s="169">
        <f>Pasākumu_līmenis!X85</f>
        <v>229698412.16999999</v>
      </c>
      <c r="AA125" s="170">
        <f t="shared" si="69"/>
        <v>0.97545774316510991</v>
      </c>
      <c r="AB125" s="170">
        <f t="shared" si="63"/>
        <v>0</v>
      </c>
      <c r="AC125" s="170">
        <f t="shared" si="59"/>
        <v>0</v>
      </c>
      <c r="AD125" s="169">
        <f>Pasākumu_līmenis!AB85</f>
        <v>37</v>
      </c>
      <c r="AE125" s="169">
        <v>229698412.16999999</v>
      </c>
      <c r="AF125" s="170">
        <v>0.97545774316510991</v>
      </c>
      <c r="AG125" s="169">
        <f>Pasākumu_līmenis!AE85</f>
        <v>229360295.77000001</v>
      </c>
      <c r="AH125" s="170">
        <f t="shared" si="70"/>
        <v>0.97402186793482315</v>
      </c>
      <c r="AI125" s="170">
        <f t="shared" si="64"/>
        <v>0</v>
      </c>
      <c r="AJ125" s="170">
        <f t="shared" si="60"/>
        <v>0</v>
      </c>
      <c r="AK125" s="169">
        <v>229360295.77000001</v>
      </c>
      <c r="AL125" s="170">
        <v>0.97402186793482315</v>
      </c>
    </row>
    <row r="126" spans="1:38" ht="21" customHeight="1" x14ac:dyDescent="0.3">
      <c r="A126" s="247" t="s">
        <v>86</v>
      </c>
      <c r="B126" s="248" t="str">
        <f>VLOOKUP(A126,saīsinājumi_LV_ENG!A:G,5,FALSE)</f>
        <v>Nodarbinātība</v>
      </c>
      <c r="C126" s="8" t="s">
        <v>617</v>
      </c>
      <c r="D126" s="225"/>
      <c r="E126" s="66"/>
      <c r="F126" s="66"/>
      <c r="G126" s="280"/>
      <c r="H126" s="226">
        <f>H127+H132+H139</f>
        <v>163481471</v>
      </c>
      <c r="I126" s="226">
        <f>I127+I132+I139</f>
        <v>0</v>
      </c>
      <c r="J126" s="226">
        <f>J127+J132+J139</f>
        <v>163481471</v>
      </c>
      <c r="K126" s="226">
        <f>K127+K132+K139</f>
        <v>6973974</v>
      </c>
      <c r="L126" s="226">
        <f>L127+L132+L139</f>
        <v>162109868.37</v>
      </c>
      <c r="M126" s="227">
        <f t="shared" si="65"/>
        <v>0.99161004227812466</v>
      </c>
      <c r="N126" s="227">
        <f t="shared" si="61"/>
        <v>0</v>
      </c>
      <c r="O126" s="227">
        <f t="shared" si="66"/>
        <v>0</v>
      </c>
      <c r="P126" s="226">
        <f>P127+P132+P139</f>
        <v>7</v>
      </c>
      <c r="Q126" s="175">
        <v>162109868.37</v>
      </c>
      <c r="R126" s="176">
        <v>0.99161004227812466</v>
      </c>
      <c r="S126" s="226">
        <f>S127+S132+S139</f>
        <v>162109868.37</v>
      </c>
      <c r="T126" s="227">
        <f t="shared" si="67"/>
        <v>0.99161004227812466</v>
      </c>
      <c r="U126" s="227">
        <f t="shared" si="62"/>
        <v>0</v>
      </c>
      <c r="V126" s="227">
        <f t="shared" si="68"/>
        <v>0</v>
      </c>
      <c r="W126" s="226">
        <f>W127+W132+W139</f>
        <v>7</v>
      </c>
      <c r="X126" s="226">
        <v>162109868.37</v>
      </c>
      <c r="Y126" s="227">
        <v>0.99161004227812466</v>
      </c>
      <c r="Z126" s="226">
        <f>Z127+Z132+Z139</f>
        <v>162109868.37</v>
      </c>
      <c r="AA126" s="227">
        <f t="shared" si="69"/>
        <v>0.99161004227812466</v>
      </c>
      <c r="AB126" s="227">
        <f t="shared" si="63"/>
        <v>0</v>
      </c>
      <c r="AC126" s="227">
        <f t="shared" si="59"/>
        <v>0</v>
      </c>
      <c r="AD126" s="226">
        <f>AD127+AD132+AD139</f>
        <v>7</v>
      </c>
      <c r="AE126" s="175">
        <v>162109868.37</v>
      </c>
      <c r="AF126" s="176">
        <v>0.99161004227812466</v>
      </c>
      <c r="AG126" s="226">
        <f>AG127+AG132+AG139</f>
        <v>162109868.37</v>
      </c>
      <c r="AH126" s="227">
        <f t="shared" si="70"/>
        <v>0.99161004227812466</v>
      </c>
      <c r="AI126" s="227">
        <f t="shared" si="64"/>
        <v>0</v>
      </c>
      <c r="AJ126" s="227">
        <f t="shared" si="60"/>
        <v>0</v>
      </c>
      <c r="AK126" s="226">
        <v>162109868.37</v>
      </c>
      <c r="AL126" s="227">
        <v>0.99161004227812466</v>
      </c>
    </row>
    <row r="127" spans="1:38" ht="59.25" customHeight="1" x14ac:dyDescent="0.3">
      <c r="A127" s="249" t="s">
        <v>87</v>
      </c>
      <c r="B127" s="250" t="str">
        <f>VLOOKUP(A127,saīsinājumi_LV_ENG!A:G,5,FALSE)</f>
        <v>Nodarbinātības pieejamība bezdarbniekiem un darbaspēka mobilitāte</v>
      </c>
      <c r="C127" s="215" t="s">
        <v>90</v>
      </c>
      <c r="D127" s="216"/>
      <c r="E127" s="217"/>
      <c r="F127" s="217"/>
      <c r="G127" s="276"/>
      <c r="H127" s="218">
        <f>H128+H129</f>
        <v>89240703</v>
      </c>
      <c r="I127" s="218">
        <f>I128+I129</f>
        <v>0</v>
      </c>
      <c r="J127" s="218">
        <f>J128+J129</f>
        <v>89240703</v>
      </c>
      <c r="K127" s="218">
        <f>K128+K129</f>
        <v>5699925</v>
      </c>
      <c r="L127" s="218">
        <f>L128+L129</f>
        <v>89221291.719999999</v>
      </c>
      <c r="M127" s="219">
        <f t="shared" si="65"/>
        <v>0.99978248400844627</v>
      </c>
      <c r="N127" s="219">
        <f t="shared" si="61"/>
        <v>0</v>
      </c>
      <c r="O127" s="219">
        <f t="shared" si="66"/>
        <v>0</v>
      </c>
      <c r="P127" s="218">
        <f>P128+P129</f>
        <v>3</v>
      </c>
      <c r="Q127" s="218">
        <v>89221291.719999999</v>
      </c>
      <c r="R127" s="219">
        <v>0.99978248400844627</v>
      </c>
      <c r="S127" s="218">
        <f>S128+S129</f>
        <v>89221291.719999999</v>
      </c>
      <c r="T127" s="219">
        <f t="shared" si="67"/>
        <v>0.99978248400844627</v>
      </c>
      <c r="U127" s="219">
        <f t="shared" si="62"/>
        <v>0</v>
      </c>
      <c r="V127" s="219">
        <f t="shared" si="68"/>
        <v>0</v>
      </c>
      <c r="W127" s="218">
        <f>W128+W129</f>
        <v>3</v>
      </c>
      <c r="X127" s="218">
        <v>89221291.719999999</v>
      </c>
      <c r="Y127" s="219">
        <v>0.99978248400844627</v>
      </c>
      <c r="Z127" s="218">
        <f>Z128+Z129</f>
        <v>89221291.719999999</v>
      </c>
      <c r="AA127" s="219">
        <f t="shared" si="69"/>
        <v>0.99978248400844627</v>
      </c>
      <c r="AB127" s="219">
        <f t="shared" si="63"/>
        <v>0</v>
      </c>
      <c r="AC127" s="219">
        <f t="shared" si="59"/>
        <v>0</v>
      </c>
      <c r="AD127" s="218">
        <f>AD128+AD129</f>
        <v>3</v>
      </c>
      <c r="AE127" s="218">
        <v>89221291.719999999</v>
      </c>
      <c r="AF127" s="219">
        <v>0.99978248400844627</v>
      </c>
      <c r="AG127" s="218">
        <f>AG128+AG129</f>
        <v>89221291.719999999</v>
      </c>
      <c r="AH127" s="219">
        <f t="shared" si="70"/>
        <v>0.99978248400844627</v>
      </c>
      <c r="AI127" s="219">
        <f t="shared" si="64"/>
        <v>0</v>
      </c>
      <c r="AJ127" s="219">
        <f t="shared" si="60"/>
        <v>0</v>
      </c>
      <c r="AK127" s="218">
        <v>89221291.719999999</v>
      </c>
      <c r="AL127" s="219">
        <v>0.99978248400844627</v>
      </c>
    </row>
    <row r="128" spans="1:38" ht="21" customHeight="1" x14ac:dyDescent="0.3">
      <c r="A128" s="255" t="s">
        <v>296</v>
      </c>
      <c r="B128" s="254" t="str">
        <f>VLOOKUP(A128,saīsinājumi_LV_ENG!A:G,5,FALSE)</f>
        <v>Atbalsts bezdarbnieku izglītībai</v>
      </c>
      <c r="C128" s="10" t="s">
        <v>91</v>
      </c>
      <c r="D128" s="42"/>
      <c r="E128" s="38" t="str">
        <f>Pasākumu_līmenis!D87</f>
        <v>ESF</v>
      </c>
      <c r="F128" s="38" t="str">
        <f>Pasākumu_līmenis!E87</f>
        <v>LM</v>
      </c>
      <c r="G128" s="278" t="str">
        <f>VLOOKUP(A128,'2. Intervences kategorijas - Pa'!B:D,2,FALSE)</f>
        <v>08 - Veicināt stabilas un kvalitatīvas darba vietas un atbalstīt darbaspēka mobilitāti</v>
      </c>
      <c r="H128" s="169">
        <f>Pasākumu_līmenis!F87</f>
        <v>87338436</v>
      </c>
      <c r="I128" s="169">
        <f>Pasākumu_līmenis!G87</f>
        <v>0</v>
      </c>
      <c r="J128" s="169">
        <f>Pasākumu_līmenis!H87</f>
        <v>87338436</v>
      </c>
      <c r="K128" s="169">
        <f>Pasākumu_līmenis!I87</f>
        <v>5699925</v>
      </c>
      <c r="L128" s="169">
        <f>Pasākumu_līmenis!J87</f>
        <v>87333801.5</v>
      </c>
      <c r="M128" s="170">
        <f t="shared" si="65"/>
        <v>0.99994693630648479</v>
      </c>
      <c r="N128" s="170">
        <f t="shared" si="61"/>
        <v>0</v>
      </c>
      <c r="O128" s="170">
        <f t="shared" si="66"/>
        <v>0</v>
      </c>
      <c r="P128" s="169">
        <f>Pasākumu_līmenis!N87</f>
        <v>1</v>
      </c>
      <c r="Q128" s="169">
        <v>87333801.5</v>
      </c>
      <c r="R128" s="170">
        <v>0.99994693630648479</v>
      </c>
      <c r="S128" s="169">
        <f>Pasākumu_līmenis!Q87</f>
        <v>87333801.5</v>
      </c>
      <c r="T128" s="170">
        <f t="shared" si="67"/>
        <v>0.99994693630648479</v>
      </c>
      <c r="U128" s="170">
        <f t="shared" si="62"/>
        <v>0</v>
      </c>
      <c r="V128" s="170">
        <f t="shared" si="68"/>
        <v>0</v>
      </c>
      <c r="W128" s="169">
        <f>Pasākumu_līmenis!U87</f>
        <v>1</v>
      </c>
      <c r="X128" s="169">
        <v>87333801.5</v>
      </c>
      <c r="Y128" s="170">
        <v>0.99994693630648479</v>
      </c>
      <c r="Z128" s="169">
        <f>Pasākumu_līmenis!X87</f>
        <v>87333801.5</v>
      </c>
      <c r="AA128" s="170">
        <f t="shared" si="69"/>
        <v>0.99994693630648479</v>
      </c>
      <c r="AB128" s="170">
        <f t="shared" si="63"/>
        <v>0</v>
      </c>
      <c r="AC128" s="170">
        <f t="shared" si="59"/>
        <v>0</v>
      </c>
      <c r="AD128" s="169">
        <f>Pasākumu_līmenis!AB87</f>
        <v>1</v>
      </c>
      <c r="AE128" s="169">
        <v>87333801.5</v>
      </c>
      <c r="AF128" s="170">
        <v>0.99994693630648479</v>
      </c>
      <c r="AG128" s="169">
        <f>Pasākumu_līmenis!AE87</f>
        <v>87333801.5</v>
      </c>
      <c r="AH128" s="170">
        <f t="shared" si="70"/>
        <v>0.99994693630648479</v>
      </c>
      <c r="AI128" s="170">
        <f t="shared" si="64"/>
        <v>0</v>
      </c>
      <c r="AJ128" s="170">
        <f t="shared" si="60"/>
        <v>0</v>
      </c>
      <c r="AK128" s="169">
        <v>87333801.5</v>
      </c>
      <c r="AL128" s="170">
        <v>0.99994693630648479</v>
      </c>
    </row>
    <row r="129" spans="1:38" ht="39.75" customHeight="1" x14ac:dyDescent="0.3">
      <c r="A129" s="251" t="s">
        <v>443</v>
      </c>
      <c r="B129" s="252" t="str">
        <f>VLOOKUP(A129,saīsinājumi_LV_ENG!A:G,5,FALSE)</f>
        <v xml:space="preserve">Darba tirgus prognozēšanas sistēma </v>
      </c>
      <c r="C129" s="220" t="s">
        <v>92</v>
      </c>
      <c r="D129" s="221"/>
      <c r="E129" s="222"/>
      <c r="F129" s="222"/>
      <c r="G129" s="277"/>
      <c r="H129" s="223">
        <f>SUM(H130:H131)</f>
        <v>1902267</v>
      </c>
      <c r="I129" s="223">
        <f>SUM(I130:I131)</f>
        <v>0</v>
      </c>
      <c r="J129" s="223">
        <f>SUM(J130:J131)</f>
        <v>1902267</v>
      </c>
      <c r="K129" s="223">
        <f>SUM(K130:K131)</f>
        <v>0</v>
      </c>
      <c r="L129" s="223">
        <f>SUM(L130:L131)</f>
        <v>1887490.2199999997</v>
      </c>
      <c r="M129" s="224">
        <f t="shared" si="65"/>
        <v>0.99223201580009524</v>
      </c>
      <c r="N129" s="224">
        <f t="shared" si="61"/>
        <v>0</v>
      </c>
      <c r="O129" s="224">
        <f t="shared" si="66"/>
        <v>0</v>
      </c>
      <c r="P129" s="223">
        <f>SUM(P130:P131)</f>
        <v>2</v>
      </c>
      <c r="Q129" s="223">
        <v>1887490.2199999997</v>
      </c>
      <c r="R129" s="224">
        <v>0.99223201580009524</v>
      </c>
      <c r="S129" s="223">
        <f>SUM(S130:S131)</f>
        <v>1887490.2199999997</v>
      </c>
      <c r="T129" s="224">
        <f t="shared" si="67"/>
        <v>0.99223201580009524</v>
      </c>
      <c r="U129" s="224">
        <f t="shared" si="62"/>
        <v>0</v>
      </c>
      <c r="V129" s="224">
        <f t="shared" si="68"/>
        <v>0</v>
      </c>
      <c r="W129" s="223">
        <f>SUM(W130:W131)</f>
        <v>2</v>
      </c>
      <c r="X129" s="223">
        <v>1887490.2199999997</v>
      </c>
      <c r="Y129" s="224">
        <v>0.99223201580009524</v>
      </c>
      <c r="Z129" s="223">
        <f>SUM(Z130:Z131)</f>
        <v>1887490.2199999997</v>
      </c>
      <c r="AA129" s="224">
        <f t="shared" si="69"/>
        <v>0.99223201580009524</v>
      </c>
      <c r="AB129" s="224">
        <f t="shared" si="63"/>
        <v>0</v>
      </c>
      <c r="AC129" s="224">
        <f t="shared" si="59"/>
        <v>0</v>
      </c>
      <c r="AD129" s="223">
        <f>SUM(AD130:AD131)</f>
        <v>2</v>
      </c>
      <c r="AE129" s="223">
        <v>1887490.2199999997</v>
      </c>
      <c r="AF129" s="224">
        <v>0.99223201580009524</v>
      </c>
      <c r="AG129" s="223">
        <f>SUM(AG130:AG131)</f>
        <v>1887490.2199999997</v>
      </c>
      <c r="AH129" s="224">
        <f t="shared" si="70"/>
        <v>0.99223201580009524</v>
      </c>
      <c r="AI129" s="224">
        <f t="shared" si="64"/>
        <v>0</v>
      </c>
      <c r="AJ129" s="224">
        <f t="shared" si="60"/>
        <v>0</v>
      </c>
      <c r="AK129" s="223">
        <v>1887490.2199999997</v>
      </c>
      <c r="AL129" s="224">
        <v>0.99223201580009524</v>
      </c>
    </row>
    <row r="130" spans="1:38" ht="21" customHeight="1" x14ac:dyDescent="0.3">
      <c r="A130" s="253" t="s">
        <v>297</v>
      </c>
      <c r="B130" s="254" t="str">
        <f>VLOOKUP(A130,saīsinājumi_LV_ENG!A:G,5,FALSE)</f>
        <v>EURES tīkla darbība Latvijā</v>
      </c>
      <c r="C130" s="10" t="s">
        <v>198</v>
      </c>
      <c r="D130" s="42"/>
      <c r="E130" s="38" t="str">
        <f>Pasākumu_līmenis!D88</f>
        <v>ESF</v>
      </c>
      <c r="F130" s="38" t="str">
        <f>Pasākumu_līmenis!E88</f>
        <v>LM</v>
      </c>
      <c r="G130" s="278" t="str">
        <f>VLOOKUP(A130,'2. Intervences kategorijas - Pa'!B:D,2,FALSE)</f>
        <v>08 - Veicināt stabilas un kvalitatīvas darba vietas un atbalstīt darbaspēka mobilitāti</v>
      </c>
      <c r="H130" s="169">
        <f>Pasākumu_līmenis!F88</f>
        <v>711612</v>
      </c>
      <c r="I130" s="169">
        <f>Pasākumu_līmenis!G88</f>
        <v>0</v>
      </c>
      <c r="J130" s="169">
        <f>Pasākumu_līmenis!H88</f>
        <v>711612</v>
      </c>
      <c r="K130" s="169">
        <f>Pasākumu_līmenis!I88</f>
        <v>0</v>
      </c>
      <c r="L130" s="169">
        <f>Pasākumu_līmenis!J88</f>
        <v>703641.07</v>
      </c>
      <c r="M130" s="170">
        <f t="shared" si="65"/>
        <v>0.98879876955419521</v>
      </c>
      <c r="N130" s="170">
        <f t="shared" si="61"/>
        <v>0</v>
      </c>
      <c r="O130" s="170">
        <f t="shared" si="66"/>
        <v>0</v>
      </c>
      <c r="P130" s="169">
        <f>Pasākumu_līmenis!N88</f>
        <v>1</v>
      </c>
      <c r="Q130" s="169">
        <v>703641.07</v>
      </c>
      <c r="R130" s="170">
        <v>0.98879876955419521</v>
      </c>
      <c r="S130" s="169">
        <f>Pasākumu_līmenis!Q88</f>
        <v>703641.07</v>
      </c>
      <c r="T130" s="170">
        <f t="shared" si="67"/>
        <v>0.98879876955419521</v>
      </c>
      <c r="U130" s="170">
        <f t="shared" si="62"/>
        <v>0</v>
      </c>
      <c r="V130" s="170">
        <f t="shared" si="68"/>
        <v>0</v>
      </c>
      <c r="W130" s="169">
        <f>Pasākumu_līmenis!U88</f>
        <v>1</v>
      </c>
      <c r="X130" s="169">
        <v>703641.07</v>
      </c>
      <c r="Y130" s="170">
        <v>0.98879876955419521</v>
      </c>
      <c r="Z130" s="169">
        <f>Pasākumu_līmenis!X88</f>
        <v>703641.07</v>
      </c>
      <c r="AA130" s="170">
        <f t="shared" si="69"/>
        <v>0.98879876955419521</v>
      </c>
      <c r="AB130" s="170">
        <f t="shared" si="63"/>
        <v>0</v>
      </c>
      <c r="AC130" s="170">
        <f t="shared" si="59"/>
        <v>0</v>
      </c>
      <c r="AD130" s="169">
        <f>Pasākumu_līmenis!AB88</f>
        <v>1</v>
      </c>
      <c r="AE130" s="169">
        <v>703641.07</v>
      </c>
      <c r="AF130" s="170">
        <v>0.98879876955419521</v>
      </c>
      <c r="AG130" s="169">
        <f>Pasākumu_līmenis!AE88</f>
        <v>703641.07</v>
      </c>
      <c r="AH130" s="170">
        <f t="shared" si="70"/>
        <v>0.98879876955419521</v>
      </c>
      <c r="AI130" s="170">
        <f t="shared" si="64"/>
        <v>0</v>
      </c>
      <c r="AJ130" s="170">
        <f t="shared" si="60"/>
        <v>0</v>
      </c>
      <c r="AK130" s="169">
        <v>703641.07</v>
      </c>
      <c r="AL130" s="170">
        <v>0.98879876955419521</v>
      </c>
    </row>
    <row r="131" spans="1:38" ht="39.75" customHeight="1" x14ac:dyDescent="0.3">
      <c r="A131" s="253" t="s">
        <v>298</v>
      </c>
      <c r="B131" s="254" t="str">
        <f>VLOOKUP(A131,saīsinājumi_LV_ENG!A:G,5,FALSE)</f>
        <v xml:space="preserve">Darba tirgus prognozēšanas sistēmas pilnveide </v>
      </c>
      <c r="C131" s="10" t="s">
        <v>199</v>
      </c>
      <c r="D131" s="42"/>
      <c r="E131" s="38" t="str">
        <f>Pasākumu_līmenis!D89</f>
        <v>ESF</v>
      </c>
      <c r="F131" s="38" t="str">
        <f>Pasākumu_līmenis!E89</f>
        <v>LM</v>
      </c>
      <c r="G131" s="278" t="str">
        <f>VLOOKUP(A131,'2. Intervences kategorijas - Pa'!B:D,2,FALSE)</f>
        <v>08 - Veicināt stabilas un kvalitatīvas darba vietas un atbalstīt darbaspēka mobilitāti</v>
      </c>
      <c r="H131" s="169">
        <f>Pasākumu_līmenis!F89</f>
        <v>1190655</v>
      </c>
      <c r="I131" s="169">
        <f>Pasākumu_līmenis!G89</f>
        <v>0</v>
      </c>
      <c r="J131" s="169">
        <f>Pasākumu_līmenis!H89</f>
        <v>1190655</v>
      </c>
      <c r="K131" s="169">
        <f>Pasākumu_līmenis!I89</f>
        <v>0</v>
      </c>
      <c r="L131" s="169">
        <f>Pasākumu_līmenis!J89</f>
        <v>1183849.1499999999</v>
      </c>
      <c r="M131" s="170">
        <f t="shared" si="65"/>
        <v>0.99428394455152824</v>
      </c>
      <c r="N131" s="170">
        <f t="shared" si="61"/>
        <v>0</v>
      </c>
      <c r="O131" s="170">
        <f t="shared" si="66"/>
        <v>0</v>
      </c>
      <c r="P131" s="169">
        <f>Pasākumu_līmenis!N89</f>
        <v>1</v>
      </c>
      <c r="Q131" s="169">
        <v>1183849.1499999999</v>
      </c>
      <c r="R131" s="170">
        <v>0.99428394455152824</v>
      </c>
      <c r="S131" s="169">
        <f>Pasākumu_līmenis!Q89</f>
        <v>1183849.1499999999</v>
      </c>
      <c r="T131" s="170">
        <f t="shared" si="67"/>
        <v>0.99428394455152824</v>
      </c>
      <c r="U131" s="170">
        <f t="shared" si="62"/>
        <v>0</v>
      </c>
      <c r="V131" s="170">
        <f t="shared" si="68"/>
        <v>0</v>
      </c>
      <c r="W131" s="169">
        <f>Pasākumu_līmenis!U89</f>
        <v>1</v>
      </c>
      <c r="X131" s="169">
        <v>1183849.1499999999</v>
      </c>
      <c r="Y131" s="170">
        <v>0.99428394455152824</v>
      </c>
      <c r="Z131" s="169">
        <f>Pasākumu_līmenis!X89</f>
        <v>1183849.1499999999</v>
      </c>
      <c r="AA131" s="170">
        <f t="shared" si="69"/>
        <v>0.99428394455152824</v>
      </c>
      <c r="AB131" s="170">
        <f t="shared" si="63"/>
        <v>0</v>
      </c>
      <c r="AC131" s="170">
        <f t="shared" si="59"/>
        <v>0</v>
      </c>
      <c r="AD131" s="169">
        <f>Pasākumu_līmenis!AB89</f>
        <v>1</v>
      </c>
      <c r="AE131" s="169">
        <v>1183849.1499999999</v>
      </c>
      <c r="AF131" s="170">
        <v>0.99428394455152824</v>
      </c>
      <c r="AG131" s="169">
        <f>Pasākumu_līmenis!AE89</f>
        <v>1183849.1499999999</v>
      </c>
      <c r="AH131" s="170">
        <f t="shared" si="70"/>
        <v>0.99428394455152824</v>
      </c>
      <c r="AI131" s="170">
        <f t="shared" si="64"/>
        <v>0</v>
      </c>
      <c r="AJ131" s="170">
        <f t="shared" si="60"/>
        <v>0</v>
      </c>
      <c r="AK131" s="169">
        <v>1183849.1499999999</v>
      </c>
      <c r="AL131" s="170">
        <v>0.99428394455152824</v>
      </c>
    </row>
    <row r="132" spans="1:38" ht="21" customHeight="1" x14ac:dyDescent="0.3">
      <c r="A132" s="249" t="s">
        <v>88</v>
      </c>
      <c r="B132" s="250" t="str">
        <f>VLOOKUP(A132,saīsinājumi_LV_ENG!A:G,5,FALSE)</f>
        <v>Jauniešu integrācija darba tirgū</v>
      </c>
      <c r="C132" s="215" t="s">
        <v>379</v>
      </c>
      <c r="D132" s="216"/>
      <c r="E132" s="217"/>
      <c r="F132" s="217"/>
      <c r="G132" s="276"/>
      <c r="H132" s="218">
        <f>H133</f>
        <v>66818017</v>
      </c>
      <c r="I132" s="218">
        <f>I133</f>
        <v>0</v>
      </c>
      <c r="J132" s="218">
        <f>J133</f>
        <v>66818017</v>
      </c>
      <c r="K132" s="218">
        <f>K133</f>
        <v>1274049</v>
      </c>
      <c r="L132" s="218">
        <f>L133</f>
        <v>65778420.220000006</v>
      </c>
      <c r="M132" s="219">
        <f t="shared" si="65"/>
        <v>0.98444137035674084</v>
      </c>
      <c r="N132" s="219">
        <f t="shared" si="61"/>
        <v>0</v>
      </c>
      <c r="O132" s="219">
        <f t="shared" si="66"/>
        <v>0</v>
      </c>
      <c r="P132" s="218">
        <f>P133</f>
        <v>2</v>
      </c>
      <c r="Q132" s="218">
        <v>65778420.220000006</v>
      </c>
      <c r="R132" s="219">
        <v>0.98444137035674084</v>
      </c>
      <c r="S132" s="218">
        <f>S133</f>
        <v>65778420.220000006</v>
      </c>
      <c r="T132" s="219">
        <f t="shared" si="67"/>
        <v>0.98444137035674084</v>
      </c>
      <c r="U132" s="219">
        <f t="shared" si="62"/>
        <v>0</v>
      </c>
      <c r="V132" s="219">
        <f t="shared" si="68"/>
        <v>0</v>
      </c>
      <c r="W132" s="218">
        <f>W133</f>
        <v>2</v>
      </c>
      <c r="X132" s="218">
        <v>65778420.220000006</v>
      </c>
      <c r="Y132" s="219">
        <v>0.98444137035674084</v>
      </c>
      <c r="Z132" s="218">
        <f>Z133</f>
        <v>65778420.220000006</v>
      </c>
      <c r="AA132" s="219">
        <f t="shared" si="69"/>
        <v>0.98444137035674084</v>
      </c>
      <c r="AB132" s="219">
        <f t="shared" si="63"/>
        <v>0</v>
      </c>
      <c r="AC132" s="219">
        <f t="shared" si="59"/>
        <v>0</v>
      </c>
      <c r="AD132" s="218">
        <f>AD133</f>
        <v>2</v>
      </c>
      <c r="AE132" s="218">
        <v>65778420.220000006</v>
      </c>
      <c r="AF132" s="219">
        <v>0.98444137035674084</v>
      </c>
      <c r="AG132" s="218">
        <f>AG133</f>
        <v>65778420.220000006</v>
      </c>
      <c r="AH132" s="219">
        <f t="shared" si="70"/>
        <v>0.98444137035674084</v>
      </c>
      <c r="AI132" s="219">
        <f t="shared" si="64"/>
        <v>0</v>
      </c>
      <c r="AJ132" s="219">
        <f t="shared" si="60"/>
        <v>0</v>
      </c>
      <c r="AK132" s="218">
        <v>65778420.220000006</v>
      </c>
      <c r="AL132" s="219">
        <v>0.98444137035674084</v>
      </c>
    </row>
    <row r="133" spans="1:38" ht="21" customHeight="1" x14ac:dyDescent="0.3">
      <c r="A133" s="251" t="s">
        <v>444</v>
      </c>
      <c r="B133" s="252" t="str">
        <f>VLOOKUP(A133,saīsinājumi_LV_ENG!A:G,5,FALSE)</f>
        <v>Jauniešu garantijas</v>
      </c>
      <c r="C133" s="220" t="s">
        <v>93</v>
      </c>
      <c r="D133" s="221"/>
      <c r="E133" s="222"/>
      <c r="F133" s="222"/>
      <c r="G133" s="277"/>
      <c r="H133" s="223">
        <f>SUM(H134:H138)</f>
        <v>66818017</v>
      </c>
      <c r="I133" s="223">
        <f>SUM(I134:I138)</f>
        <v>0</v>
      </c>
      <c r="J133" s="223">
        <f>SUM(J134:J138)</f>
        <v>66818017</v>
      </c>
      <c r="K133" s="223">
        <f>SUM(K134:K138)</f>
        <v>1274049</v>
      </c>
      <c r="L133" s="223">
        <f>SUM(L134:L138)</f>
        <v>65778420.220000006</v>
      </c>
      <c r="M133" s="224">
        <f t="shared" si="65"/>
        <v>0.98444137035674084</v>
      </c>
      <c r="N133" s="224">
        <f t="shared" si="61"/>
        <v>0</v>
      </c>
      <c r="O133" s="224">
        <f t="shared" si="66"/>
        <v>0</v>
      </c>
      <c r="P133" s="223">
        <f>SUM(P134:P138)</f>
        <v>2</v>
      </c>
      <c r="Q133" s="223">
        <v>65778420.220000006</v>
      </c>
      <c r="R133" s="224">
        <v>0.98444137035674084</v>
      </c>
      <c r="S133" s="223">
        <f>SUM(S134:S138)</f>
        <v>65778420.220000006</v>
      </c>
      <c r="T133" s="224">
        <f t="shared" si="67"/>
        <v>0.98444137035674084</v>
      </c>
      <c r="U133" s="224">
        <f t="shared" si="62"/>
        <v>0</v>
      </c>
      <c r="V133" s="224">
        <f t="shared" si="68"/>
        <v>0</v>
      </c>
      <c r="W133" s="223">
        <f>SUM(W134:W138)</f>
        <v>2</v>
      </c>
      <c r="X133" s="223">
        <v>65778420.220000006</v>
      </c>
      <c r="Y133" s="224">
        <v>0.98444137035674084</v>
      </c>
      <c r="Z133" s="223">
        <f>SUM(Z134:Z138)</f>
        <v>65778420.220000006</v>
      </c>
      <c r="AA133" s="224">
        <f t="shared" si="69"/>
        <v>0.98444137035674084</v>
      </c>
      <c r="AB133" s="224">
        <f t="shared" si="63"/>
        <v>0</v>
      </c>
      <c r="AC133" s="224">
        <f t="shared" si="59"/>
        <v>0</v>
      </c>
      <c r="AD133" s="223">
        <f>SUM(AD134:AD138)</f>
        <v>2</v>
      </c>
      <c r="AE133" s="223">
        <v>65778420.220000006</v>
      </c>
      <c r="AF133" s="224">
        <v>0.98444137035674084</v>
      </c>
      <c r="AG133" s="223">
        <f>SUM(AG134:AG138)</f>
        <v>65778420.220000006</v>
      </c>
      <c r="AH133" s="224">
        <f t="shared" si="70"/>
        <v>0.98444137035674084</v>
      </c>
      <c r="AI133" s="224">
        <f t="shared" si="64"/>
        <v>0</v>
      </c>
      <c r="AJ133" s="224">
        <f t="shared" si="60"/>
        <v>0</v>
      </c>
      <c r="AK133" s="223">
        <v>65778420.220000006</v>
      </c>
      <c r="AL133" s="224">
        <v>0.98444137035674084</v>
      </c>
    </row>
    <row r="134" spans="1:38" ht="39.75" customHeight="1" x14ac:dyDescent="0.3">
      <c r="A134" s="253" t="s">
        <v>299</v>
      </c>
      <c r="B134" s="254" t="str">
        <f>VLOOKUP(A134,saīsinājumi_LV_ENG!A:G,5,FALSE)</f>
        <v>Jauniešu garantijas (aktīvās nodarbinātības pasākumi)</v>
      </c>
      <c r="C134" s="10" t="s">
        <v>200</v>
      </c>
      <c r="D134" s="42">
        <f>IFERROR(IF((VLOOKUP(A134,Pasākumu_līmenis!A:H,3,0))=0,"",VLOOKUP(A134,Pasākumu_līmenis!A:H,3,0)),"")</f>
        <v>1</v>
      </c>
      <c r="E134" s="38" t="str">
        <f>Pasākumu_līmenis!D90</f>
        <v>ESF</v>
      </c>
      <c r="F134" s="38" t="str">
        <f>Pasākumu_līmenis!E90</f>
        <v>LM</v>
      </c>
      <c r="G134" s="278" t="str">
        <f>VLOOKUP(A134,'2. Intervences kategorijas - Pa'!B:D,2,FALSE)</f>
        <v>08 - Veicināt stabilas un kvalitatīvas darba vietas un atbalstīt darbaspēka mobilitāti</v>
      </c>
      <c r="H134" s="169">
        <f>Pasākumu_līmenis!F90</f>
        <v>16606100</v>
      </c>
      <c r="I134" s="169">
        <f>Pasākumu_līmenis!G90</f>
        <v>0</v>
      </c>
      <c r="J134" s="169">
        <f>Pasākumu_līmenis!H90</f>
        <v>16606100</v>
      </c>
      <c r="K134" s="169">
        <f>Pasākumu_līmenis!I90</f>
        <v>0</v>
      </c>
      <c r="L134" s="169">
        <f>Pasākumu_līmenis!J90</f>
        <v>15996371.41</v>
      </c>
      <c r="M134" s="170">
        <f t="shared" si="65"/>
        <v>0.96328285449322837</v>
      </c>
      <c r="N134" s="170">
        <f t="shared" si="61"/>
        <v>0</v>
      </c>
      <c r="O134" s="170">
        <f t="shared" si="66"/>
        <v>0</v>
      </c>
      <c r="P134" s="169">
        <f>Pasākumu_līmenis!N90</f>
        <v>0</v>
      </c>
      <c r="Q134" s="169">
        <v>15996371.41</v>
      </c>
      <c r="R134" s="170">
        <v>0.96328285449322837</v>
      </c>
      <c r="S134" s="169">
        <f>Pasākumu_līmenis!Q90</f>
        <v>15996371.41</v>
      </c>
      <c r="T134" s="170">
        <f t="shared" si="67"/>
        <v>0.96328285449322837</v>
      </c>
      <c r="U134" s="170">
        <f t="shared" si="62"/>
        <v>0</v>
      </c>
      <c r="V134" s="170">
        <f t="shared" si="68"/>
        <v>0</v>
      </c>
      <c r="W134" s="169">
        <f>Pasākumu_līmenis!U90</f>
        <v>0</v>
      </c>
      <c r="X134" s="169">
        <v>15996371.41</v>
      </c>
      <c r="Y134" s="170">
        <v>0.96328285449322837</v>
      </c>
      <c r="Z134" s="169">
        <f>Pasākumu_līmenis!X90</f>
        <v>15996371.41</v>
      </c>
      <c r="AA134" s="170">
        <f t="shared" si="69"/>
        <v>0.96328285449322837</v>
      </c>
      <c r="AB134" s="170">
        <f t="shared" si="63"/>
        <v>0</v>
      </c>
      <c r="AC134" s="170">
        <f t="shared" si="59"/>
        <v>0</v>
      </c>
      <c r="AD134" s="169">
        <f>Pasākumu_līmenis!AB90</f>
        <v>0</v>
      </c>
      <c r="AE134" s="169">
        <v>15996371.41</v>
      </c>
      <c r="AF134" s="170">
        <v>0.96328285449322837</v>
      </c>
      <c r="AG134" s="169">
        <f>Pasākumu_līmenis!AE90</f>
        <v>15996371.41</v>
      </c>
      <c r="AH134" s="170">
        <f t="shared" si="70"/>
        <v>0.96328285449322837</v>
      </c>
      <c r="AI134" s="170">
        <f t="shared" si="64"/>
        <v>0</v>
      </c>
      <c r="AJ134" s="170">
        <f t="shared" si="60"/>
        <v>0</v>
      </c>
      <c r="AK134" s="169">
        <v>15996371.41</v>
      </c>
      <c r="AL134" s="170">
        <v>0.96328285449322837</v>
      </c>
    </row>
    <row r="135" spans="1:38" s="98" customFormat="1" ht="39.75" customHeight="1" x14ac:dyDescent="0.3">
      <c r="A135" s="260" t="s">
        <v>299</v>
      </c>
      <c r="B135" s="261" t="str">
        <f>VLOOKUP(A135,saīsinājumi_LV_ENG!A:G,5,FALSE)</f>
        <v>Jauniešu garantijas (aktīvās nodarbinātības pasākumi)</v>
      </c>
      <c r="C135" s="133" t="s">
        <v>361</v>
      </c>
      <c r="D135" s="42">
        <f>IFERROR(IF((VLOOKUP(A135,Pasākumu_līmenis!A:H,3,0))=0,"",VLOOKUP(A135,Pasākumu_līmenis!A:H,3,0)),"")</f>
        <v>1</v>
      </c>
      <c r="E135" s="41" t="str">
        <f>Pasākumu_līmenis!D91</f>
        <v>JNI</v>
      </c>
      <c r="F135" s="41" t="str">
        <f>Pasākumu_līmenis!E91</f>
        <v>LM</v>
      </c>
      <c r="G135" s="283" t="str">
        <f>VLOOKUP(A135,'2. Intervences kategorijas - Pa'!B:D,2,FALSE)</f>
        <v>08 - Veicināt stabilas un kvalitatīvas darba vietas un atbalstīt darbaspēka mobilitāti</v>
      </c>
      <c r="H135" s="178">
        <f>Pasākumu_līmenis!F91</f>
        <v>15186315</v>
      </c>
      <c r="I135" s="178">
        <f>Pasākumu_līmenis!G91</f>
        <v>0</v>
      </c>
      <c r="J135" s="178">
        <f>Pasākumu_līmenis!H91</f>
        <v>15186315</v>
      </c>
      <c r="K135" s="178">
        <f>Pasākumu_līmenis!I91</f>
        <v>0</v>
      </c>
      <c r="L135" s="178">
        <f>Pasākumu_līmenis!J91</f>
        <v>15796042.16</v>
      </c>
      <c r="M135" s="179">
        <f t="shared" si="65"/>
        <v>1.0401497769537904</v>
      </c>
      <c r="N135" s="179">
        <f t="shared" si="61"/>
        <v>0</v>
      </c>
      <c r="O135" s="179">
        <f t="shared" si="66"/>
        <v>0</v>
      </c>
      <c r="P135" s="178">
        <f>Pasākumu_līmenis!N91</f>
        <v>1</v>
      </c>
      <c r="Q135" s="178">
        <v>15796042.16</v>
      </c>
      <c r="R135" s="179">
        <v>1.0401497769537904</v>
      </c>
      <c r="S135" s="178">
        <f>Pasākumu_līmenis!Q91</f>
        <v>15796042.16</v>
      </c>
      <c r="T135" s="179">
        <f t="shared" si="67"/>
        <v>1.0401497769537904</v>
      </c>
      <c r="U135" s="179">
        <f t="shared" si="62"/>
        <v>0</v>
      </c>
      <c r="V135" s="179">
        <f t="shared" si="68"/>
        <v>0</v>
      </c>
      <c r="W135" s="178">
        <f>Pasākumu_līmenis!U91</f>
        <v>1</v>
      </c>
      <c r="X135" s="178">
        <v>15796042.16</v>
      </c>
      <c r="Y135" s="179">
        <v>1.0401497769537904</v>
      </c>
      <c r="Z135" s="178">
        <f>Pasākumu_līmenis!X91</f>
        <v>15796042.16</v>
      </c>
      <c r="AA135" s="179">
        <f t="shared" si="69"/>
        <v>1.0401497769537904</v>
      </c>
      <c r="AB135" s="179">
        <f t="shared" si="63"/>
        <v>0</v>
      </c>
      <c r="AC135" s="179">
        <f t="shared" si="59"/>
        <v>0</v>
      </c>
      <c r="AD135" s="178">
        <f>Pasākumu_līmenis!AB91</f>
        <v>1</v>
      </c>
      <c r="AE135" s="178">
        <v>15796042.16</v>
      </c>
      <c r="AF135" s="179">
        <v>1.0401497769537904</v>
      </c>
      <c r="AG135" s="178">
        <f>Pasākumu_līmenis!AE91</f>
        <v>15796042.16</v>
      </c>
      <c r="AH135" s="179">
        <f t="shared" si="70"/>
        <v>1.0401497769537904</v>
      </c>
      <c r="AI135" s="179">
        <f t="shared" si="64"/>
        <v>0</v>
      </c>
      <c r="AJ135" s="179">
        <f t="shared" si="60"/>
        <v>0</v>
      </c>
      <c r="AK135" s="178">
        <v>15796042.16</v>
      </c>
      <c r="AL135" s="179">
        <v>1.0401497769537904</v>
      </c>
    </row>
    <row r="136" spans="1:38" ht="39.75" customHeight="1" x14ac:dyDescent="0.3">
      <c r="A136" s="253" t="s">
        <v>300</v>
      </c>
      <c r="B136" s="254" t="str">
        <f>VLOOKUP(A136,saīsinājumi_LV_ENG!A:G,5,FALSE)</f>
        <v>Jauniešu garantijas (profesionālās izglītības pasākumi)</v>
      </c>
      <c r="C136" s="10" t="s">
        <v>201</v>
      </c>
      <c r="D136" s="42">
        <f>IFERROR(IF((VLOOKUP(A136,Pasākumu_līmenis!A:H,3,0))=0,"",VLOOKUP(A136,Pasākumu_līmenis!A:H,3,0)),"")</f>
        <v>1</v>
      </c>
      <c r="E136" s="38" t="str">
        <f>Pasākumu_līmenis!D92</f>
        <v>ESF</v>
      </c>
      <c r="F136" s="38" t="str">
        <f>Pasākumu_līmenis!E92</f>
        <v>LM</v>
      </c>
      <c r="G136" s="278" t="str">
        <f>VLOOKUP(A136,'2. Intervences kategorijas - Pa'!B:D,2,FALSE)</f>
        <v>08 - Veicināt stabilas un kvalitatīvas darba vietas un atbalstīt darbaspēka mobilitāti</v>
      </c>
      <c r="H136" s="169">
        <f>Pasākumu_līmenis!F92</f>
        <v>21201278</v>
      </c>
      <c r="I136" s="169">
        <f>Pasākumu_līmenis!G92</f>
        <v>0</v>
      </c>
      <c r="J136" s="169">
        <f>Pasākumu_līmenis!H92</f>
        <v>21201278</v>
      </c>
      <c r="K136" s="169">
        <f>Pasākumu_līmenis!I92</f>
        <v>0</v>
      </c>
      <c r="L136" s="169">
        <f>Pasākumu_līmenis!J92</f>
        <v>20971645.190000001</v>
      </c>
      <c r="M136" s="170">
        <f t="shared" si="65"/>
        <v>0.98916891660964967</v>
      </c>
      <c r="N136" s="170">
        <f t="shared" si="61"/>
        <v>0</v>
      </c>
      <c r="O136" s="170">
        <f t="shared" si="66"/>
        <v>0</v>
      </c>
      <c r="P136" s="169">
        <f>Pasākumu_līmenis!N92</f>
        <v>0</v>
      </c>
      <c r="Q136" s="169">
        <v>20971645.190000001</v>
      </c>
      <c r="R136" s="170">
        <v>0.98916891660964967</v>
      </c>
      <c r="S136" s="169">
        <f>Pasākumu_līmenis!Q92</f>
        <v>20971645.190000001</v>
      </c>
      <c r="T136" s="170">
        <f t="shared" si="67"/>
        <v>0.98916891660964967</v>
      </c>
      <c r="U136" s="170">
        <f t="shared" si="62"/>
        <v>0</v>
      </c>
      <c r="V136" s="170">
        <f t="shared" si="68"/>
        <v>0</v>
      </c>
      <c r="W136" s="169">
        <f>Pasākumu_līmenis!U92</f>
        <v>0</v>
      </c>
      <c r="X136" s="169">
        <v>20971645.190000001</v>
      </c>
      <c r="Y136" s="170">
        <v>0.98916891660964967</v>
      </c>
      <c r="Z136" s="169">
        <f>Pasākumu_līmenis!X92</f>
        <v>20971645.190000001</v>
      </c>
      <c r="AA136" s="170">
        <f t="shared" si="69"/>
        <v>0.98916891660964967</v>
      </c>
      <c r="AB136" s="170">
        <f t="shared" si="63"/>
        <v>0</v>
      </c>
      <c r="AC136" s="170">
        <f t="shared" si="59"/>
        <v>0</v>
      </c>
      <c r="AD136" s="169">
        <f>Pasākumu_līmenis!AB92</f>
        <v>0</v>
      </c>
      <c r="AE136" s="169">
        <v>20971645.190000001</v>
      </c>
      <c r="AF136" s="170">
        <v>0.98916891660964967</v>
      </c>
      <c r="AG136" s="169">
        <f>Pasākumu_līmenis!AE92</f>
        <v>20971645.190000001</v>
      </c>
      <c r="AH136" s="170">
        <f t="shared" si="70"/>
        <v>0.98916891660964967</v>
      </c>
      <c r="AI136" s="170">
        <f t="shared" si="64"/>
        <v>0</v>
      </c>
      <c r="AJ136" s="170">
        <f t="shared" si="60"/>
        <v>0</v>
      </c>
      <c r="AK136" s="169">
        <v>20971645.190000001</v>
      </c>
      <c r="AL136" s="170">
        <v>0.98916891660964967</v>
      </c>
    </row>
    <row r="137" spans="1:38" s="98" customFormat="1" ht="39.75" customHeight="1" x14ac:dyDescent="0.3">
      <c r="A137" s="260" t="s">
        <v>300</v>
      </c>
      <c r="B137" s="261" t="str">
        <f>VLOOKUP(A137,saīsinājumi_LV_ENG!A:G,5,FALSE)</f>
        <v>Jauniešu garantijas (profesionālās izglītības pasākumi)</v>
      </c>
      <c r="C137" s="133" t="s">
        <v>362</v>
      </c>
      <c r="D137" s="42">
        <f>IFERROR(IF((VLOOKUP(A137,Pasākumu_līmenis!A:H,3,0))=0,"",VLOOKUP(A137,Pasākumu_līmenis!A:H,3,0)),"")</f>
        <v>1</v>
      </c>
      <c r="E137" s="41" t="str">
        <f>Pasākumu_līmenis!D93</f>
        <v>JNI</v>
      </c>
      <c r="F137" s="41" t="str">
        <f>Pasākumu_līmenis!E93</f>
        <v>LM</v>
      </c>
      <c r="G137" s="283" t="str">
        <f>VLOOKUP(A137,'2. Intervences kategorijas - Pa'!B:D,2,FALSE)</f>
        <v>08 - Veicināt stabilas un kvalitatīvas darba vietas un atbalstīt darbaspēka mobilitāti</v>
      </c>
      <c r="H137" s="178">
        <f>Pasākumu_līmenis!F93</f>
        <v>13824324</v>
      </c>
      <c r="I137" s="178">
        <f>Pasākumu_līmenis!G93</f>
        <v>0</v>
      </c>
      <c r="J137" s="178">
        <f>Pasākumu_līmenis!H93</f>
        <v>13824324</v>
      </c>
      <c r="K137" s="178">
        <f>Pasākumu_līmenis!I93</f>
        <v>0</v>
      </c>
      <c r="L137" s="178">
        <f>Pasākumu_līmenis!J93</f>
        <v>13014361.460000001</v>
      </c>
      <c r="M137" s="179">
        <f t="shared" si="65"/>
        <v>0.94141033297541354</v>
      </c>
      <c r="N137" s="179">
        <f t="shared" si="61"/>
        <v>0</v>
      </c>
      <c r="O137" s="179">
        <f t="shared" si="66"/>
        <v>0</v>
      </c>
      <c r="P137" s="178">
        <f>Pasākumu_līmenis!N93</f>
        <v>1</v>
      </c>
      <c r="Q137" s="178">
        <v>13014361.460000001</v>
      </c>
      <c r="R137" s="179">
        <v>0.94141033297541354</v>
      </c>
      <c r="S137" s="178">
        <f>Pasākumu_līmenis!Q93</f>
        <v>13014361.460000001</v>
      </c>
      <c r="T137" s="179">
        <f t="shared" si="67"/>
        <v>0.94141033297541354</v>
      </c>
      <c r="U137" s="179">
        <f t="shared" si="62"/>
        <v>0</v>
      </c>
      <c r="V137" s="179">
        <f t="shared" si="68"/>
        <v>0</v>
      </c>
      <c r="W137" s="178">
        <f>Pasākumu_līmenis!U93</f>
        <v>1</v>
      </c>
      <c r="X137" s="178">
        <v>13014361.460000001</v>
      </c>
      <c r="Y137" s="179">
        <v>0.94141033297541354</v>
      </c>
      <c r="Z137" s="178">
        <f>Pasākumu_līmenis!X93</f>
        <v>13014361.460000001</v>
      </c>
      <c r="AA137" s="179">
        <f t="shared" si="69"/>
        <v>0.94141033297541354</v>
      </c>
      <c r="AB137" s="179">
        <f t="shared" si="63"/>
        <v>0</v>
      </c>
      <c r="AC137" s="179">
        <f t="shared" si="59"/>
        <v>0</v>
      </c>
      <c r="AD137" s="178">
        <f>Pasākumu_līmenis!AB93</f>
        <v>1</v>
      </c>
      <c r="AE137" s="178">
        <v>13014361.460000001</v>
      </c>
      <c r="AF137" s="179">
        <v>0.94141033297541354</v>
      </c>
      <c r="AG137" s="178">
        <f>Pasākumu_līmenis!AE93</f>
        <v>13014361.460000001</v>
      </c>
      <c r="AH137" s="179">
        <f t="shared" si="70"/>
        <v>0.94141033297541354</v>
      </c>
      <c r="AI137" s="179">
        <f t="shared" si="64"/>
        <v>0</v>
      </c>
      <c r="AJ137" s="179">
        <f t="shared" si="60"/>
        <v>0</v>
      </c>
      <c r="AK137" s="178">
        <v>13014361.460000001</v>
      </c>
      <c r="AL137" s="179">
        <v>0.94141033297541354</v>
      </c>
    </row>
    <row r="138" spans="1:38" ht="60.75" customHeight="1" x14ac:dyDescent="0.3">
      <c r="A138" s="253" t="s">
        <v>301</v>
      </c>
      <c r="B138" s="254" t="s">
        <v>1003</v>
      </c>
      <c r="C138" s="10" t="s">
        <v>202</v>
      </c>
      <c r="D138" s="42"/>
      <c r="E138" s="38" t="str">
        <f>Pasākumu_līmenis!D94</f>
        <v>ESF</v>
      </c>
      <c r="F138" s="38" t="str">
        <f>Pasākumu_līmenis!E94</f>
        <v>LM</v>
      </c>
      <c r="G138" s="278" t="str">
        <f>VLOOKUP(A138,'2. Intervences kategorijas - Pa'!B:D,2,FALSE)</f>
        <v>08 - Veicināt stabilas un kvalitatīvas darba vietas un atbalstīt darbaspēka mobilitāti</v>
      </c>
      <c r="H138" s="169">
        <f>Pasākumu_līmenis!F94</f>
        <v>0</v>
      </c>
      <c r="I138" s="169">
        <f>Pasākumu_līmenis!G94</f>
        <v>0</v>
      </c>
      <c r="J138" s="169">
        <f>Pasākumu_līmenis!H94</f>
        <v>0</v>
      </c>
      <c r="K138" s="169">
        <f>Pasākumu_līmenis!I94</f>
        <v>1274049</v>
      </c>
      <c r="L138" s="169">
        <f>Pasākumu_līmenis!J94</f>
        <v>0</v>
      </c>
      <c r="M138" s="170">
        <f>IFERROR(L138/$H138,0)</f>
        <v>0</v>
      </c>
      <c r="N138" s="170">
        <f t="shared" si="61"/>
        <v>0</v>
      </c>
      <c r="O138" s="170">
        <f t="shared" si="66"/>
        <v>0</v>
      </c>
      <c r="P138" s="169">
        <f>Pasākumu_līmenis!N94</f>
        <v>0</v>
      </c>
      <c r="Q138" s="169">
        <v>0</v>
      </c>
      <c r="R138" s="170">
        <v>0</v>
      </c>
      <c r="S138" s="169">
        <f>Pasākumu_līmenis!Q94</f>
        <v>0</v>
      </c>
      <c r="T138" s="170">
        <f>IFERROR(S138/$H138,0)</f>
        <v>0</v>
      </c>
      <c r="U138" s="170">
        <f t="shared" si="62"/>
        <v>0</v>
      </c>
      <c r="V138" s="170">
        <f t="shared" si="68"/>
        <v>0</v>
      </c>
      <c r="W138" s="169">
        <f>Pasākumu_līmenis!U94</f>
        <v>0</v>
      </c>
      <c r="X138" s="169">
        <v>0</v>
      </c>
      <c r="Y138" s="170">
        <v>0</v>
      </c>
      <c r="Z138" s="169">
        <f>Pasākumu_līmenis!X94</f>
        <v>0</v>
      </c>
      <c r="AA138" s="170">
        <f>IFERROR(Z138/$H138,0)</f>
        <v>0</v>
      </c>
      <c r="AB138" s="170">
        <f t="shared" si="63"/>
        <v>0</v>
      </c>
      <c r="AC138" s="170">
        <f t="shared" si="59"/>
        <v>0</v>
      </c>
      <c r="AD138" s="169">
        <f>Pasākumu_līmenis!AB94</f>
        <v>0</v>
      </c>
      <c r="AE138" s="169">
        <v>0</v>
      </c>
      <c r="AF138" s="170">
        <v>0</v>
      </c>
      <c r="AG138" s="169">
        <f>Pasākumu_līmenis!AE94</f>
        <v>0</v>
      </c>
      <c r="AH138" s="170">
        <f>IFERROR(AG138/$H138,0)</f>
        <v>0</v>
      </c>
      <c r="AI138" s="170">
        <f t="shared" si="64"/>
        <v>0</v>
      </c>
      <c r="AJ138" s="170">
        <f t="shared" si="60"/>
        <v>0</v>
      </c>
      <c r="AK138" s="169">
        <v>0</v>
      </c>
      <c r="AL138" s="170">
        <v>0</v>
      </c>
    </row>
    <row r="139" spans="1:38" ht="39.75" customHeight="1" x14ac:dyDescent="0.3">
      <c r="A139" s="249" t="s">
        <v>89</v>
      </c>
      <c r="B139" s="250" t="str">
        <f>VLOOKUP(A139,saīsinājumi_LV_ENG!A:G,5,FALSE)</f>
        <v>Nodarbināto, uzņēmumu pielāgošanās pārmaiņām</v>
      </c>
      <c r="C139" s="215" t="s">
        <v>94</v>
      </c>
      <c r="D139" s="216"/>
      <c r="E139" s="217"/>
      <c r="F139" s="217"/>
      <c r="G139" s="276"/>
      <c r="H139" s="218">
        <f>H140+H141</f>
        <v>7422751</v>
      </c>
      <c r="I139" s="218">
        <f>I140+I141</f>
        <v>0</v>
      </c>
      <c r="J139" s="218">
        <f>J140+J141</f>
        <v>7422751</v>
      </c>
      <c r="K139" s="218">
        <f>K140+K141</f>
        <v>0</v>
      </c>
      <c r="L139" s="218">
        <f>L140+L141</f>
        <v>7110156.4299999997</v>
      </c>
      <c r="M139" s="219">
        <f t="shared" si="65"/>
        <v>0.95788696535826134</v>
      </c>
      <c r="N139" s="219">
        <f t="shared" si="61"/>
        <v>0</v>
      </c>
      <c r="O139" s="219">
        <f t="shared" si="66"/>
        <v>0</v>
      </c>
      <c r="P139" s="218">
        <f>P140+P141</f>
        <v>2</v>
      </c>
      <c r="Q139" s="218">
        <v>7110156.4299999997</v>
      </c>
      <c r="R139" s="219">
        <v>0.95788696535826134</v>
      </c>
      <c r="S139" s="218">
        <f>S140+S141</f>
        <v>7110156.4299999997</v>
      </c>
      <c r="T139" s="219">
        <f t="shared" si="67"/>
        <v>0.95788696535826134</v>
      </c>
      <c r="U139" s="219">
        <f t="shared" si="62"/>
        <v>0</v>
      </c>
      <c r="V139" s="219">
        <f t="shared" si="68"/>
        <v>0</v>
      </c>
      <c r="W139" s="218">
        <f>W140+W141</f>
        <v>2</v>
      </c>
      <c r="X139" s="218">
        <v>7110156.4299999997</v>
      </c>
      <c r="Y139" s="219">
        <v>0.95788696535826134</v>
      </c>
      <c r="Z139" s="218">
        <f>Z140+Z141</f>
        <v>7110156.4299999997</v>
      </c>
      <c r="AA139" s="219">
        <f t="shared" si="69"/>
        <v>0.95788696535826134</v>
      </c>
      <c r="AB139" s="219">
        <f t="shared" si="63"/>
        <v>0</v>
      </c>
      <c r="AC139" s="219">
        <f t="shared" si="59"/>
        <v>0</v>
      </c>
      <c r="AD139" s="218">
        <f>AD140+AD141</f>
        <v>2</v>
      </c>
      <c r="AE139" s="218">
        <v>7110156.4299999997</v>
      </c>
      <c r="AF139" s="219">
        <v>0.95788696535826134</v>
      </c>
      <c r="AG139" s="218">
        <f>AG140+AG141</f>
        <v>7110156.4299999997</v>
      </c>
      <c r="AH139" s="219">
        <f t="shared" si="70"/>
        <v>0.95788696535826134</v>
      </c>
      <c r="AI139" s="219">
        <f t="shared" si="64"/>
        <v>0</v>
      </c>
      <c r="AJ139" s="219">
        <f t="shared" si="60"/>
        <v>0</v>
      </c>
      <c r="AK139" s="218">
        <v>7110156.4299999997</v>
      </c>
      <c r="AL139" s="219">
        <v>0.95788696535826134</v>
      </c>
    </row>
    <row r="140" spans="1:38" ht="21" customHeight="1" x14ac:dyDescent="0.3">
      <c r="A140" s="255" t="s">
        <v>302</v>
      </c>
      <c r="B140" s="254" t="str">
        <f>VLOOKUP(A140,saīsinājumi_LV_ENG!A:G,5,FALSE)</f>
        <v>Darba drošības uzlabošana</v>
      </c>
      <c r="C140" s="10" t="s">
        <v>95</v>
      </c>
      <c r="D140" s="10"/>
      <c r="E140" s="38" t="str">
        <f>Pasākumu_līmenis!D95</f>
        <v>ESF</v>
      </c>
      <c r="F140" s="38" t="str">
        <f>Pasākumu_līmenis!E95</f>
        <v>LM</v>
      </c>
      <c r="G140" s="278" t="str">
        <f>VLOOKUP(A140,'2. Intervences kategorijas - Pa'!B:D,2,FALSE)</f>
        <v>08 - Veicināt stabilas un kvalitatīvas darba vietas un atbalstīt darbaspēka mobilitāti</v>
      </c>
      <c r="H140" s="169">
        <f>Pasākumu_līmenis!F95</f>
        <v>5856035</v>
      </c>
      <c r="I140" s="169">
        <f>Pasākumu_līmenis!G95</f>
        <v>0</v>
      </c>
      <c r="J140" s="169">
        <f>Pasākumu_līmenis!H95</f>
        <v>5856035</v>
      </c>
      <c r="K140" s="169">
        <f>Pasākumu_līmenis!I95</f>
        <v>0</v>
      </c>
      <c r="L140" s="169">
        <f>Pasākumu_līmenis!J95</f>
        <v>5543441.2199999997</v>
      </c>
      <c r="M140" s="170">
        <f t="shared" si="65"/>
        <v>0.94662023365639036</v>
      </c>
      <c r="N140" s="170">
        <f t="shared" si="61"/>
        <v>0</v>
      </c>
      <c r="O140" s="170">
        <f t="shared" si="66"/>
        <v>0</v>
      </c>
      <c r="P140" s="169">
        <f>Pasākumu_līmenis!N95</f>
        <v>1</v>
      </c>
      <c r="Q140" s="169">
        <v>5543441.2199999997</v>
      </c>
      <c r="R140" s="170">
        <v>0.94662023365639036</v>
      </c>
      <c r="S140" s="169">
        <f>Pasākumu_līmenis!Q95</f>
        <v>5543441.2199999997</v>
      </c>
      <c r="T140" s="170">
        <f t="shared" si="67"/>
        <v>0.94662023365639036</v>
      </c>
      <c r="U140" s="170">
        <f t="shared" si="62"/>
        <v>0</v>
      </c>
      <c r="V140" s="170">
        <f t="shared" si="68"/>
        <v>0</v>
      </c>
      <c r="W140" s="169">
        <f>Pasākumu_līmenis!U95</f>
        <v>1</v>
      </c>
      <c r="X140" s="169">
        <v>5543441.2199999997</v>
      </c>
      <c r="Y140" s="170">
        <v>0.94662023365639036</v>
      </c>
      <c r="Z140" s="169">
        <f>Pasākumu_līmenis!X95</f>
        <v>5543441.2199999997</v>
      </c>
      <c r="AA140" s="170">
        <f t="shared" si="69"/>
        <v>0.94662023365639036</v>
      </c>
      <c r="AB140" s="170">
        <f t="shared" si="63"/>
        <v>0</v>
      </c>
      <c r="AC140" s="170">
        <f t="shared" si="59"/>
        <v>0</v>
      </c>
      <c r="AD140" s="169">
        <f>Pasākumu_līmenis!AB95</f>
        <v>1</v>
      </c>
      <c r="AE140" s="169">
        <v>5543441.2199999997</v>
      </c>
      <c r="AF140" s="170">
        <v>0.94662023365639036</v>
      </c>
      <c r="AG140" s="169">
        <f>Pasākumu_līmenis!AE95</f>
        <v>5543441.2199999997</v>
      </c>
      <c r="AH140" s="170">
        <f t="shared" si="70"/>
        <v>0.94662023365639036</v>
      </c>
      <c r="AI140" s="170">
        <f t="shared" si="64"/>
        <v>0</v>
      </c>
      <c r="AJ140" s="170">
        <f t="shared" si="60"/>
        <v>0</v>
      </c>
      <c r="AK140" s="169">
        <v>5543441.2199999997</v>
      </c>
      <c r="AL140" s="170">
        <v>0.94662023365639036</v>
      </c>
    </row>
    <row r="141" spans="1:38" ht="39.75" customHeight="1" x14ac:dyDescent="0.3">
      <c r="A141" s="255" t="s">
        <v>303</v>
      </c>
      <c r="B141" s="254" t="str">
        <f>VLOOKUP(A141,saīsinājumi_LV_ENG!A:G,5,FALSE)</f>
        <v>Gados vecāku nodarbināto darbspēju uzlabošana</v>
      </c>
      <c r="C141" s="10" t="s">
        <v>96</v>
      </c>
      <c r="D141" s="10"/>
      <c r="E141" s="38" t="str">
        <f>Pasākumu_līmenis!D96</f>
        <v>ESF</v>
      </c>
      <c r="F141" s="38" t="str">
        <f>Pasākumu_līmenis!E96</f>
        <v>LM</v>
      </c>
      <c r="G141" s="278" t="str">
        <f>VLOOKUP(A141,'2. Intervences kategorijas - Pa'!B:D,2,FALSE)</f>
        <v>08 - Veicināt stabilas un kvalitatīvas darba vietas un atbalstīt darbaspēka mobilitāti</v>
      </c>
      <c r="H141" s="169">
        <f>Pasākumu_līmenis!F96</f>
        <v>1566716</v>
      </c>
      <c r="I141" s="169">
        <f>Pasākumu_līmenis!G96</f>
        <v>0</v>
      </c>
      <c r="J141" s="169">
        <f>Pasākumu_līmenis!H96</f>
        <v>1566716</v>
      </c>
      <c r="K141" s="169">
        <f>Pasākumu_līmenis!I96</f>
        <v>0</v>
      </c>
      <c r="L141" s="169">
        <f>Pasākumu_līmenis!J96</f>
        <v>1566715.21</v>
      </c>
      <c r="M141" s="170">
        <f t="shared" si="65"/>
        <v>0.99999949576055902</v>
      </c>
      <c r="N141" s="170">
        <f t="shared" si="61"/>
        <v>0</v>
      </c>
      <c r="O141" s="170">
        <f t="shared" si="66"/>
        <v>0</v>
      </c>
      <c r="P141" s="169">
        <f>Pasākumu_līmenis!N96</f>
        <v>1</v>
      </c>
      <c r="Q141" s="169">
        <v>1566715.21</v>
      </c>
      <c r="R141" s="170">
        <v>0.99999949576055902</v>
      </c>
      <c r="S141" s="169">
        <f>Pasākumu_līmenis!Q96</f>
        <v>1566715.21</v>
      </c>
      <c r="T141" s="170">
        <f t="shared" si="67"/>
        <v>0.99999949576055902</v>
      </c>
      <c r="U141" s="170">
        <f t="shared" si="62"/>
        <v>0</v>
      </c>
      <c r="V141" s="170">
        <f t="shared" si="68"/>
        <v>0</v>
      </c>
      <c r="W141" s="169">
        <f>Pasākumu_līmenis!U96</f>
        <v>1</v>
      </c>
      <c r="X141" s="169">
        <v>1566715.21</v>
      </c>
      <c r="Y141" s="170">
        <v>0.99999949576055902</v>
      </c>
      <c r="Z141" s="169">
        <f>Pasākumu_līmenis!X96</f>
        <v>1566715.21</v>
      </c>
      <c r="AA141" s="170">
        <f t="shared" si="69"/>
        <v>0.99999949576055902</v>
      </c>
      <c r="AB141" s="170">
        <f t="shared" si="63"/>
        <v>0</v>
      </c>
      <c r="AC141" s="170">
        <f t="shared" si="59"/>
        <v>0</v>
      </c>
      <c r="AD141" s="169">
        <f>Pasākumu_līmenis!AB96</f>
        <v>1</v>
      </c>
      <c r="AE141" s="169">
        <v>1566715.21</v>
      </c>
      <c r="AF141" s="170">
        <v>0.99999949576055902</v>
      </c>
      <c r="AG141" s="169">
        <f>Pasākumu_līmenis!AE96</f>
        <v>1566715.21</v>
      </c>
      <c r="AH141" s="170">
        <f t="shared" si="70"/>
        <v>0.99999949576055902</v>
      </c>
      <c r="AI141" s="170">
        <f t="shared" si="64"/>
        <v>0</v>
      </c>
      <c r="AJ141" s="170">
        <f t="shared" si="60"/>
        <v>0</v>
      </c>
      <c r="AK141" s="169">
        <v>1566715.21</v>
      </c>
      <c r="AL141" s="170">
        <v>0.99999949576055902</v>
      </c>
    </row>
    <row r="142" spans="1:38" ht="36" customHeight="1" x14ac:dyDescent="0.3">
      <c r="A142" s="247" t="s">
        <v>97</v>
      </c>
      <c r="B142" s="248" t="str">
        <f>VLOOKUP(A142,saīsinājumi_LV_ENG!A:G,5,FALSE)</f>
        <v>Izglītība</v>
      </c>
      <c r="C142" s="8" t="s">
        <v>98</v>
      </c>
      <c r="D142" s="225"/>
      <c r="E142" s="66"/>
      <c r="F142" s="66"/>
      <c r="G142" s="280"/>
      <c r="H142" s="226">
        <f>H143+H148+H153+H166+H168</f>
        <v>523940298</v>
      </c>
      <c r="I142" s="226">
        <f>I143+I148+I153+I166+I168</f>
        <v>5607771</v>
      </c>
      <c r="J142" s="226">
        <f>J143+J148+J153+J166+J168</f>
        <v>529548069</v>
      </c>
      <c r="K142" s="226">
        <f>K143+K148+K153+K166+K168</f>
        <v>23439111.242077023</v>
      </c>
      <c r="L142" s="226">
        <f>L143+L148+L153+L166+L168</f>
        <v>519738662.79000002</v>
      </c>
      <c r="M142" s="227">
        <f t="shared" si="65"/>
        <v>0.99198069851462356</v>
      </c>
      <c r="N142" s="227">
        <f t="shared" si="61"/>
        <v>0</v>
      </c>
      <c r="O142" s="227">
        <f t="shared" si="66"/>
        <v>0</v>
      </c>
      <c r="P142" s="226">
        <f>P143+P148+P153+P166+P168</f>
        <v>188</v>
      </c>
      <c r="Q142" s="175">
        <v>519738662.79000002</v>
      </c>
      <c r="R142" s="176">
        <v>0.99198069851462356</v>
      </c>
      <c r="S142" s="226">
        <f>S143+S148+S153+S166+S168</f>
        <v>519738662.79000002</v>
      </c>
      <c r="T142" s="227">
        <f t="shared" si="67"/>
        <v>0.99198069851462356</v>
      </c>
      <c r="U142" s="227">
        <f t="shared" si="62"/>
        <v>0</v>
      </c>
      <c r="V142" s="227">
        <f t="shared" si="68"/>
        <v>0</v>
      </c>
      <c r="W142" s="226">
        <f>W143+W148+W153+W166+W168</f>
        <v>188</v>
      </c>
      <c r="X142" s="226">
        <v>519738662.79000002</v>
      </c>
      <c r="Y142" s="227">
        <v>0.99198069851462356</v>
      </c>
      <c r="Z142" s="226">
        <f>Z143+Z148+Z153+Z166+Z168</f>
        <v>519738662.79000002</v>
      </c>
      <c r="AA142" s="227">
        <f t="shared" si="69"/>
        <v>0.99198069851462356</v>
      </c>
      <c r="AB142" s="227">
        <f t="shared" si="63"/>
        <v>0</v>
      </c>
      <c r="AC142" s="227">
        <f t="shared" si="59"/>
        <v>0</v>
      </c>
      <c r="AD142" s="226">
        <f>AD143+AD148+AD153+AD166+AD168</f>
        <v>188</v>
      </c>
      <c r="AE142" s="175">
        <v>519738662.79000002</v>
      </c>
      <c r="AF142" s="176">
        <v>0.99198069851462356</v>
      </c>
      <c r="AG142" s="226">
        <f>AG143+AG148+AG153+AG166+AG168</f>
        <v>516311028.60000002</v>
      </c>
      <c r="AH142" s="227">
        <f t="shared" si="70"/>
        <v>0.98543866652532242</v>
      </c>
      <c r="AI142" s="227">
        <f t="shared" si="64"/>
        <v>0</v>
      </c>
      <c r="AJ142" s="227">
        <f t="shared" si="60"/>
        <v>0</v>
      </c>
      <c r="AK142" s="226">
        <v>516311028.60000002</v>
      </c>
      <c r="AL142" s="227">
        <v>0.98543866652532242</v>
      </c>
    </row>
    <row r="143" spans="1:38" ht="21" customHeight="1" x14ac:dyDescent="0.3">
      <c r="A143" s="249" t="s">
        <v>99</v>
      </c>
      <c r="B143" s="250" t="str">
        <f>VLOOKUP(A143,saīsinājumi_LV_ENG!A:G,5,FALSE)</f>
        <v>Izglītības infrastruktūra</v>
      </c>
      <c r="C143" s="215" t="s">
        <v>100</v>
      </c>
      <c r="D143" s="215"/>
      <c r="E143" s="217"/>
      <c r="F143" s="217"/>
      <c r="G143" s="276"/>
      <c r="H143" s="218">
        <f>H144+H145+H146+H147</f>
        <v>272071864</v>
      </c>
      <c r="I143" s="218">
        <f>I144+I145+I146+I147</f>
        <v>5607771</v>
      </c>
      <c r="J143" s="218">
        <f>J144+J145+J146+J147</f>
        <v>277679635</v>
      </c>
      <c r="K143" s="218">
        <f>K144+K145+K146+K147</f>
        <v>16924212.699999999</v>
      </c>
      <c r="L143" s="218">
        <f>L144+L145+L146+L147</f>
        <v>273105526.44999999</v>
      </c>
      <c r="M143" s="219">
        <f t="shared" si="65"/>
        <v>1.0037992258177788</v>
      </c>
      <c r="N143" s="219">
        <f t="shared" si="61"/>
        <v>0</v>
      </c>
      <c r="O143" s="219">
        <f t="shared" si="66"/>
        <v>0</v>
      </c>
      <c r="P143" s="218">
        <f>P144+P145+P146+P147</f>
        <v>94</v>
      </c>
      <c r="Q143" s="218">
        <v>273105526.44999999</v>
      </c>
      <c r="R143" s="219">
        <v>1.0037992258177788</v>
      </c>
      <c r="S143" s="218">
        <f>S144+S145+S146+S147</f>
        <v>273105526.44999999</v>
      </c>
      <c r="T143" s="219">
        <f t="shared" si="67"/>
        <v>1.0037992258177788</v>
      </c>
      <c r="U143" s="219">
        <f t="shared" si="62"/>
        <v>0</v>
      </c>
      <c r="V143" s="219">
        <f t="shared" si="68"/>
        <v>0</v>
      </c>
      <c r="W143" s="218">
        <f>W144+W145+W146+W147</f>
        <v>94</v>
      </c>
      <c r="X143" s="218">
        <v>273105526.44999999</v>
      </c>
      <c r="Y143" s="219">
        <v>1.0037992258177788</v>
      </c>
      <c r="Z143" s="218">
        <f>Z144+Z145+Z146+Z147</f>
        <v>273105526.44999999</v>
      </c>
      <c r="AA143" s="219">
        <f t="shared" si="69"/>
        <v>1.0037992258177788</v>
      </c>
      <c r="AB143" s="219">
        <f t="shared" si="63"/>
        <v>0</v>
      </c>
      <c r="AC143" s="219">
        <f t="shared" si="59"/>
        <v>0</v>
      </c>
      <c r="AD143" s="218">
        <f>AD144+AD145+AD146+AD147</f>
        <v>94</v>
      </c>
      <c r="AE143" s="218">
        <v>273105526.44999999</v>
      </c>
      <c r="AF143" s="219">
        <v>1.0037992258177788</v>
      </c>
      <c r="AG143" s="218">
        <f>AG144+AG145+AG146+AG147</f>
        <v>269688261.45999998</v>
      </c>
      <c r="AH143" s="219">
        <f t="shared" si="70"/>
        <v>0.99123907005687284</v>
      </c>
      <c r="AI143" s="219">
        <f t="shared" si="64"/>
        <v>0</v>
      </c>
      <c r="AJ143" s="219">
        <f t="shared" si="60"/>
        <v>0</v>
      </c>
      <c r="AK143" s="218">
        <v>269688261.45999998</v>
      </c>
      <c r="AL143" s="219">
        <v>0.99123907005687284</v>
      </c>
    </row>
    <row r="144" spans="1:38" ht="21" customHeight="1" x14ac:dyDescent="0.3">
      <c r="A144" s="255" t="s">
        <v>305</v>
      </c>
      <c r="B144" s="254" t="str">
        <f>VLOOKUP(A144,saīsinājumi_LV_ENG!A:G,5,FALSE)</f>
        <v>Augstskolu STEM infrastruktūra</v>
      </c>
      <c r="C144" s="10" t="s">
        <v>101</v>
      </c>
      <c r="D144" s="10"/>
      <c r="E144" s="38" t="str">
        <f>Pasākumu_līmenis!D98</f>
        <v>ERAF</v>
      </c>
      <c r="F144" s="38" t="str">
        <f>Pasākumu_līmenis!E98</f>
        <v>IZM</v>
      </c>
      <c r="G144" s="278" t="str">
        <f>VLOOKUP(A144,'2. Intervences kategorijas - Pa'!B:D,2,FALSE)</f>
        <v>10 - Veikt investīcijas izglītībā, apmācībā un profesionālajā apmācībā prasmju ieguvei, kā arī mūžizglītībā</v>
      </c>
      <c r="H144" s="169">
        <f>Pasākumu_līmenis!F98</f>
        <v>38009447</v>
      </c>
      <c r="I144" s="169">
        <f>Pasākumu_līmenis!G98</f>
        <v>0</v>
      </c>
      <c r="J144" s="169">
        <f>Pasākumu_līmenis!H98</f>
        <v>38009447</v>
      </c>
      <c r="K144" s="169">
        <f>Pasākumu_līmenis!I98</f>
        <v>2314490</v>
      </c>
      <c r="L144" s="169">
        <f>Pasākumu_līmenis!J98</f>
        <v>37742128.32</v>
      </c>
      <c r="M144" s="170">
        <f t="shared" si="65"/>
        <v>0.99296704632403621</v>
      </c>
      <c r="N144" s="170">
        <f t="shared" si="61"/>
        <v>0</v>
      </c>
      <c r="O144" s="170">
        <f t="shared" si="66"/>
        <v>0</v>
      </c>
      <c r="P144" s="169">
        <f>Pasākumu_līmenis!N98</f>
        <v>15</v>
      </c>
      <c r="Q144" s="169">
        <v>37742128.32</v>
      </c>
      <c r="R144" s="170">
        <v>0.99296704632403621</v>
      </c>
      <c r="S144" s="169">
        <f>Pasākumu_līmenis!Q98</f>
        <v>37742128.32</v>
      </c>
      <c r="T144" s="170">
        <f t="shared" si="67"/>
        <v>0.99296704632403621</v>
      </c>
      <c r="U144" s="170">
        <f t="shared" si="62"/>
        <v>0</v>
      </c>
      <c r="V144" s="170">
        <f t="shared" si="68"/>
        <v>0</v>
      </c>
      <c r="W144" s="169">
        <f>Pasākumu_līmenis!U98</f>
        <v>15</v>
      </c>
      <c r="X144" s="169">
        <v>37742128.32</v>
      </c>
      <c r="Y144" s="170">
        <v>0.99296704632403621</v>
      </c>
      <c r="Z144" s="169">
        <f>Pasākumu_līmenis!X98</f>
        <v>37742128.32</v>
      </c>
      <c r="AA144" s="170">
        <f t="shared" si="69"/>
        <v>0.99296704632403621</v>
      </c>
      <c r="AB144" s="170">
        <f t="shared" si="63"/>
        <v>0</v>
      </c>
      <c r="AC144" s="170">
        <f t="shared" si="59"/>
        <v>0</v>
      </c>
      <c r="AD144" s="169">
        <f>Pasākumu_līmenis!AB98</f>
        <v>15</v>
      </c>
      <c r="AE144" s="169">
        <v>37742128.32</v>
      </c>
      <c r="AF144" s="170">
        <v>0.99296704632403621</v>
      </c>
      <c r="AG144" s="169">
        <f>Pasākumu_līmenis!AE98</f>
        <v>37045829.759999998</v>
      </c>
      <c r="AH144" s="170">
        <f t="shared" si="70"/>
        <v>0.97464795423095729</v>
      </c>
      <c r="AI144" s="170">
        <f t="shared" si="64"/>
        <v>0</v>
      </c>
      <c r="AJ144" s="170">
        <f t="shared" si="60"/>
        <v>0</v>
      </c>
      <c r="AK144" s="169">
        <v>37045829.759999998</v>
      </c>
      <c r="AL144" s="170">
        <v>0.97464795423095729</v>
      </c>
    </row>
    <row r="145" spans="1:38" ht="39.75" customHeight="1" x14ac:dyDescent="0.3">
      <c r="A145" s="255" t="s">
        <v>445</v>
      </c>
      <c r="B145" s="254" t="str">
        <f>VLOOKUP(A145,saīsinājumi_LV_ENG!A:G,5,FALSE)</f>
        <v>Vispārējās izglītības infrastruktūra</v>
      </c>
      <c r="C145" s="10" t="s">
        <v>102</v>
      </c>
      <c r="D145" s="10"/>
      <c r="E145" s="38" t="s">
        <v>344</v>
      </c>
      <c r="F145" s="38" t="str">
        <f>Pasākumu_līmenis!E99</f>
        <v>IZM</v>
      </c>
      <c r="G145" s="278" t="str">
        <f>VLOOKUP(A145,'2. Intervences kategorijas - Pa'!B:D,2,FALSE)</f>
        <v>10 - Veikt investīcijas izglītībā, apmācībā un profesionālajā apmācībā prasmju ieguvei, kā arī mūžizglītībā</v>
      </c>
      <c r="H145" s="169">
        <f>Pasākumu_līmenis!F99</f>
        <v>133204393</v>
      </c>
      <c r="I145" s="169">
        <f>Pasākumu_līmenis!G99</f>
        <v>4095434</v>
      </c>
      <c r="J145" s="169">
        <f>Pasākumu_līmenis!H99</f>
        <v>137299827</v>
      </c>
      <c r="K145" s="169">
        <f>Pasākumu_līmenis!I99</f>
        <v>8470218</v>
      </c>
      <c r="L145" s="169">
        <f>Pasākumu_līmenis!J99</f>
        <v>133859724.88999999</v>
      </c>
      <c r="M145" s="170">
        <f t="shared" si="65"/>
        <v>1.0049197468284696</v>
      </c>
      <c r="N145" s="170">
        <f t="shared" si="61"/>
        <v>0</v>
      </c>
      <c r="O145" s="170">
        <f t="shared" si="66"/>
        <v>0</v>
      </c>
      <c r="P145" s="169">
        <f>Pasākumu_līmenis!N99</f>
        <v>46</v>
      </c>
      <c r="Q145" s="169">
        <v>133859724.88999999</v>
      </c>
      <c r="R145" s="170">
        <v>1.0049197468284696</v>
      </c>
      <c r="S145" s="169">
        <f>Pasākumu_līmenis!Q99</f>
        <v>133859724.88999999</v>
      </c>
      <c r="T145" s="170">
        <f t="shared" si="67"/>
        <v>1.0049197468284696</v>
      </c>
      <c r="U145" s="170">
        <f t="shared" si="62"/>
        <v>0</v>
      </c>
      <c r="V145" s="170">
        <f t="shared" si="68"/>
        <v>0</v>
      </c>
      <c r="W145" s="169">
        <f>Pasākumu_līmenis!U99</f>
        <v>46</v>
      </c>
      <c r="X145" s="169">
        <v>133859724.88999999</v>
      </c>
      <c r="Y145" s="170">
        <v>1.0049197468284696</v>
      </c>
      <c r="Z145" s="169">
        <f>Pasākumu_līmenis!X99</f>
        <v>133859724.88999999</v>
      </c>
      <c r="AA145" s="170">
        <f>Z145/$H145</f>
        <v>1.0049197468284696</v>
      </c>
      <c r="AB145" s="170">
        <f>AA145-AF145</f>
        <v>0</v>
      </c>
      <c r="AC145" s="170">
        <f t="shared" si="59"/>
        <v>0</v>
      </c>
      <c r="AD145" s="169">
        <f>Pasākumu_līmenis!AB99</f>
        <v>46</v>
      </c>
      <c r="AE145" s="169">
        <v>133859724.88999999</v>
      </c>
      <c r="AF145" s="170">
        <v>1.0049197468284696</v>
      </c>
      <c r="AG145" s="169">
        <f>Pasākumu_līmenis!AE99</f>
        <v>133118376.91999999</v>
      </c>
      <c r="AH145" s="170">
        <f>AG145/$H145</f>
        <v>0.99935425493061614</v>
      </c>
      <c r="AI145" s="170">
        <f>AH145-AL145</f>
        <v>0</v>
      </c>
      <c r="AJ145" s="170">
        <f t="shared" si="60"/>
        <v>0</v>
      </c>
      <c r="AK145" s="169">
        <v>133118376.91999999</v>
      </c>
      <c r="AL145" s="170">
        <v>0.99935425493061614</v>
      </c>
    </row>
    <row r="146" spans="1:38" ht="39.75" customHeight="1" x14ac:dyDescent="0.3">
      <c r="A146" s="255" t="s">
        <v>306</v>
      </c>
      <c r="B146" s="254" t="str">
        <f>VLOOKUP(A146,saīsinājumi_LV_ENG!A:G,5,FALSE)</f>
        <v>Profesionālās izglītības infrastruktūra</v>
      </c>
      <c r="C146" s="10" t="s">
        <v>103</v>
      </c>
      <c r="D146" s="10"/>
      <c r="E146" s="38" t="str">
        <f>Pasākumu_līmenis!D100</f>
        <v>ERAF</v>
      </c>
      <c r="F146" s="38" t="str">
        <f>Pasākumu_līmenis!E100</f>
        <v>IZM</v>
      </c>
      <c r="G146" s="278" t="str">
        <f>VLOOKUP(A146,'2. Intervences kategorijas - Pa'!B:D,2,FALSE)</f>
        <v>10 - Veikt investīcijas izglītībā, apmācībā un profesionālajā apmācībā prasmju ieguvei, kā arī mūžizglītībā</v>
      </c>
      <c r="H146" s="169">
        <f>Pasākumu_līmenis!F100</f>
        <v>88864646</v>
      </c>
      <c r="I146" s="169">
        <f>Pasākumu_līmenis!G100</f>
        <v>1512337</v>
      </c>
      <c r="J146" s="169">
        <f>Pasākumu_līmenis!H100</f>
        <v>90376983</v>
      </c>
      <c r="K146" s="169">
        <f>Pasākumu_līmenis!I100</f>
        <v>5404059.7000000002</v>
      </c>
      <c r="L146" s="169">
        <f>Pasākumu_līmenis!J100</f>
        <v>89515294.299999997</v>
      </c>
      <c r="M146" s="170">
        <f t="shared" si="65"/>
        <v>1.0073217902651634</v>
      </c>
      <c r="N146" s="170">
        <f t="shared" si="61"/>
        <v>0</v>
      </c>
      <c r="O146" s="170">
        <f t="shared" si="66"/>
        <v>0</v>
      </c>
      <c r="P146" s="169">
        <f>Pasākumu_līmenis!N100</f>
        <v>24</v>
      </c>
      <c r="Q146" s="169">
        <v>89515294.299999997</v>
      </c>
      <c r="R146" s="170">
        <v>1.0073217902651634</v>
      </c>
      <c r="S146" s="169">
        <f>Pasākumu_līmenis!Q100</f>
        <v>89515294.299999997</v>
      </c>
      <c r="T146" s="170">
        <f t="shared" si="67"/>
        <v>1.0073217902651634</v>
      </c>
      <c r="U146" s="170">
        <f t="shared" si="62"/>
        <v>0</v>
      </c>
      <c r="V146" s="170">
        <f t="shared" si="68"/>
        <v>0</v>
      </c>
      <c r="W146" s="169">
        <f>Pasākumu_līmenis!U100</f>
        <v>24</v>
      </c>
      <c r="X146" s="169">
        <v>89515294.299999997</v>
      </c>
      <c r="Y146" s="170">
        <v>1.0073217902651634</v>
      </c>
      <c r="Z146" s="169">
        <f>Pasākumu_līmenis!X100</f>
        <v>89515294.299999997</v>
      </c>
      <c r="AA146" s="170">
        <f t="shared" si="69"/>
        <v>1.0073217902651634</v>
      </c>
      <c r="AB146" s="170">
        <f t="shared" si="63"/>
        <v>0</v>
      </c>
      <c r="AC146" s="170">
        <f t="shared" ref="AC146:AC213" si="115">IFERROR(((Z146-AE146)/AE146),0)</f>
        <v>0</v>
      </c>
      <c r="AD146" s="169">
        <f>Pasākumu_līmenis!AB100</f>
        <v>24</v>
      </c>
      <c r="AE146" s="169">
        <v>89515294.299999997</v>
      </c>
      <c r="AF146" s="170">
        <v>1.0073217902651634</v>
      </c>
      <c r="AG146" s="169">
        <f>Pasākumu_līmenis!AE100</f>
        <v>87993777.900000006</v>
      </c>
      <c r="AH146" s="170">
        <f t="shared" si="70"/>
        <v>0.99020006111316761</v>
      </c>
      <c r="AI146" s="170">
        <f t="shared" si="64"/>
        <v>0</v>
      </c>
      <c r="AJ146" s="170">
        <f t="shared" si="60"/>
        <v>0</v>
      </c>
      <c r="AK146" s="169">
        <v>87993777.900000006</v>
      </c>
      <c r="AL146" s="170">
        <v>0.99020006111316761</v>
      </c>
    </row>
    <row r="147" spans="1:38" ht="21" customHeight="1" x14ac:dyDescent="0.3">
      <c r="A147" s="255" t="s">
        <v>307</v>
      </c>
      <c r="B147" s="254" t="str">
        <f>VLOOKUP(A147,saīsinājumi_LV_ENG!A:G,5,FALSE)</f>
        <v>Koledžu STEM infrastruktūrā</v>
      </c>
      <c r="C147" s="10" t="s">
        <v>104</v>
      </c>
      <c r="D147" s="10"/>
      <c r="E147" s="38" t="str">
        <f>Pasākumu_līmenis!D101</f>
        <v>ERAF</v>
      </c>
      <c r="F147" s="38" t="str">
        <f>Pasākumu_līmenis!E101</f>
        <v>IZM</v>
      </c>
      <c r="G147" s="278" t="str">
        <f>VLOOKUP(A147,'2. Intervences kategorijas - Pa'!B:D,2,FALSE)</f>
        <v>10 - Veikt investīcijas izglītībā, apmācībā un profesionālajā apmācībā prasmju ieguvei, kā arī mūžizglītībā</v>
      </c>
      <c r="H147" s="169">
        <f>Pasākumu_līmenis!F101</f>
        <v>11993378</v>
      </c>
      <c r="I147" s="169">
        <f>Pasākumu_līmenis!G101</f>
        <v>0</v>
      </c>
      <c r="J147" s="169">
        <f>Pasākumu_līmenis!H101</f>
        <v>11993378</v>
      </c>
      <c r="K147" s="169">
        <f>Pasākumu_līmenis!I101</f>
        <v>735445</v>
      </c>
      <c r="L147" s="169">
        <f>Pasākumu_līmenis!J101</f>
        <v>11988378.939999999</v>
      </c>
      <c r="M147" s="170">
        <f t="shared" si="65"/>
        <v>0.99958318165240845</v>
      </c>
      <c r="N147" s="170">
        <f t="shared" si="61"/>
        <v>0</v>
      </c>
      <c r="O147" s="170">
        <f t="shared" si="66"/>
        <v>0</v>
      </c>
      <c r="P147" s="169">
        <f>Pasākumu_līmenis!N101</f>
        <v>9</v>
      </c>
      <c r="Q147" s="169">
        <v>11988378.939999999</v>
      </c>
      <c r="R147" s="170">
        <v>0.99958318165240845</v>
      </c>
      <c r="S147" s="169">
        <f>Pasākumu_līmenis!Q101</f>
        <v>11988378.939999999</v>
      </c>
      <c r="T147" s="170">
        <f t="shared" si="67"/>
        <v>0.99958318165240845</v>
      </c>
      <c r="U147" s="170">
        <f t="shared" si="62"/>
        <v>0</v>
      </c>
      <c r="V147" s="170">
        <f t="shared" si="68"/>
        <v>0</v>
      </c>
      <c r="W147" s="169">
        <f>Pasākumu_līmenis!U101</f>
        <v>9</v>
      </c>
      <c r="X147" s="169">
        <v>11988378.939999999</v>
      </c>
      <c r="Y147" s="170">
        <v>0.99958318165240845</v>
      </c>
      <c r="Z147" s="169">
        <f>Pasākumu_līmenis!X101</f>
        <v>11988378.939999999</v>
      </c>
      <c r="AA147" s="170">
        <f t="shared" si="69"/>
        <v>0.99958318165240845</v>
      </c>
      <c r="AB147" s="170">
        <f t="shared" si="63"/>
        <v>0</v>
      </c>
      <c r="AC147" s="170">
        <f t="shared" si="115"/>
        <v>0</v>
      </c>
      <c r="AD147" s="169">
        <f>Pasākumu_līmenis!AB101</f>
        <v>9</v>
      </c>
      <c r="AE147" s="169">
        <v>11988378.939999999</v>
      </c>
      <c r="AF147" s="170">
        <v>0.99958318165240845</v>
      </c>
      <c r="AG147" s="169">
        <f>Pasākumu_līmenis!AE101</f>
        <v>11530276.880000001</v>
      </c>
      <c r="AH147" s="170">
        <f t="shared" si="70"/>
        <v>0.96138693202198755</v>
      </c>
      <c r="AI147" s="170">
        <f t="shared" si="64"/>
        <v>0</v>
      </c>
      <c r="AJ147" s="170">
        <f t="shared" si="60"/>
        <v>0</v>
      </c>
      <c r="AK147" s="169">
        <v>11530276.880000001</v>
      </c>
      <c r="AL147" s="170">
        <v>0.96138693202198755</v>
      </c>
    </row>
    <row r="148" spans="1:38" ht="22.5" customHeight="1" x14ac:dyDescent="0.3">
      <c r="A148" s="249" t="s">
        <v>105</v>
      </c>
      <c r="B148" s="250" t="str">
        <f>VLOOKUP(A148,saīsinājumi_LV_ENG!A:G,5,FALSE)</f>
        <v>Augstākā izglītība</v>
      </c>
      <c r="C148" s="215" t="s">
        <v>106</v>
      </c>
      <c r="D148" s="215"/>
      <c r="E148" s="217"/>
      <c r="F148" s="217"/>
      <c r="G148" s="276"/>
      <c r="H148" s="218">
        <f>H149+H150+H151+H152</f>
        <v>54825638</v>
      </c>
      <c r="I148" s="218">
        <f>I149+I150+I151+I152</f>
        <v>0</v>
      </c>
      <c r="J148" s="218">
        <f>J149+J150+J151+J152</f>
        <v>54825638</v>
      </c>
      <c r="K148" s="218">
        <f>K149+K150+K151+K152</f>
        <v>3522884</v>
      </c>
      <c r="L148" s="218">
        <f>L149+L150+L151+L152</f>
        <v>51765517.5</v>
      </c>
      <c r="M148" s="219">
        <f t="shared" si="65"/>
        <v>0.94418449813570793</v>
      </c>
      <c r="N148" s="219">
        <f t="shared" si="61"/>
        <v>0</v>
      </c>
      <c r="O148" s="219">
        <f t="shared" si="66"/>
        <v>0</v>
      </c>
      <c r="P148" s="218">
        <f>P149+P150+P151+P152</f>
        <v>71</v>
      </c>
      <c r="Q148" s="218">
        <v>51765517.5</v>
      </c>
      <c r="R148" s="219">
        <v>0.94418449813570793</v>
      </c>
      <c r="S148" s="218">
        <f>S149+S150+S151+S152</f>
        <v>51765517.5</v>
      </c>
      <c r="T148" s="219">
        <f t="shared" si="67"/>
        <v>0.94418449813570793</v>
      </c>
      <c r="U148" s="219">
        <f t="shared" si="62"/>
        <v>0</v>
      </c>
      <c r="V148" s="219">
        <f t="shared" si="68"/>
        <v>0</v>
      </c>
      <c r="W148" s="218">
        <f>W149+W150+W151+W152</f>
        <v>71</v>
      </c>
      <c r="X148" s="218">
        <v>51765517.5</v>
      </c>
      <c r="Y148" s="219">
        <v>0.94418449813570793</v>
      </c>
      <c r="Z148" s="218">
        <f>Z149+Z150+Z151+Z152</f>
        <v>51765517.5</v>
      </c>
      <c r="AA148" s="219">
        <f t="shared" si="69"/>
        <v>0.94418449813570793</v>
      </c>
      <c r="AB148" s="219">
        <f t="shared" si="63"/>
        <v>0</v>
      </c>
      <c r="AC148" s="219">
        <f t="shared" si="115"/>
        <v>0</v>
      </c>
      <c r="AD148" s="218">
        <f>AD149+AD150+AD151+AD152</f>
        <v>71</v>
      </c>
      <c r="AE148" s="218">
        <v>51765517.5</v>
      </c>
      <c r="AF148" s="219">
        <v>0.94418449813570793</v>
      </c>
      <c r="AG148" s="218">
        <f>AG149+AG150+AG151+AG152</f>
        <v>51755148.299999997</v>
      </c>
      <c r="AH148" s="219">
        <f t="shared" si="70"/>
        <v>0.94399536764168612</v>
      </c>
      <c r="AI148" s="219">
        <f t="shared" si="64"/>
        <v>0</v>
      </c>
      <c r="AJ148" s="219">
        <f t="shared" ref="AJ148:AJ214" si="116">IFERROR(((AG148-AK148)/AK148),0)</f>
        <v>0</v>
      </c>
      <c r="AK148" s="218">
        <v>51755148.299999997</v>
      </c>
      <c r="AL148" s="219">
        <v>0.94399536764168612</v>
      </c>
    </row>
    <row r="149" spans="1:38" ht="39.75" customHeight="1" x14ac:dyDescent="0.3">
      <c r="A149" s="255" t="s">
        <v>308</v>
      </c>
      <c r="B149" s="254" t="str">
        <f>VLOOKUP(A149,saīsinājumi_LV_ENG!A:G,5,FALSE)</f>
        <v>Studiju programmu fragmentācijas samazināšana</v>
      </c>
      <c r="C149" s="10" t="s">
        <v>107</v>
      </c>
      <c r="D149" s="10"/>
      <c r="E149" s="38" t="str">
        <f>Pasākumu_līmenis!D102</f>
        <v>ESF</v>
      </c>
      <c r="F149" s="38" t="str">
        <f>Pasākumu_līmenis!E102</f>
        <v>IZM</v>
      </c>
      <c r="G149" s="278" t="str">
        <f>VLOOKUP(A149,'2. Intervences kategorijas - Pa'!B:D,2,FALSE)</f>
        <v>10 - Veikt investīcijas izglītībā, apmācībā un profesionālajā apmācībā prasmju ieguvei, kā arī mūžizglītībā</v>
      </c>
      <c r="H149" s="169">
        <f>Pasākumu_līmenis!F102</f>
        <v>10757181</v>
      </c>
      <c r="I149" s="169">
        <f>Pasākumu_līmenis!G102</f>
        <v>0</v>
      </c>
      <c r="J149" s="169">
        <f>Pasākumu_līmenis!H102</f>
        <v>10757181</v>
      </c>
      <c r="K149" s="169">
        <f>Pasākumu_līmenis!I102</f>
        <v>571654</v>
      </c>
      <c r="L149" s="169">
        <f>Pasākumu_līmenis!J102</f>
        <v>10362191.369999999</v>
      </c>
      <c r="M149" s="170">
        <f t="shared" si="65"/>
        <v>0.96328130669178103</v>
      </c>
      <c r="N149" s="170">
        <f t="shared" si="61"/>
        <v>0</v>
      </c>
      <c r="O149" s="170">
        <f t="shared" si="66"/>
        <v>0</v>
      </c>
      <c r="P149" s="169">
        <f>Pasākumu_līmenis!N102</f>
        <v>20</v>
      </c>
      <c r="Q149" s="169">
        <v>10362191.369999999</v>
      </c>
      <c r="R149" s="170">
        <v>0.96328130669178103</v>
      </c>
      <c r="S149" s="169">
        <f>Pasākumu_līmenis!Q102</f>
        <v>10362191.369999999</v>
      </c>
      <c r="T149" s="170">
        <f t="shared" si="67"/>
        <v>0.96328130669178103</v>
      </c>
      <c r="U149" s="170">
        <f t="shared" si="62"/>
        <v>0</v>
      </c>
      <c r="V149" s="170">
        <f t="shared" si="68"/>
        <v>0</v>
      </c>
      <c r="W149" s="169">
        <f>Pasākumu_līmenis!U102</f>
        <v>20</v>
      </c>
      <c r="X149" s="169">
        <v>10362191.369999999</v>
      </c>
      <c r="Y149" s="170">
        <v>0.96328130669178103</v>
      </c>
      <c r="Z149" s="169">
        <f>Pasākumu_līmenis!X102</f>
        <v>10362191.369999999</v>
      </c>
      <c r="AA149" s="170">
        <f t="shared" si="69"/>
        <v>0.96328130669178103</v>
      </c>
      <c r="AB149" s="170">
        <f t="shared" si="63"/>
        <v>0</v>
      </c>
      <c r="AC149" s="170">
        <f t="shared" si="115"/>
        <v>0</v>
      </c>
      <c r="AD149" s="169">
        <f>Pasākumu_līmenis!AB102</f>
        <v>20</v>
      </c>
      <c r="AE149" s="169">
        <v>10362191.369999999</v>
      </c>
      <c r="AF149" s="170">
        <v>0.96328130669178103</v>
      </c>
      <c r="AG149" s="169">
        <f>Pasākumu_līmenis!AE102</f>
        <v>10362191.369999999</v>
      </c>
      <c r="AH149" s="170">
        <f t="shared" si="70"/>
        <v>0.96328130669178103</v>
      </c>
      <c r="AI149" s="170">
        <f t="shared" si="64"/>
        <v>0</v>
      </c>
      <c r="AJ149" s="170">
        <f t="shared" si="116"/>
        <v>0</v>
      </c>
      <c r="AK149" s="169">
        <v>10362191.369999999</v>
      </c>
      <c r="AL149" s="170">
        <v>0.96328130669178103</v>
      </c>
    </row>
    <row r="150" spans="1:38" ht="60.75" customHeight="1" x14ac:dyDescent="0.3">
      <c r="A150" s="255" t="s">
        <v>309</v>
      </c>
      <c r="B150" s="254" t="str">
        <f>VLOOKUP(A150,saīsinājumi_LV_ENG!A:G,5,FALSE)</f>
        <v>Akadēmiskā personāla stratēģiskās specializācijas stiprināšana</v>
      </c>
      <c r="C150" s="10" t="s">
        <v>109</v>
      </c>
      <c r="D150" s="10"/>
      <c r="E150" s="38" t="str">
        <f>Pasākumu_līmenis!D103</f>
        <v>ESF</v>
      </c>
      <c r="F150" s="38" t="str">
        <f>Pasākumu_līmenis!E103</f>
        <v>IZM</v>
      </c>
      <c r="G150" s="278" t="str">
        <f>VLOOKUP(A150,'2. Intervences kategorijas - Pa'!B:D,2,FALSE)</f>
        <v>10 - Veikt investīcijas izglītībā, apmācībā un profesionālajā apmācībā prasmju ieguvei, kā arī mūžizglītībā</v>
      </c>
      <c r="H150" s="169">
        <f>Pasākumu_līmenis!F103</f>
        <v>27199264</v>
      </c>
      <c r="I150" s="169">
        <f>Pasākumu_līmenis!G103</f>
        <v>0</v>
      </c>
      <c r="J150" s="169">
        <f>Pasākumu_līmenis!H103</f>
        <v>27199264</v>
      </c>
      <c r="K150" s="169">
        <f>Pasākumu_līmenis!I103</f>
        <v>1815163</v>
      </c>
      <c r="L150" s="169">
        <f>Pasākumu_līmenis!J103</f>
        <v>24667982.48</v>
      </c>
      <c r="M150" s="170">
        <f t="shared" si="65"/>
        <v>0.90693566120024427</v>
      </c>
      <c r="N150" s="170">
        <f t="shared" si="61"/>
        <v>0</v>
      </c>
      <c r="O150" s="170">
        <f t="shared" si="66"/>
        <v>0</v>
      </c>
      <c r="P150" s="169">
        <f>Pasākumu_līmenis!N103</f>
        <v>32</v>
      </c>
      <c r="Q150" s="169">
        <v>24667982.48</v>
      </c>
      <c r="R150" s="170">
        <v>0.90693566120024427</v>
      </c>
      <c r="S150" s="169">
        <f>Pasākumu_līmenis!Q103</f>
        <v>24667982.48</v>
      </c>
      <c r="T150" s="170">
        <f t="shared" si="67"/>
        <v>0.90693566120024427</v>
      </c>
      <c r="U150" s="170">
        <f t="shared" si="62"/>
        <v>0</v>
      </c>
      <c r="V150" s="170">
        <f t="shared" si="68"/>
        <v>0</v>
      </c>
      <c r="W150" s="169">
        <f>Pasākumu_līmenis!U103</f>
        <v>32</v>
      </c>
      <c r="X150" s="169">
        <v>24667982.48</v>
      </c>
      <c r="Y150" s="170">
        <v>0.90693566120024427</v>
      </c>
      <c r="Z150" s="169">
        <f>Pasākumu_līmenis!X103</f>
        <v>24667982.48</v>
      </c>
      <c r="AA150" s="170">
        <f t="shared" si="69"/>
        <v>0.90693566120024427</v>
      </c>
      <c r="AB150" s="170">
        <f t="shared" si="63"/>
        <v>0</v>
      </c>
      <c r="AC150" s="170">
        <f t="shared" si="115"/>
        <v>0</v>
      </c>
      <c r="AD150" s="169">
        <f>Pasākumu_līmenis!AB103</f>
        <v>32</v>
      </c>
      <c r="AE150" s="169">
        <v>24667982.48</v>
      </c>
      <c r="AF150" s="170">
        <v>0.90693566120024427</v>
      </c>
      <c r="AG150" s="169">
        <f>Pasākumu_līmenis!AE103</f>
        <v>24398504.649999999</v>
      </c>
      <c r="AH150" s="170">
        <f t="shared" si="70"/>
        <v>0.89702811995206921</v>
      </c>
      <c r="AI150" s="170">
        <f t="shared" si="64"/>
        <v>0</v>
      </c>
      <c r="AJ150" s="170">
        <f t="shared" si="116"/>
        <v>0</v>
      </c>
      <c r="AK150" s="169">
        <v>24398504.649999999</v>
      </c>
      <c r="AL150" s="170">
        <v>0.89702811995206921</v>
      </c>
    </row>
    <row r="151" spans="1:38" ht="39.75" customHeight="1" x14ac:dyDescent="0.3">
      <c r="A151" s="255" t="s">
        <v>310</v>
      </c>
      <c r="B151" s="254" t="str">
        <f>VLOOKUP(A151,saīsinājumi_LV_ENG!A:G,5,FALSE)</f>
        <v>Efektīvas pārvaldības nodrošināšana augstskolās</v>
      </c>
      <c r="C151" s="10" t="s">
        <v>110</v>
      </c>
      <c r="D151" s="10"/>
      <c r="E151" s="38" t="str">
        <f>Pasākumu_līmenis!D104</f>
        <v>ESF</v>
      </c>
      <c r="F151" s="38" t="str">
        <f>Pasākumu_līmenis!E104</f>
        <v>IZM</v>
      </c>
      <c r="G151" s="278" t="str">
        <f>VLOOKUP(A151,'2. Intervences kategorijas - Pa'!B:D,2,FALSE)</f>
        <v>10 - Veikt investīcijas izglītībā, apmācībā un profesionālajā apmācībā prasmju ieguvei, kā arī mūžizglītībā</v>
      </c>
      <c r="H151" s="169">
        <f>Pasākumu_līmenis!F104</f>
        <v>15820266</v>
      </c>
      <c r="I151" s="169">
        <f>Pasākumu_līmenis!G104</f>
        <v>0</v>
      </c>
      <c r="J151" s="169">
        <f>Pasākumu_līmenis!H104</f>
        <v>15820266</v>
      </c>
      <c r="K151" s="169">
        <f>Pasākumu_līmenis!I104</f>
        <v>1136067</v>
      </c>
      <c r="L151" s="169">
        <f>Pasākumu_līmenis!J104</f>
        <v>15686416.969999999</v>
      </c>
      <c r="M151" s="170">
        <f t="shared" ref="M151:M215" si="117">L151/$H151</f>
        <v>0.99153939447035844</v>
      </c>
      <c r="N151" s="170">
        <f t="shared" ref="N151:N214" si="118">M151-R151</f>
        <v>0</v>
      </c>
      <c r="O151" s="170">
        <f t="shared" si="66"/>
        <v>0</v>
      </c>
      <c r="P151" s="169">
        <f>Pasākumu_līmenis!N104</f>
        <v>18</v>
      </c>
      <c r="Q151" s="169">
        <v>15686416.969999999</v>
      </c>
      <c r="R151" s="170">
        <v>0.99153939447035844</v>
      </c>
      <c r="S151" s="169">
        <f>Pasākumu_līmenis!Q104</f>
        <v>15686416.969999999</v>
      </c>
      <c r="T151" s="170">
        <f t="shared" ref="T151:T215" si="119">S151/$H151</f>
        <v>0.99153939447035844</v>
      </c>
      <c r="U151" s="170">
        <f t="shared" ref="U151:U215" si="120">T151-Y151</f>
        <v>0</v>
      </c>
      <c r="V151" s="170">
        <f t="shared" si="68"/>
        <v>0</v>
      </c>
      <c r="W151" s="169">
        <f>Pasākumu_līmenis!U104</f>
        <v>18</v>
      </c>
      <c r="X151" s="169">
        <v>15686416.969999999</v>
      </c>
      <c r="Y151" s="170">
        <v>0.99153939447035844</v>
      </c>
      <c r="Z151" s="169">
        <f>Pasākumu_līmenis!X104</f>
        <v>15686416.969999999</v>
      </c>
      <c r="AA151" s="170">
        <f t="shared" ref="AA151:AA215" si="121">Z151/$H151</f>
        <v>0.99153939447035844</v>
      </c>
      <c r="AB151" s="170">
        <f t="shared" ref="AB151:AB215" si="122">AA151-AF151</f>
        <v>0</v>
      </c>
      <c r="AC151" s="170">
        <f t="shared" si="115"/>
        <v>0</v>
      </c>
      <c r="AD151" s="169">
        <f>Pasākumu_līmenis!AB104</f>
        <v>18</v>
      </c>
      <c r="AE151" s="169">
        <v>15686416.969999999</v>
      </c>
      <c r="AF151" s="170">
        <v>0.99153939447035844</v>
      </c>
      <c r="AG151" s="169">
        <f>Pasākumu_līmenis!AE104</f>
        <v>15945525.6</v>
      </c>
      <c r="AH151" s="170">
        <f t="shared" ref="AH151:AH215" si="123">AG151/$H151</f>
        <v>1.0079176671239283</v>
      </c>
      <c r="AI151" s="170">
        <f t="shared" ref="AI151:AI215" si="124">AH151-AL151</f>
        <v>0</v>
      </c>
      <c r="AJ151" s="170">
        <f t="shared" si="116"/>
        <v>0</v>
      </c>
      <c r="AK151" s="169">
        <v>15945525.6</v>
      </c>
      <c r="AL151" s="170">
        <v>1.0079176671239283</v>
      </c>
    </row>
    <row r="152" spans="1:38" ht="21" customHeight="1" x14ac:dyDescent="0.3">
      <c r="A152" s="255" t="s">
        <v>311</v>
      </c>
      <c r="B152" s="254" t="str">
        <f>VLOOKUP(A152,saīsinājumi_LV_ENG!A:G,5,FALSE)</f>
        <v>Atbalsts EQAR aģentūrai</v>
      </c>
      <c r="C152" s="10" t="s">
        <v>111</v>
      </c>
      <c r="D152" s="10"/>
      <c r="E152" s="38" t="str">
        <f>Pasākumu_līmenis!D105</f>
        <v>ESF</v>
      </c>
      <c r="F152" s="38" t="str">
        <f>Pasākumu_līmenis!E105</f>
        <v>IZM</v>
      </c>
      <c r="G152" s="278" t="str">
        <f>VLOOKUP(A152,'2. Intervences kategorijas - Pa'!B:D,2,FALSE)</f>
        <v>10 - Veikt investīcijas izglītībā, apmācībā un profesionālajā apmācībā prasmju ieguvei, kā arī mūžizglītībā</v>
      </c>
      <c r="H152" s="169">
        <f>Pasākumu_līmenis!F105</f>
        <v>1048927</v>
      </c>
      <c r="I152" s="169">
        <f>Pasākumu_līmenis!G105</f>
        <v>0</v>
      </c>
      <c r="J152" s="169">
        <f>Pasākumu_līmenis!H105</f>
        <v>1048927</v>
      </c>
      <c r="K152" s="169">
        <f>Pasākumu_līmenis!I105</f>
        <v>0</v>
      </c>
      <c r="L152" s="169">
        <f>Pasākumu_līmenis!J105</f>
        <v>1048926.68</v>
      </c>
      <c r="M152" s="170">
        <f t="shared" si="117"/>
        <v>0.999999694926339</v>
      </c>
      <c r="N152" s="170">
        <f t="shared" si="118"/>
        <v>0</v>
      </c>
      <c r="O152" s="170">
        <f t="shared" si="66"/>
        <v>0</v>
      </c>
      <c r="P152" s="169">
        <f>Pasākumu_līmenis!N105</f>
        <v>1</v>
      </c>
      <c r="Q152" s="169">
        <v>1048926.68</v>
      </c>
      <c r="R152" s="170">
        <v>0.999999694926339</v>
      </c>
      <c r="S152" s="169">
        <f>Pasākumu_līmenis!Q105</f>
        <v>1048926.68</v>
      </c>
      <c r="T152" s="170">
        <f t="shared" si="119"/>
        <v>0.999999694926339</v>
      </c>
      <c r="U152" s="170">
        <f t="shared" si="120"/>
        <v>0</v>
      </c>
      <c r="V152" s="170">
        <f t="shared" si="68"/>
        <v>0</v>
      </c>
      <c r="W152" s="169">
        <f>Pasākumu_līmenis!U105</f>
        <v>1</v>
      </c>
      <c r="X152" s="169">
        <v>1048926.68</v>
      </c>
      <c r="Y152" s="170">
        <v>0.999999694926339</v>
      </c>
      <c r="Z152" s="169">
        <f>Pasākumu_līmenis!X105</f>
        <v>1048926.68</v>
      </c>
      <c r="AA152" s="170">
        <f t="shared" si="121"/>
        <v>0.999999694926339</v>
      </c>
      <c r="AB152" s="170">
        <f t="shared" si="122"/>
        <v>0</v>
      </c>
      <c r="AC152" s="170">
        <f t="shared" si="115"/>
        <v>0</v>
      </c>
      <c r="AD152" s="169">
        <f>Pasākumu_līmenis!AB105</f>
        <v>1</v>
      </c>
      <c r="AE152" s="169">
        <v>1048926.68</v>
      </c>
      <c r="AF152" s="170">
        <v>0.999999694926339</v>
      </c>
      <c r="AG152" s="169">
        <f>Pasākumu_līmenis!AE105</f>
        <v>1048926.68</v>
      </c>
      <c r="AH152" s="170">
        <f t="shared" si="123"/>
        <v>0.999999694926339</v>
      </c>
      <c r="AI152" s="170">
        <f t="shared" si="124"/>
        <v>0</v>
      </c>
      <c r="AJ152" s="170">
        <f t="shared" si="116"/>
        <v>0</v>
      </c>
      <c r="AK152" s="169">
        <v>1048926.68</v>
      </c>
      <c r="AL152" s="170">
        <v>0.999999694926339</v>
      </c>
    </row>
    <row r="153" spans="1:38" ht="59.25" customHeight="1" x14ac:dyDescent="0.3">
      <c r="A153" s="249" t="s">
        <v>108</v>
      </c>
      <c r="B153" s="250" t="str">
        <f>VLOOKUP(A153,saīsinājumi_LV_ENG!A:G,5,FALSE)</f>
        <v>Priekšlaicīgu mācību pārtraukšanas mazināšana un novēršana</v>
      </c>
      <c r="C153" s="215" t="s">
        <v>112</v>
      </c>
      <c r="D153" s="215"/>
      <c r="E153" s="217"/>
      <c r="F153" s="217"/>
      <c r="G153" s="276"/>
      <c r="H153" s="218">
        <f>H154+H157+H160+H161+H162+H163</f>
        <v>129791316</v>
      </c>
      <c r="I153" s="218">
        <f>I154+I157+I160+I161+I162+I163</f>
        <v>0</v>
      </c>
      <c r="J153" s="218">
        <f>J154+J157+J160+J161+J162+J163</f>
        <v>129791316</v>
      </c>
      <c r="K153" s="218">
        <f>K154+K157+K160+K161+K162+K163</f>
        <v>1219986</v>
      </c>
      <c r="L153" s="218">
        <f>L154+L157+L160+L161+L162+L163</f>
        <v>128381425.23999999</v>
      </c>
      <c r="M153" s="219">
        <f t="shared" si="117"/>
        <v>0.98913724890500376</v>
      </c>
      <c r="N153" s="219">
        <f t="shared" si="118"/>
        <v>0</v>
      </c>
      <c r="O153" s="219">
        <f t="shared" si="66"/>
        <v>0</v>
      </c>
      <c r="P153" s="218">
        <f>P154+P157+P160+P161+P162+P163</f>
        <v>19</v>
      </c>
      <c r="Q153" s="218">
        <v>128381425.23999999</v>
      </c>
      <c r="R153" s="219">
        <v>0.98913724890500376</v>
      </c>
      <c r="S153" s="218">
        <f>S154+S157+S160+S161+S162+S163</f>
        <v>128381425.23999999</v>
      </c>
      <c r="T153" s="219">
        <f t="shared" si="119"/>
        <v>0.98913724890500376</v>
      </c>
      <c r="U153" s="219">
        <f t="shared" si="120"/>
        <v>0</v>
      </c>
      <c r="V153" s="219">
        <f t="shared" si="68"/>
        <v>0</v>
      </c>
      <c r="W153" s="218">
        <f>W154+W157+W160+W161+W162+W163</f>
        <v>19</v>
      </c>
      <c r="X153" s="218">
        <v>128381425.23999999</v>
      </c>
      <c r="Y153" s="219">
        <v>0.98913724890500376</v>
      </c>
      <c r="Z153" s="218">
        <f>Z154+Z157+Z160+Z161+Z162+Z163</f>
        <v>128381425.23999999</v>
      </c>
      <c r="AA153" s="219">
        <f t="shared" si="121"/>
        <v>0.98913724890500376</v>
      </c>
      <c r="AB153" s="219">
        <f t="shared" si="122"/>
        <v>0</v>
      </c>
      <c r="AC153" s="219">
        <f t="shared" si="115"/>
        <v>0</v>
      </c>
      <c r="AD153" s="218">
        <f>AD154+AD157+AD160+AD161+AD162+AD163</f>
        <v>19</v>
      </c>
      <c r="AE153" s="218">
        <v>128381425.23999999</v>
      </c>
      <c r="AF153" s="219">
        <v>0.98913724890500376</v>
      </c>
      <c r="AG153" s="218">
        <f>AG154+AG157+AG160+AG161+AG162+AG163</f>
        <v>128381425.23999999</v>
      </c>
      <c r="AH153" s="219">
        <f t="shared" si="123"/>
        <v>0.98913724890500376</v>
      </c>
      <c r="AI153" s="219">
        <f t="shared" si="124"/>
        <v>0</v>
      </c>
      <c r="AJ153" s="219">
        <f t="shared" si="116"/>
        <v>0</v>
      </c>
      <c r="AK153" s="218">
        <v>128381425.23999999</v>
      </c>
      <c r="AL153" s="219">
        <v>0.98913724890500376</v>
      </c>
    </row>
    <row r="154" spans="1:38" ht="21" customHeight="1" x14ac:dyDescent="0.3">
      <c r="A154" s="251" t="s">
        <v>446</v>
      </c>
      <c r="B154" s="252" t="str">
        <f>VLOOKUP(A154,saīsinājumi_LV_ENG!A:G,5,FALSE)</f>
        <v>Kompetenču pieejas attīšana</v>
      </c>
      <c r="C154" s="220" t="s">
        <v>113</v>
      </c>
      <c r="D154" s="220"/>
      <c r="E154" s="222"/>
      <c r="F154" s="222"/>
      <c r="G154" s="277"/>
      <c r="H154" s="223">
        <f>SUM(H155:H156)</f>
        <v>27873911</v>
      </c>
      <c r="I154" s="223">
        <f>SUM(I155:I156)</f>
        <v>0</v>
      </c>
      <c r="J154" s="223">
        <f>SUM(J155:J156)</f>
        <v>27873911</v>
      </c>
      <c r="K154" s="223">
        <f>SUM(K155:K156)</f>
        <v>0</v>
      </c>
      <c r="L154" s="223">
        <f>SUM(L155:L156)</f>
        <v>27675456.140000001</v>
      </c>
      <c r="M154" s="224">
        <f t="shared" si="117"/>
        <v>0.99288026499044213</v>
      </c>
      <c r="N154" s="224">
        <f t="shared" si="118"/>
        <v>0</v>
      </c>
      <c r="O154" s="224">
        <f t="shared" ref="O154:O217" si="125">IFERROR(((L154-Q154)/Q154),0)</f>
        <v>0</v>
      </c>
      <c r="P154" s="223">
        <f>SUM(P155:P156)</f>
        <v>12</v>
      </c>
      <c r="Q154" s="223">
        <v>27675456.140000001</v>
      </c>
      <c r="R154" s="224">
        <v>0.99288026499044213</v>
      </c>
      <c r="S154" s="223">
        <f>SUM(S155:S156)</f>
        <v>27675456.140000001</v>
      </c>
      <c r="T154" s="224">
        <f t="shared" si="119"/>
        <v>0.99288026499044213</v>
      </c>
      <c r="U154" s="224">
        <f t="shared" si="120"/>
        <v>0</v>
      </c>
      <c r="V154" s="224">
        <f t="shared" ref="V154:V217" si="126">IFERROR(((S154-X154)/X154),0)</f>
        <v>0</v>
      </c>
      <c r="W154" s="223">
        <f>SUM(W155:W156)</f>
        <v>12</v>
      </c>
      <c r="X154" s="223">
        <v>27675456.140000001</v>
      </c>
      <c r="Y154" s="224">
        <v>0.99288026499044213</v>
      </c>
      <c r="Z154" s="223">
        <f>SUM(Z155:Z156)</f>
        <v>27675456.140000001</v>
      </c>
      <c r="AA154" s="224">
        <f t="shared" si="121"/>
        <v>0.99288026499044213</v>
      </c>
      <c r="AB154" s="224">
        <f t="shared" si="122"/>
        <v>0</v>
      </c>
      <c r="AC154" s="224">
        <f t="shared" si="115"/>
        <v>0</v>
      </c>
      <c r="AD154" s="223">
        <f>SUM(AD155:AD156)</f>
        <v>12</v>
      </c>
      <c r="AE154" s="223">
        <v>27675456.140000001</v>
      </c>
      <c r="AF154" s="224">
        <v>0.99288026499044213</v>
      </c>
      <c r="AG154" s="223">
        <f>SUM(AG155:AG156)</f>
        <v>27675456.140000001</v>
      </c>
      <c r="AH154" s="224">
        <f t="shared" si="123"/>
        <v>0.99288026499044213</v>
      </c>
      <c r="AI154" s="224">
        <f t="shared" si="124"/>
        <v>0</v>
      </c>
      <c r="AJ154" s="224">
        <f t="shared" si="116"/>
        <v>0</v>
      </c>
      <c r="AK154" s="223">
        <v>27675456.140000001</v>
      </c>
      <c r="AL154" s="224">
        <v>0.99288026499044213</v>
      </c>
    </row>
    <row r="155" spans="1:38" ht="39" customHeight="1" x14ac:dyDescent="0.3">
      <c r="A155" s="253" t="s">
        <v>447</v>
      </c>
      <c r="B155" s="254" t="str">
        <f>VLOOKUP(A155,saīsinājumi_LV_ENG!A:G,5,FALSE)</f>
        <v>Kompetenču pieejas satura aprobācija</v>
      </c>
      <c r="C155" s="10" t="s">
        <v>203</v>
      </c>
      <c r="D155" s="10"/>
      <c r="E155" s="38" t="str">
        <f>Pasākumu_līmenis!D106</f>
        <v>ESF</v>
      </c>
      <c r="F155" s="38" t="str">
        <f>Pasākumu_līmenis!E106</f>
        <v>IZM</v>
      </c>
      <c r="G155" s="278" t="str">
        <f>VLOOKUP(A155,'2. Intervences kategorijas - Pa'!B:D,2,FALSE)</f>
        <v>10 - Veikt investīcijas izglītībā, apmācībā un profesionālajā apmācībā prasmju ieguvei, kā arī mūžizglītībā</v>
      </c>
      <c r="H155" s="180">
        <f>Pasākumu_līmenis!F106</f>
        <v>26768000</v>
      </c>
      <c r="I155" s="180">
        <f>Pasākumu_līmenis!G106</f>
        <v>0</v>
      </c>
      <c r="J155" s="180">
        <f>Pasākumu_līmenis!H106</f>
        <v>26768000</v>
      </c>
      <c r="K155" s="180">
        <f>Pasākumu_līmenis!I106</f>
        <v>0</v>
      </c>
      <c r="L155" s="180">
        <f>Pasākumu_līmenis!J106</f>
        <v>26615060.350000001</v>
      </c>
      <c r="M155" s="177">
        <f t="shared" si="117"/>
        <v>0.99428647452181718</v>
      </c>
      <c r="N155" s="177">
        <f t="shared" si="118"/>
        <v>0</v>
      </c>
      <c r="O155" s="177">
        <f t="shared" si="125"/>
        <v>0</v>
      </c>
      <c r="P155" s="180">
        <f>Pasākumu_līmenis!N106</f>
        <v>1</v>
      </c>
      <c r="Q155" s="180">
        <v>26615060.350000001</v>
      </c>
      <c r="R155" s="177">
        <v>0.99428647452181718</v>
      </c>
      <c r="S155" s="180">
        <f>Pasākumu_līmenis!Q106</f>
        <v>26615060.350000001</v>
      </c>
      <c r="T155" s="170">
        <f t="shared" si="119"/>
        <v>0.99428647452181718</v>
      </c>
      <c r="U155" s="170">
        <f t="shared" si="120"/>
        <v>0</v>
      </c>
      <c r="V155" s="170">
        <f t="shared" si="126"/>
        <v>0</v>
      </c>
      <c r="W155" s="180">
        <f>Pasākumu_līmenis!U106</f>
        <v>1</v>
      </c>
      <c r="X155" s="180">
        <v>26615060.350000001</v>
      </c>
      <c r="Y155" s="170">
        <v>0.99428647452181718</v>
      </c>
      <c r="Z155" s="169">
        <f>Pasākumu_līmenis!X106</f>
        <v>26615060.350000001</v>
      </c>
      <c r="AA155" s="170">
        <f t="shared" si="121"/>
        <v>0.99428647452181718</v>
      </c>
      <c r="AB155" s="170">
        <f t="shared" si="122"/>
        <v>0</v>
      </c>
      <c r="AC155" s="170">
        <f t="shared" si="115"/>
        <v>0</v>
      </c>
      <c r="AD155" s="180">
        <f>Pasākumu_līmenis!AB106</f>
        <v>1</v>
      </c>
      <c r="AE155" s="169">
        <v>26615060.350000001</v>
      </c>
      <c r="AF155" s="170">
        <v>0.99428647452181718</v>
      </c>
      <c r="AG155" s="169">
        <f>Pasākumu_līmenis!AE106</f>
        <v>26615060.350000001</v>
      </c>
      <c r="AH155" s="170">
        <f t="shared" si="123"/>
        <v>0.99428647452181718</v>
      </c>
      <c r="AI155" s="170">
        <f t="shared" si="124"/>
        <v>0</v>
      </c>
      <c r="AJ155" s="170">
        <f t="shared" si="116"/>
        <v>0</v>
      </c>
      <c r="AK155" s="169">
        <v>26615060.350000001</v>
      </c>
      <c r="AL155" s="170">
        <v>0.99428647452181718</v>
      </c>
    </row>
    <row r="156" spans="1:38" ht="21" customHeight="1" x14ac:dyDescent="0.3">
      <c r="A156" s="253" t="s">
        <v>312</v>
      </c>
      <c r="B156" s="254" t="str">
        <f>VLOOKUP(A156,saīsinājumi_LV_ENG!A:G,5,FALSE)</f>
        <v>Digitālo līdzekļu izstrāde</v>
      </c>
      <c r="C156" s="10" t="s">
        <v>204</v>
      </c>
      <c r="D156" s="10"/>
      <c r="E156" s="38" t="str">
        <f>Pasākumu_līmenis!D107</f>
        <v>ESF</v>
      </c>
      <c r="F156" s="38" t="str">
        <f>Pasākumu_līmenis!E107</f>
        <v>IZM</v>
      </c>
      <c r="G156" s="278" t="str">
        <f>VLOOKUP(A156,'2. Intervences kategorijas - Pa'!B:D,2,FALSE)</f>
        <v>10 - Veikt investīcijas izglītībā, apmācībā un profesionālajā apmācībā prasmju ieguvei, kā arī mūžizglītībā</v>
      </c>
      <c r="H156" s="180">
        <f>Pasākumu_līmenis!F107</f>
        <v>1105911</v>
      </c>
      <c r="I156" s="180">
        <f>Pasākumu_līmenis!G107</f>
        <v>0</v>
      </c>
      <c r="J156" s="180">
        <f>Pasākumu_līmenis!H107</f>
        <v>1105911</v>
      </c>
      <c r="K156" s="180">
        <f>Pasākumu_līmenis!I107</f>
        <v>0</v>
      </c>
      <c r="L156" s="180">
        <f>Pasākumu_līmenis!J107</f>
        <v>1060395.79</v>
      </c>
      <c r="M156" s="177">
        <f t="shared" si="117"/>
        <v>0.95884369537874203</v>
      </c>
      <c r="N156" s="177">
        <f t="shared" si="118"/>
        <v>0</v>
      </c>
      <c r="O156" s="177">
        <f t="shared" si="125"/>
        <v>0</v>
      </c>
      <c r="P156" s="180">
        <f>Pasākumu_līmenis!N107</f>
        <v>11</v>
      </c>
      <c r="Q156" s="180">
        <v>1060395.79</v>
      </c>
      <c r="R156" s="177">
        <v>0.95884369537874203</v>
      </c>
      <c r="S156" s="180">
        <f>Pasākumu_līmenis!Q107</f>
        <v>1060395.79</v>
      </c>
      <c r="T156" s="170">
        <f t="shared" si="119"/>
        <v>0.95884369537874203</v>
      </c>
      <c r="U156" s="170">
        <f t="shared" si="120"/>
        <v>0</v>
      </c>
      <c r="V156" s="170">
        <f t="shared" si="126"/>
        <v>0</v>
      </c>
      <c r="W156" s="180">
        <f>Pasākumu_līmenis!U107</f>
        <v>11</v>
      </c>
      <c r="X156" s="180">
        <v>1060395.79</v>
      </c>
      <c r="Y156" s="170">
        <v>0.95884369537874203</v>
      </c>
      <c r="Z156" s="169">
        <f>Pasākumu_līmenis!X107</f>
        <v>1060395.79</v>
      </c>
      <c r="AA156" s="170">
        <f t="shared" si="121"/>
        <v>0.95884369537874203</v>
      </c>
      <c r="AB156" s="170">
        <f t="shared" si="122"/>
        <v>0</v>
      </c>
      <c r="AC156" s="170">
        <f t="shared" si="115"/>
        <v>0</v>
      </c>
      <c r="AD156" s="180">
        <f>Pasākumu_līmenis!AB107</f>
        <v>11</v>
      </c>
      <c r="AE156" s="169">
        <v>1060395.79</v>
      </c>
      <c r="AF156" s="170">
        <v>0.95884369537874203</v>
      </c>
      <c r="AG156" s="169">
        <f>Pasākumu_līmenis!AE107</f>
        <v>1060395.79</v>
      </c>
      <c r="AH156" s="170">
        <f t="shared" si="123"/>
        <v>0.95884369537874203</v>
      </c>
      <c r="AI156" s="170">
        <f t="shared" si="124"/>
        <v>0</v>
      </c>
      <c r="AJ156" s="170">
        <f t="shared" si="116"/>
        <v>0</v>
      </c>
      <c r="AK156" s="169">
        <v>1060395.79</v>
      </c>
      <c r="AL156" s="170">
        <v>0.95884369537874203</v>
      </c>
    </row>
    <row r="157" spans="1:38" ht="39.75" customHeight="1" x14ac:dyDescent="0.3">
      <c r="A157" s="251" t="s">
        <v>448</v>
      </c>
      <c r="B157" s="252" t="str">
        <f>VLOOKUP(A157,saīsinājumi_LV_ENG!A:G,5,FALSE)</f>
        <v>Individuālo kompetenču attīstība vispārējā izglītībā</v>
      </c>
      <c r="C157" s="220" t="s">
        <v>114</v>
      </c>
      <c r="D157" s="220"/>
      <c r="E157" s="222"/>
      <c r="F157" s="222"/>
      <c r="G157" s="277"/>
      <c r="H157" s="235">
        <f>SUM(H158:H159)</f>
        <v>34361700</v>
      </c>
      <c r="I157" s="235">
        <f>SUM(I158:I159)</f>
        <v>0</v>
      </c>
      <c r="J157" s="235">
        <f>SUM(J158:J159)</f>
        <v>34361700</v>
      </c>
      <c r="K157" s="235">
        <f>SUM(K158:K159)</f>
        <v>0</v>
      </c>
      <c r="L157" s="235">
        <f>SUM(L158:L159)</f>
        <v>33985944.43</v>
      </c>
      <c r="M157" s="232">
        <f t="shared" si="117"/>
        <v>0.9890646979049349</v>
      </c>
      <c r="N157" s="232">
        <f t="shared" si="118"/>
        <v>0</v>
      </c>
      <c r="O157" s="232">
        <f t="shared" si="125"/>
        <v>0</v>
      </c>
      <c r="P157" s="235">
        <f>SUM(P158:P159)</f>
        <v>2</v>
      </c>
      <c r="Q157" s="235">
        <v>33985944.43</v>
      </c>
      <c r="R157" s="232">
        <v>0.9890646979049349</v>
      </c>
      <c r="S157" s="235">
        <f>SUM(S158:S159)</f>
        <v>33985944.43</v>
      </c>
      <c r="T157" s="224">
        <f t="shared" si="119"/>
        <v>0.9890646979049349</v>
      </c>
      <c r="U157" s="224">
        <f t="shared" si="120"/>
        <v>0</v>
      </c>
      <c r="V157" s="224">
        <f t="shared" si="126"/>
        <v>0</v>
      </c>
      <c r="W157" s="235">
        <f>SUM(W158:W159)</f>
        <v>2</v>
      </c>
      <c r="X157" s="235">
        <v>33985944.43</v>
      </c>
      <c r="Y157" s="224">
        <v>0.9890646979049349</v>
      </c>
      <c r="Z157" s="223">
        <f>SUM(Z158:Z159)</f>
        <v>33985944.43</v>
      </c>
      <c r="AA157" s="224">
        <f t="shared" si="121"/>
        <v>0.9890646979049349</v>
      </c>
      <c r="AB157" s="224">
        <f t="shared" si="122"/>
        <v>0</v>
      </c>
      <c r="AC157" s="224">
        <f t="shared" si="115"/>
        <v>0</v>
      </c>
      <c r="AD157" s="235">
        <f>SUM(AD158:AD159)</f>
        <v>2</v>
      </c>
      <c r="AE157" s="223">
        <v>33985944.43</v>
      </c>
      <c r="AF157" s="224">
        <v>0.9890646979049349</v>
      </c>
      <c r="AG157" s="223">
        <f>SUM(AG158:AG159)</f>
        <v>33985944.43</v>
      </c>
      <c r="AH157" s="224">
        <f t="shared" si="123"/>
        <v>0.9890646979049349</v>
      </c>
      <c r="AI157" s="224">
        <f t="shared" si="124"/>
        <v>0</v>
      </c>
      <c r="AJ157" s="224">
        <f t="shared" si="116"/>
        <v>0</v>
      </c>
      <c r="AK157" s="223">
        <v>33985944.43</v>
      </c>
      <c r="AL157" s="224">
        <v>0.9890646979049349</v>
      </c>
    </row>
    <row r="158" spans="1:38" ht="21" customHeight="1" x14ac:dyDescent="0.3">
      <c r="A158" s="253" t="s">
        <v>313</v>
      </c>
      <c r="B158" s="254" t="str">
        <f>VLOOKUP(A158,saīsinājumi_LV_ENG!A:G,5,FALSE)</f>
        <v>Izglītojamo talantu attīstība</v>
      </c>
      <c r="C158" s="10" t="s">
        <v>205</v>
      </c>
      <c r="D158" s="10"/>
      <c r="E158" s="38" t="str">
        <f>Pasākumu_līmenis!D108</f>
        <v>ESF</v>
      </c>
      <c r="F158" s="38" t="str">
        <f>Pasākumu_līmenis!E108</f>
        <v>IZM</v>
      </c>
      <c r="G158" s="278" t="str">
        <f>VLOOKUP(A158,'2. Intervences kategorijas - Pa'!B:D,2,FALSE)</f>
        <v>10 - Veikt investīcijas izglītībā, apmācībā un profesionālajā apmācībā prasmju ieguvei, kā arī mūžizglītībā</v>
      </c>
      <c r="H158" s="180">
        <f>Pasākumu_līmenis!F108</f>
        <v>3585597</v>
      </c>
      <c r="I158" s="180">
        <f>Pasākumu_līmenis!G108</f>
        <v>0</v>
      </c>
      <c r="J158" s="180">
        <f>Pasākumu_līmenis!H108</f>
        <v>3585597</v>
      </c>
      <c r="K158" s="180">
        <f>Pasākumu_līmenis!I108</f>
        <v>0</v>
      </c>
      <c r="L158" s="180">
        <f>Pasākumu_līmenis!J108</f>
        <v>3555368.62</v>
      </c>
      <c r="M158" s="177">
        <f t="shared" si="117"/>
        <v>0.99156949874734945</v>
      </c>
      <c r="N158" s="177">
        <f t="shared" si="118"/>
        <v>0</v>
      </c>
      <c r="O158" s="177">
        <f t="shared" si="125"/>
        <v>0</v>
      </c>
      <c r="P158" s="180">
        <f>Pasākumu_līmenis!N108</f>
        <v>1</v>
      </c>
      <c r="Q158" s="180">
        <v>3555368.62</v>
      </c>
      <c r="R158" s="177">
        <v>0.99156949874734945</v>
      </c>
      <c r="S158" s="180">
        <f>Pasākumu_līmenis!Q108</f>
        <v>3555368.62</v>
      </c>
      <c r="T158" s="170">
        <f t="shared" si="119"/>
        <v>0.99156949874734945</v>
      </c>
      <c r="U158" s="170">
        <f t="shared" si="120"/>
        <v>0</v>
      </c>
      <c r="V158" s="170">
        <f t="shared" si="126"/>
        <v>0</v>
      </c>
      <c r="W158" s="180">
        <f>Pasākumu_līmenis!U108</f>
        <v>1</v>
      </c>
      <c r="X158" s="180">
        <v>3555368.62</v>
      </c>
      <c r="Y158" s="170">
        <v>0.99156949874734945</v>
      </c>
      <c r="Z158" s="169">
        <f>Pasākumu_līmenis!X108</f>
        <v>3555368.62</v>
      </c>
      <c r="AA158" s="170">
        <f t="shared" si="121"/>
        <v>0.99156949874734945</v>
      </c>
      <c r="AB158" s="170">
        <f t="shared" si="122"/>
        <v>0</v>
      </c>
      <c r="AC158" s="170">
        <f t="shared" si="115"/>
        <v>0</v>
      </c>
      <c r="AD158" s="180">
        <f>Pasākumu_līmenis!AB108</f>
        <v>1</v>
      </c>
      <c r="AE158" s="169">
        <v>3555368.62</v>
      </c>
      <c r="AF158" s="170">
        <v>0.99156949874734945</v>
      </c>
      <c r="AG158" s="169">
        <f>Pasākumu_līmenis!AE108</f>
        <v>3555368.62</v>
      </c>
      <c r="AH158" s="170">
        <f t="shared" si="123"/>
        <v>0.99156949874734945</v>
      </c>
      <c r="AI158" s="170">
        <f t="shared" si="124"/>
        <v>0</v>
      </c>
      <c r="AJ158" s="170">
        <f t="shared" si="116"/>
        <v>0</v>
      </c>
      <c r="AK158" s="169">
        <v>3555368.62</v>
      </c>
      <c r="AL158" s="170">
        <v>0.99156949874734945</v>
      </c>
    </row>
    <row r="159" spans="1:38" ht="21" customHeight="1" x14ac:dyDescent="0.3">
      <c r="A159" s="253" t="s">
        <v>314</v>
      </c>
      <c r="B159" s="254" t="str">
        <f>VLOOKUP(A159,saīsinājumi_LV_ENG!A:G,5,FALSE)</f>
        <v xml:space="preserve">Individuālo kompetenču attīstība </v>
      </c>
      <c r="C159" s="10" t="s">
        <v>206</v>
      </c>
      <c r="D159" s="10"/>
      <c r="E159" s="38" t="str">
        <f>Pasākumu_līmenis!D109</f>
        <v>ESF</v>
      </c>
      <c r="F159" s="38" t="str">
        <f>Pasākumu_līmenis!E109</f>
        <v>IZM</v>
      </c>
      <c r="G159" s="278" t="str">
        <f>VLOOKUP(A159,'2. Intervences kategorijas - Pa'!B:D,2,FALSE)</f>
        <v>10 - Veikt investīcijas izglītībā, apmācībā un profesionālajā apmācībā prasmju ieguvei, kā arī mūžizglītībā</v>
      </c>
      <c r="H159" s="180">
        <f>Pasākumu_līmenis!F109</f>
        <v>30776103</v>
      </c>
      <c r="I159" s="180">
        <f>Pasākumu_līmenis!G109</f>
        <v>0</v>
      </c>
      <c r="J159" s="180">
        <f>Pasākumu_līmenis!H109</f>
        <v>30776103</v>
      </c>
      <c r="K159" s="180">
        <f>Pasākumu_līmenis!I109</f>
        <v>0</v>
      </c>
      <c r="L159" s="180">
        <f>Pasākumu_līmenis!J109</f>
        <v>30430575.809999999</v>
      </c>
      <c r="M159" s="177">
        <f t="shared" si="117"/>
        <v>0.98877287387555202</v>
      </c>
      <c r="N159" s="177">
        <f t="shared" si="118"/>
        <v>0</v>
      </c>
      <c r="O159" s="177">
        <f t="shared" si="125"/>
        <v>0</v>
      </c>
      <c r="P159" s="180">
        <f>Pasākumu_līmenis!N109</f>
        <v>1</v>
      </c>
      <c r="Q159" s="180">
        <v>30430575.809999999</v>
      </c>
      <c r="R159" s="177">
        <v>0.98877287387555202</v>
      </c>
      <c r="S159" s="180">
        <f>Pasākumu_līmenis!Q109</f>
        <v>30430575.809999999</v>
      </c>
      <c r="T159" s="170">
        <f t="shared" si="119"/>
        <v>0.98877287387555202</v>
      </c>
      <c r="U159" s="170">
        <f t="shared" si="120"/>
        <v>0</v>
      </c>
      <c r="V159" s="170">
        <f t="shared" si="126"/>
        <v>0</v>
      </c>
      <c r="W159" s="180">
        <f>Pasākumu_līmenis!U109</f>
        <v>1</v>
      </c>
      <c r="X159" s="180">
        <v>30430575.809999999</v>
      </c>
      <c r="Y159" s="170">
        <v>0.98877287387555202</v>
      </c>
      <c r="Z159" s="169">
        <f>Pasākumu_līmenis!X109</f>
        <v>30430575.809999999</v>
      </c>
      <c r="AA159" s="170">
        <f t="shared" si="121"/>
        <v>0.98877287387555202</v>
      </c>
      <c r="AB159" s="170">
        <f t="shared" si="122"/>
        <v>0</v>
      </c>
      <c r="AC159" s="170">
        <f t="shared" si="115"/>
        <v>0</v>
      </c>
      <c r="AD159" s="180">
        <f>Pasākumu_līmenis!AB109</f>
        <v>1</v>
      </c>
      <c r="AE159" s="169">
        <v>30430575.809999999</v>
      </c>
      <c r="AF159" s="170">
        <v>0.98877287387555202</v>
      </c>
      <c r="AG159" s="169">
        <f>Pasākumu_līmenis!AE109</f>
        <v>30430575.809999999</v>
      </c>
      <c r="AH159" s="170">
        <f t="shared" si="123"/>
        <v>0.98877287387555202</v>
      </c>
      <c r="AI159" s="170">
        <f t="shared" si="124"/>
        <v>0</v>
      </c>
      <c r="AJ159" s="170">
        <f t="shared" si="116"/>
        <v>0</v>
      </c>
      <c r="AK159" s="169">
        <v>30430575.809999999</v>
      </c>
      <c r="AL159" s="170">
        <v>0.98877287387555202</v>
      </c>
    </row>
    <row r="160" spans="1:38" ht="39.75" customHeight="1" x14ac:dyDescent="0.3">
      <c r="A160" s="255" t="s">
        <v>315</v>
      </c>
      <c r="B160" s="254" t="str">
        <f>VLOOKUP(A160,saīsinājumi_LV_ENG!A:G,5,FALSE)</f>
        <v>NEET jauniešu prasmju attīstīšana</v>
      </c>
      <c r="C160" s="10" t="s">
        <v>115</v>
      </c>
      <c r="D160" s="10"/>
      <c r="E160" s="38" t="str">
        <f>Pasākumu_līmenis!D110</f>
        <v>ESF</v>
      </c>
      <c r="F160" s="38" t="str">
        <f>Pasākumu_līmenis!E110</f>
        <v>IZM</v>
      </c>
      <c r="G160" s="278" t="str">
        <f>VLOOKUP(A160,'2. Intervences kategorijas - Pa'!B:D,2,FALSE)</f>
        <v>10 - Veikt investīcijas izglītībā, apmācībā un profesionālajā apmācībā prasmju ieguvei, kā arī mūžizglītībā</v>
      </c>
      <c r="H160" s="180">
        <f>Pasākumu_līmenis!F110</f>
        <v>7191280</v>
      </c>
      <c r="I160" s="180">
        <f>Pasākumu_līmenis!G110</f>
        <v>0</v>
      </c>
      <c r="J160" s="180">
        <f>Pasākumu_līmenis!H110</f>
        <v>7191280</v>
      </c>
      <c r="K160" s="180">
        <f>Pasākumu_līmenis!I110</f>
        <v>0</v>
      </c>
      <c r="L160" s="180">
        <f>Pasākumu_līmenis!J110</f>
        <v>7172086.4199999999</v>
      </c>
      <c r="M160" s="177">
        <f t="shared" si="117"/>
        <v>0.99733099253540403</v>
      </c>
      <c r="N160" s="177">
        <f t="shared" si="118"/>
        <v>0</v>
      </c>
      <c r="O160" s="177">
        <f t="shared" si="125"/>
        <v>0</v>
      </c>
      <c r="P160" s="180">
        <f>Pasākumu_līmenis!N110</f>
        <v>1</v>
      </c>
      <c r="Q160" s="180">
        <v>7172086.4199999999</v>
      </c>
      <c r="R160" s="177">
        <v>0.99733099253540403</v>
      </c>
      <c r="S160" s="180">
        <f>Pasākumu_līmenis!Q110</f>
        <v>7172086.4199999999</v>
      </c>
      <c r="T160" s="170">
        <f t="shared" si="119"/>
        <v>0.99733099253540403</v>
      </c>
      <c r="U160" s="170">
        <f t="shared" si="120"/>
        <v>0</v>
      </c>
      <c r="V160" s="170">
        <f t="shared" si="126"/>
        <v>0</v>
      </c>
      <c r="W160" s="180">
        <f>Pasākumu_līmenis!U110</f>
        <v>1</v>
      </c>
      <c r="X160" s="180">
        <v>7172086.4199999999</v>
      </c>
      <c r="Y160" s="170">
        <v>0.99733099253540403</v>
      </c>
      <c r="Z160" s="169">
        <f>Pasākumu_līmenis!X110</f>
        <v>7172086.4199999999</v>
      </c>
      <c r="AA160" s="170">
        <f t="shared" si="121"/>
        <v>0.99733099253540403</v>
      </c>
      <c r="AB160" s="170">
        <f t="shared" si="122"/>
        <v>0</v>
      </c>
      <c r="AC160" s="170">
        <f t="shared" si="115"/>
        <v>0</v>
      </c>
      <c r="AD160" s="180">
        <f>Pasākumu_līmenis!AB110</f>
        <v>1</v>
      </c>
      <c r="AE160" s="169">
        <v>7172086.4199999999</v>
      </c>
      <c r="AF160" s="170">
        <v>0.99733099253540403</v>
      </c>
      <c r="AG160" s="169">
        <f>Pasākumu_līmenis!AE110</f>
        <v>7172086.4199999999</v>
      </c>
      <c r="AH160" s="170">
        <f t="shared" si="123"/>
        <v>0.99733099253540403</v>
      </c>
      <c r="AI160" s="170">
        <f t="shared" si="124"/>
        <v>0</v>
      </c>
      <c r="AJ160" s="170">
        <f t="shared" si="116"/>
        <v>0</v>
      </c>
      <c r="AK160" s="169">
        <v>7172086.4199999999</v>
      </c>
      <c r="AL160" s="170">
        <v>0.99733099253540403</v>
      </c>
    </row>
    <row r="161" spans="1:38" ht="39.75" customHeight="1" x14ac:dyDescent="0.3">
      <c r="A161" s="255" t="s">
        <v>316</v>
      </c>
      <c r="B161" s="254" t="str">
        <f>VLOOKUP(A161,saīsinājumi_LV_ENG!A:G,5,FALSE)</f>
        <v>Priekšlaicīgas mācību pārtraukšanas samazināšana</v>
      </c>
      <c r="C161" s="10" t="s">
        <v>116</v>
      </c>
      <c r="D161" s="10"/>
      <c r="E161" s="38" t="str">
        <f>Pasākumu_līmenis!D111</f>
        <v>ESF</v>
      </c>
      <c r="F161" s="38" t="str">
        <f>Pasākumu_līmenis!E111</f>
        <v>IZM</v>
      </c>
      <c r="G161" s="278" t="str">
        <f>VLOOKUP(A161,'2. Intervences kategorijas - Pa'!B:D,2,FALSE)</f>
        <v>10 - Veikt investīcijas izglītībā, apmācībā un profesionālajā apmācībā prasmju ieguvei, kā arī mūžizglītībā</v>
      </c>
      <c r="H161" s="180">
        <f>Pasākumu_līmenis!F111</f>
        <v>30727948</v>
      </c>
      <c r="I161" s="180">
        <f>Pasākumu_līmenis!G111</f>
        <v>0</v>
      </c>
      <c r="J161" s="180">
        <f>Pasākumu_līmenis!H111</f>
        <v>30727948</v>
      </c>
      <c r="K161" s="180">
        <f>Pasākumu_līmenis!I111</f>
        <v>0</v>
      </c>
      <c r="L161" s="180">
        <f>Pasākumu_līmenis!J111</f>
        <v>30166486.23</v>
      </c>
      <c r="M161" s="177">
        <f t="shared" si="117"/>
        <v>0.9817279770845746</v>
      </c>
      <c r="N161" s="177">
        <f t="shared" si="118"/>
        <v>0</v>
      </c>
      <c r="O161" s="177">
        <f t="shared" si="125"/>
        <v>0</v>
      </c>
      <c r="P161" s="180">
        <f>Pasākumu_līmenis!N111</f>
        <v>1</v>
      </c>
      <c r="Q161" s="180">
        <v>30166486.23</v>
      </c>
      <c r="R161" s="177">
        <v>0.9817279770845746</v>
      </c>
      <c r="S161" s="180">
        <f>Pasākumu_līmenis!Q111</f>
        <v>30166486.23</v>
      </c>
      <c r="T161" s="170">
        <f t="shared" si="119"/>
        <v>0.9817279770845746</v>
      </c>
      <c r="U161" s="170">
        <f t="shared" si="120"/>
        <v>0</v>
      </c>
      <c r="V161" s="170">
        <f t="shared" si="126"/>
        <v>0</v>
      </c>
      <c r="W161" s="180">
        <f>Pasākumu_līmenis!U111</f>
        <v>1</v>
      </c>
      <c r="X161" s="180">
        <v>30166486.23</v>
      </c>
      <c r="Y161" s="170">
        <v>0.9817279770845746</v>
      </c>
      <c r="Z161" s="169">
        <f>Pasākumu_līmenis!X111</f>
        <v>30166486.23</v>
      </c>
      <c r="AA161" s="170">
        <f t="shared" si="121"/>
        <v>0.9817279770845746</v>
      </c>
      <c r="AB161" s="170">
        <f t="shared" si="122"/>
        <v>0</v>
      </c>
      <c r="AC161" s="170">
        <f t="shared" si="115"/>
        <v>0</v>
      </c>
      <c r="AD161" s="180">
        <f>Pasākumu_līmenis!AB111</f>
        <v>1</v>
      </c>
      <c r="AE161" s="169">
        <v>30166486.23</v>
      </c>
      <c r="AF161" s="170">
        <v>0.9817279770845746</v>
      </c>
      <c r="AG161" s="169">
        <f>Pasākumu_līmenis!AE111</f>
        <v>30166486.23</v>
      </c>
      <c r="AH161" s="170">
        <f t="shared" si="123"/>
        <v>0.9817279770845746</v>
      </c>
      <c r="AI161" s="170">
        <f t="shared" si="124"/>
        <v>0</v>
      </c>
      <c r="AJ161" s="170">
        <f t="shared" si="116"/>
        <v>0</v>
      </c>
      <c r="AK161" s="169">
        <v>30166486.23</v>
      </c>
      <c r="AL161" s="170">
        <v>0.9817279770845746</v>
      </c>
    </row>
    <row r="162" spans="1:38" ht="21" customHeight="1" x14ac:dyDescent="0.3">
      <c r="A162" s="255" t="s">
        <v>317</v>
      </c>
      <c r="B162" s="254" t="str">
        <f>VLOOKUP(A162,saīsinājumi_LV_ENG!A:G,5,FALSE)</f>
        <v>Karjeras pieejas uzlabošana</v>
      </c>
      <c r="C162" s="10" t="s">
        <v>117</v>
      </c>
      <c r="D162" s="10"/>
      <c r="E162" s="38" t="str">
        <f>Pasākumu_līmenis!D112</f>
        <v>ESF</v>
      </c>
      <c r="F162" s="38" t="str">
        <f>Pasākumu_līmenis!E112</f>
        <v>IZM</v>
      </c>
      <c r="G162" s="278" t="str">
        <f>VLOOKUP(A162,'2. Intervences kategorijas - Pa'!B:D,2,FALSE)</f>
        <v>10 - Veikt investīcijas izglītībā, apmācībā un profesionālajā apmācībā prasmju ieguvei, kā arī mūžizglītībā</v>
      </c>
      <c r="H162" s="180">
        <f>Pasākumu_līmenis!F112</f>
        <v>20075865</v>
      </c>
      <c r="I162" s="180">
        <f>Pasākumu_līmenis!G112</f>
        <v>0</v>
      </c>
      <c r="J162" s="180">
        <f>Pasākumu_līmenis!H112</f>
        <v>20075865</v>
      </c>
      <c r="K162" s="180">
        <f>Pasākumu_līmenis!I112</f>
        <v>1219986</v>
      </c>
      <c r="L162" s="180">
        <f>Pasākumu_līmenis!J112</f>
        <v>19942396.420000002</v>
      </c>
      <c r="M162" s="177">
        <f t="shared" si="117"/>
        <v>0.99335178932514245</v>
      </c>
      <c r="N162" s="177">
        <f t="shared" si="118"/>
        <v>0</v>
      </c>
      <c r="O162" s="177">
        <f t="shared" si="125"/>
        <v>0</v>
      </c>
      <c r="P162" s="180">
        <f>Pasākumu_līmenis!N112</f>
        <v>1</v>
      </c>
      <c r="Q162" s="180">
        <v>19942396.420000002</v>
      </c>
      <c r="R162" s="177">
        <v>0.99335178932514245</v>
      </c>
      <c r="S162" s="180">
        <f>Pasākumu_līmenis!Q112</f>
        <v>19942396.420000002</v>
      </c>
      <c r="T162" s="170">
        <f t="shared" si="119"/>
        <v>0.99335178932514245</v>
      </c>
      <c r="U162" s="170">
        <f t="shared" si="120"/>
        <v>0</v>
      </c>
      <c r="V162" s="170">
        <f t="shared" si="126"/>
        <v>0</v>
      </c>
      <c r="W162" s="180">
        <f>Pasākumu_līmenis!U112</f>
        <v>1</v>
      </c>
      <c r="X162" s="180">
        <v>19942396.420000002</v>
      </c>
      <c r="Y162" s="170">
        <v>0.99335178932514245</v>
      </c>
      <c r="Z162" s="169">
        <f>Pasākumu_līmenis!X112</f>
        <v>19942396.420000002</v>
      </c>
      <c r="AA162" s="170">
        <f t="shared" si="121"/>
        <v>0.99335178932514245</v>
      </c>
      <c r="AB162" s="170">
        <f t="shared" si="122"/>
        <v>0</v>
      </c>
      <c r="AC162" s="170">
        <f t="shared" si="115"/>
        <v>0</v>
      </c>
      <c r="AD162" s="180">
        <f>Pasākumu_līmenis!AB112</f>
        <v>1</v>
      </c>
      <c r="AE162" s="169">
        <v>19942396.420000002</v>
      </c>
      <c r="AF162" s="170">
        <v>0.99335178932514245</v>
      </c>
      <c r="AG162" s="169">
        <f>Pasākumu_līmenis!AE112</f>
        <v>19942396.420000002</v>
      </c>
      <c r="AH162" s="170">
        <f t="shared" si="123"/>
        <v>0.99335178932514245</v>
      </c>
      <c r="AI162" s="170">
        <f t="shared" si="124"/>
        <v>0</v>
      </c>
      <c r="AJ162" s="170">
        <f t="shared" si="116"/>
        <v>0</v>
      </c>
      <c r="AK162" s="169">
        <v>19942396.420000002</v>
      </c>
      <c r="AL162" s="170">
        <v>0.99335178932514245</v>
      </c>
    </row>
    <row r="163" spans="1:38" ht="39.75" customHeight="1" x14ac:dyDescent="0.3">
      <c r="A163" s="251" t="s">
        <v>449</v>
      </c>
      <c r="B163" s="252" t="str">
        <f>VLOOKUP(A163,saīsinājumi_LV_ENG!A:G,5,FALSE)</f>
        <v>Kvalitātes monitoringa sistēmas ieviešana</v>
      </c>
      <c r="C163" s="220" t="s">
        <v>118</v>
      </c>
      <c r="D163" s="220"/>
      <c r="E163" s="222"/>
      <c r="F163" s="222"/>
      <c r="G163" s="277"/>
      <c r="H163" s="235">
        <f>SUM(H164:H165)</f>
        <v>9560612</v>
      </c>
      <c r="I163" s="235">
        <f>SUM(I164:I165)</f>
        <v>0</v>
      </c>
      <c r="J163" s="235">
        <f>SUM(J164:J165)</f>
        <v>9560612</v>
      </c>
      <c r="K163" s="235">
        <f>SUM(K164:K165)</f>
        <v>0</v>
      </c>
      <c r="L163" s="235">
        <f>SUM(L164:L165)</f>
        <v>9439055.5999999996</v>
      </c>
      <c r="M163" s="232">
        <f t="shared" si="117"/>
        <v>0.98728570932488413</v>
      </c>
      <c r="N163" s="232">
        <f t="shared" si="118"/>
        <v>0</v>
      </c>
      <c r="O163" s="232">
        <f t="shared" si="125"/>
        <v>0</v>
      </c>
      <c r="P163" s="235">
        <f>SUM(P164:P165)</f>
        <v>2</v>
      </c>
      <c r="Q163" s="235">
        <v>9439055.5999999996</v>
      </c>
      <c r="R163" s="232">
        <v>0.98728570932488413</v>
      </c>
      <c r="S163" s="235">
        <f>SUM(S164:S165)</f>
        <v>9439055.5999999996</v>
      </c>
      <c r="T163" s="224">
        <f t="shared" si="119"/>
        <v>0.98728570932488413</v>
      </c>
      <c r="U163" s="224">
        <f t="shared" si="120"/>
        <v>0</v>
      </c>
      <c r="V163" s="224">
        <f t="shared" si="126"/>
        <v>0</v>
      </c>
      <c r="W163" s="235">
        <f>SUM(W164:W165)</f>
        <v>2</v>
      </c>
      <c r="X163" s="235">
        <v>9439055.5999999996</v>
      </c>
      <c r="Y163" s="224">
        <v>0.98728570932488413</v>
      </c>
      <c r="Z163" s="223">
        <f>SUM(Z164:Z165)</f>
        <v>9439055.5999999996</v>
      </c>
      <c r="AA163" s="224">
        <f t="shared" si="121"/>
        <v>0.98728570932488413</v>
      </c>
      <c r="AB163" s="224">
        <f t="shared" si="122"/>
        <v>0</v>
      </c>
      <c r="AC163" s="224">
        <f t="shared" si="115"/>
        <v>0</v>
      </c>
      <c r="AD163" s="235">
        <f>SUM(AD164:AD165)</f>
        <v>2</v>
      </c>
      <c r="AE163" s="223">
        <v>9439055.5999999996</v>
      </c>
      <c r="AF163" s="224">
        <v>0.98728570932488413</v>
      </c>
      <c r="AG163" s="223">
        <f>SUM(AG164:AG165)</f>
        <v>9439055.5999999996</v>
      </c>
      <c r="AH163" s="224">
        <f t="shared" si="123"/>
        <v>0.98728570932488413</v>
      </c>
      <c r="AI163" s="224">
        <f t="shared" si="124"/>
        <v>0</v>
      </c>
      <c r="AJ163" s="224">
        <f t="shared" si="116"/>
        <v>0</v>
      </c>
      <c r="AK163" s="223">
        <v>9439055.5999999996</v>
      </c>
      <c r="AL163" s="224">
        <v>0.98728570932488413</v>
      </c>
    </row>
    <row r="164" spans="1:38" ht="21" customHeight="1" x14ac:dyDescent="0.3">
      <c r="A164" s="253" t="s">
        <v>318</v>
      </c>
      <c r="B164" s="254" t="str">
        <f>VLOOKUP(A164,saīsinājumi_LV_ENG!A:G,5,FALSE)</f>
        <v>Starptautiskie pētījumi</v>
      </c>
      <c r="C164" s="10" t="s">
        <v>207</v>
      </c>
      <c r="D164" s="10"/>
      <c r="E164" s="38" t="str">
        <f>Pasākumu_līmenis!D113</f>
        <v>ESF</v>
      </c>
      <c r="F164" s="38" t="str">
        <f>Pasākumu_līmenis!E113</f>
        <v>IZM</v>
      </c>
      <c r="G164" s="278" t="str">
        <f>VLOOKUP(A164,'2. Intervences kategorijas - Pa'!B:D,2,FALSE)</f>
        <v>10 - Veikt investīcijas izglītībā, apmācībā un profesionālajā apmācībā prasmju ieguvei, kā arī mūžizglītībā</v>
      </c>
      <c r="H164" s="180">
        <f>Pasākumu_līmenis!F113</f>
        <v>5765907</v>
      </c>
      <c r="I164" s="180">
        <f>Pasākumu_līmenis!G113</f>
        <v>0</v>
      </c>
      <c r="J164" s="180">
        <f>Pasākumu_līmenis!H113</f>
        <v>5765907</v>
      </c>
      <c r="K164" s="180">
        <f>Pasākumu_līmenis!I113</f>
        <v>0</v>
      </c>
      <c r="L164" s="180">
        <f>Pasākumu_līmenis!J113</f>
        <v>5732007.0999999996</v>
      </c>
      <c r="M164" s="177">
        <f t="shared" si="117"/>
        <v>0.99412063011075269</v>
      </c>
      <c r="N164" s="177">
        <f t="shared" si="118"/>
        <v>0</v>
      </c>
      <c r="O164" s="177">
        <f t="shared" si="125"/>
        <v>0</v>
      </c>
      <c r="P164" s="180">
        <f>Pasākumu_līmenis!N113</f>
        <v>1</v>
      </c>
      <c r="Q164" s="180">
        <v>5732007.0999999996</v>
      </c>
      <c r="R164" s="177">
        <v>0.99412063011075269</v>
      </c>
      <c r="S164" s="180">
        <f>Pasākumu_līmenis!Q113</f>
        <v>5732007.0999999996</v>
      </c>
      <c r="T164" s="170">
        <f t="shared" si="119"/>
        <v>0.99412063011075269</v>
      </c>
      <c r="U164" s="170">
        <f t="shared" si="120"/>
        <v>0</v>
      </c>
      <c r="V164" s="170">
        <f t="shared" si="126"/>
        <v>0</v>
      </c>
      <c r="W164" s="180">
        <f>Pasākumu_līmenis!U113</f>
        <v>1</v>
      </c>
      <c r="X164" s="180">
        <v>5732007.0999999996</v>
      </c>
      <c r="Y164" s="170">
        <v>0.99412063011075269</v>
      </c>
      <c r="Z164" s="169">
        <f>Pasākumu_līmenis!X113</f>
        <v>5732007.0999999996</v>
      </c>
      <c r="AA164" s="170">
        <f t="shared" si="121"/>
        <v>0.99412063011075269</v>
      </c>
      <c r="AB164" s="170">
        <f t="shared" si="122"/>
        <v>0</v>
      </c>
      <c r="AC164" s="170">
        <f t="shared" si="115"/>
        <v>0</v>
      </c>
      <c r="AD164" s="180">
        <f>Pasākumu_līmenis!AB113</f>
        <v>1</v>
      </c>
      <c r="AE164" s="169">
        <v>5732007.0999999996</v>
      </c>
      <c r="AF164" s="170">
        <v>0.99412063011075269</v>
      </c>
      <c r="AG164" s="169">
        <f>Pasākumu_līmenis!AE113</f>
        <v>5732007.0999999996</v>
      </c>
      <c r="AH164" s="170">
        <f t="shared" si="123"/>
        <v>0.99412063011075269</v>
      </c>
      <c r="AI164" s="170">
        <f t="shared" si="124"/>
        <v>0</v>
      </c>
      <c r="AJ164" s="170">
        <f t="shared" si="116"/>
        <v>0</v>
      </c>
      <c r="AK164" s="169">
        <v>5732007.0999999996</v>
      </c>
      <c r="AL164" s="170">
        <v>0.99412063011075269</v>
      </c>
    </row>
    <row r="165" spans="1:38" ht="39.75" customHeight="1" x14ac:dyDescent="0.3">
      <c r="A165" s="253" t="s">
        <v>319</v>
      </c>
      <c r="B165" s="254" t="str">
        <f>VLOOKUP(A165,saīsinājumi_LV_ENG!A:G,5,FALSE)</f>
        <v>Izglītības kvalitātes monitoringa sistēma</v>
      </c>
      <c r="C165" s="10" t="s">
        <v>208</v>
      </c>
      <c r="D165" s="10"/>
      <c r="E165" s="38" t="str">
        <f>Pasākumu_līmenis!D114</f>
        <v>ESF</v>
      </c>
      <c r="F165" s="38" t="str">
        <f>Pasākumu_līmenis!E114</f>
        <v>IZM</v>
      </c>
      <c r="G165" s="278" t="str">
        <f>VLOOKUP(A165,'2. Intervences kategorijas - Pa'!B:D,2,FALSE)</f>
        <v>10 - Veikt investīcijas izglītībā, apmācībā un profesionālajā apmācībā prasmju ieguvei, kā arī mūžizglītībā</v>
      </c>
      <c r="H165" s="180">
        <f>Pasākumu_līmenis!F114</f>
        <v>3794705</v>
      </c>
      <c r="I165" s="180">
        <f>Pasākumu_līmenis!G114</f>
        <v>0</v>
      </c>
      <c r="J165" s="180">
        <f>Pasākumu_līmenis!H114</f>
        <v>3794705</v>
      </c>
      <c r="K165" s="180">
        <f>Pasākumu_līmenis!I114</f>
        <v>0</v>
      </c>
      <c r="L165" s="180">
        <f>Pasākumu_līmenis!J114</f>
        <v>3707048.5</v>
      </c>
      <c r="M165" s="177">
        <f t="shared" si="117"/>
        <v>0.97690031240900144</v>
      </c>
      <c r="N165" s="177">
        <f t="shared" si="118"/>
        <v>0</v>
      </c>
      <c r="O165" s="177">
        <f t="shared" si="125"/>
        <v>0</v>
      </c>
      <c r="P165" s="180">
        <f>Pasākumu_līmenis!N114</f>
        <v>1</v>
      </c>
      <c r="Q165" s="180">
        <v>3707048.5</v>
      </c>
      <c r="R165" s="177">
        <v>0.97690031240900144</v>
      </c>
      <c r="S165" s="180">
        <f>Pasākumu_līmenis!Q114</f>
        <v>3707048.5</v>
      </c>
      <c r="T165" s="170">
        <f t="shared" si="119"/>
        <v>0.97690031240900144</v>
      </c>
      <c r="U165" s="170">
        <f t="shared" si="120"/>
        <v>0</v>
      </c>
      <c r="V165" s="170">
        <f t="shared" si="126"/>
        <v>0</v>
      </c>
      <c r="W165" s="180">
        <f>Pasākumu_līmenis!U114</f>
        <v>1</v>
      </c>
      <c r="X165" s="180">
        <v>3707048.5</v>
      </c>
      <c r="Y165" s="170">
        <v>0.97690031240900144</v>
      </c>
      <c r="Z165" s="169">
        <f>Pasākumu_līmenis!X114</f>
        <v>3707048.5</v>
      </c>
      <c r="AA165" s="170">
        <f t="shared" si="121"/>
        <v>0.97690031240900144</v>
      </c>
      <c r="AB165" s="170">
        <f t="shared" si="122"/>
        <v>0</v>
      </c>
      <c r="AC165" s="170">
        <f t="shared" si="115"/>
        <v>0</v>
      </c>
      <c r="AD165" s="180">
        <f>Pasākumu_līmenis!AB114</f>
        <v>1</v>
      </c>
      <c r="AE165" s="169">
        <v>3707048.5</v>
      </c>
      <c r="AF165" s="170">
        <v>0.97690031240900144</v>
      </c>
      <c r="AG165" s="169">
        <f>Pasākumu_līmenis!AE114</f>
        <v>3707048.5</v>
      </c>
      <c r="AH165" s="170">
        <f t="shared" si="123"/>
        <v>0.97690031240900144</v>
      </c>
      <c r="AI165" s="170">
        <f t="shared" si="124"/>
        <v>0</v>
      </c>
      <c r="AJ165" s="170">
        <f t="shared" si="116"/>
        <v>0</v>
      </c>
      <c r="AK165" s="169">
        <v>3707048.5</v>
      </c>
      <c r="AL165" s="170">
        <v>0.97690031240900144</v>
      </c>
    </row>
    <row r="166" spans="1:38" ht="39.75" customHeight="1" x14ac:dyDescent="0.3">
      <c r="A166" s="249" t="s">
        <v>119</v>
      </c>
      <c r="B166" s="250" t="str">
        <f>VLOOKUP(A166,saīsinājumi_LV_ENG!A:G,5,FALSE)</f>
        <v>Mūžizglītības attīstīšana dažādām vecuma grupām</v>
      </c>
      <c r="C166" s="215" t="s">
        <v>120</v>
      </c>
      <c r="D166" s="215"/>
      <c r="E166" s="217"/>
      <c r="F166" s="217"/>
      <c r="G166" s="276"/>
      <c r="H166" s="236">
        <f>H167</f>
        <v>37406057</v>
      </c>
      <c r="I166" s="236">
        <f>I167</f>
        <v>0</v>
      </c>
      <c r="J166" s="236">
        <f>J167</f>
        <v>37406057</v>
      </c>
      <c r="K166" s="236">
        <f>K167</f>
        <v>1428978.6074669501</v>
      </c>
      <c r="L166" s="236">
        <f>L167</f>
        <v>36926055.189999998</v>
      </c>
      <c r="M166" s="237">
        <f t="shared" si="117"/>
        <v>0.98716780520331238</v>
      </c>
      <c r="N166" s="237">
        <f t="shared" si="118"/>
        <v>0</v>
      </c>
      <c r="O166" s="237">
        <f t="shared" si="125"/>
        <v>0</v>
      </c>
      <c r="P166" s="236">
        <f>P167</f>
        <v>1</v>
      </c>
      <c r="Q166" s="236">
        <v>36926055.189999998</v>
      </c>
      <c r="R166" s="237">
        <v>0.98716780520331238</v>
      </c>
      <c r="S166" s="236">
        <f>S167</f>
        <v>36926055.189999998</v>
      </c>
      <c r="T166" s="219">
        <f t="shared" si="119"/>
        <v>0.98716780520331238</v>
      </c>
      <c r="U166" s="219">
        <f t="shared" si="120"/>
        <v>0</v>
      </c>
      <c r="V166" s="219">
        <f t="shared" si="126"/>
        <v>0</v>
      </c>
      <c r="W166" s="236">
        <f>W167</f>
        <v>1</v>
      </c>
      <c r="X166" s="236">
        <v>36926055.189999998</v>
      </c>
      <c r="Y166" s="219">
        <v>0.98716780520331238</v>
      </c>
      <c r="Z166" s="218">
        <f>Z167</f>
        <v>36926055.189999998</v>
      </c>
      <c r="AA166" s="219">
        <f t="shared" si="121"/>
        <v>0.98716780520331238</v>
      </c>
      <c r="AB166" s="219">
        <f t="shared" si="122"/>
        <v>0</v>
      </c>
      <c r="AC166" s="219">
        <f t="shared" si="115"/>
        <v>0</v>
      </c>
      <c r="AD166" s="236">
        <f>AD167</f>
        <v>1</v>
      </c>
      <c r="AE166" s="218">
        <v>36926055.189999998</v>
      </c>
      <c r="AF166" s="219">
        <v>0.98716780520331238</v>
      </c>
      <c r="AG166" s="218">
        <f>AG167</f>
        <v>36926055.189999998</v>
      </c>
      <c r="AH166" s="219">
        <f t="shared" si="123"/>
        <v>0.98716780520331238</v>
      </c>
      <c r="AI166" s="219">
        <f t="shared" si="124"/>
        <v>0</v>
      </c>
      <c r="AJ166" s="219">
        <f t="shared" si="116"/>
        <v>0</v>
      </c>
      <c r="AK166" s="218">
        <v>36926055.189999998</v>
      </c>
      <c r="AL166" s="219">
        <v>0.98716780520331238</v>
      </c>
    </row>
    <row r="167" spans="1:38" ht="21" customHeight="1" x14ac:dyDescent="0.3">
      <c r="A167" s="255" t="s">
        <v>450</v>
      </c>
      <c r="B167" s="254" t="str">
        <f>VLOOKUP(A167,saīsinājumi_LV_ENG!A:G,5,FALSE)</f>
        <v xml:space="preserve">Mūžizglītība </v>
      </c>
      <c r="C167" s="10" t="s">
        <v>121</v>
      </c>
      <c r="D167" s="10"/>
      <c r="E167" s="38" t="s">
        <v>346</v>
      </c>
      <c r="F167" s="38" t="s">
        <v>348</v>
      </c>
      <c r="G167" s="278" t="str">
        <f>VLOOKUP(A167,'2. Intervences kategorijas - Pa'!B:D,2,FALSE)</f>
        <v>10 - Veikt investīcijas izglītībā, apmācībā un profesionālajā apmācībā prasmju ieguvei, kā arī mūžizglītībā</v>
      </c>
      <c r="H167" s="169">
        <f>Pasākumu_līmenis!F115</f>
        <v>37406057</v>
      </c>
      <c r="I167" s="169">
        <f>Pasākumu_līmenis!G115</f>
        <v>0</v>
      </c>
      <c r="J167" s="169">
        <f>Pasākumu_līmenis!H115</f>
        <v>37406057</v>
      </c>
      <c r="K167" s="169">
        <f>Pasākumu_līmenis!I115</f>
        <v>1428978.6074669501</v>
      </c>
      <c r="L167" s="169">
        <f>Pasākumu_līmenis!J115</f>
        <v>36926055.189999998</v>
      </c>
      <c r="M167" s="170">
        <f t="shared" si="117"/>
        <v>0.98716780520331238</v>
      </c>
      <c r="N167" s="170">
        <f t="shared" si="118"/>
        <v>0</v>
      </c>
      <c r="O167" s="170">
        <f t="shared" si="125"/>
        <v>0</v>
      </c>
      <c r="P167" s="169">
        <f>Pasākumu_līmenis!N115</f>
        <v>1</v>
      </c>
      <c r="Q167" s="169">
        <v>36926055.189999998</v>
      </c>
      <c r="R167" s="170">
        <v>0.98716780520331238</v>
      </c>
      <c r="S167" s="169">
        <f>Pasākumu_līmenis!Q115</f>
        <v>36926055.189999998</v>
      </c>
      <c r="T167" s="170">
        <f t="shared" si="119"/>
        <v>0.98716780520331238</v>
      </c>
      <c r="U167" s="170">
        <f t="shared" si="120"/>
        <v>0</v>
      </c>
      <c r="V167" s="170">
        <f t="shared" si="126"/>
        <v>0</v>
      </c>
      <c r="W167" s="169">
        <f>Pasākumu_līmenis!U115</f>
        <v>1</v>
      </c>
      <c r="X167" s="169">
        <v>36926055.189999998</v>
      </c>
      <c r="Y167" s="170">
        <v>0.98716780520331238</v>
      </c>
      <c r="Z167" s="169">
        <f>Pasākumu_līmenis!X115</f>
        <v>36926055.189999998</v>
      </c>
      <c r="AA167" s="170">
        <f t="shared" si="121"/>
        <v>0.98716780520331238</v>
      </c>
      <c r="AB167" s="170">
        <f t="shared" si="122"/>
        <v>0</v>
      </c>
      <c r="AC167" s="170">
        <f t="shared" si="115"/>
        <v>0</v>
      </c>
      <c r="AD167" s="169">
        <f>Pasākumu_līmenis!AB115</f>
        <v>1</v>
      </c>
      <c r="AE167" s="169">
        <v>36926055.189999998</v>
      </c>
      <c r="AF167" s="170">
        <v>0.98716780520331238</v>
      </c>
      <c r="AG167" s="169">
        <f>Pasākumu_līmenis!AE115</f>
        <v>36926055.189999998</v>
      </c>
      <c r="AH167" s="170">
        <f t="shared" si="123"/>
        <v>0.98716780520331238</v>
      </c>
      <c r="AI167" s="170">
        <f t="shared" si="124"/>
        <v>0</v>
      </c>
      <c r="AJ167" s="170">
        <f t="shared" si="116"/>
        <v>0</v>
      </c>
      <c r="AK167" s="169">
        <v>36926055.189999998</v>
      </c>
      <c r="AL167" s="170">
        <v>0.98716780520331238</v>
      </c>
    </row>
    <row r="168" spans="1:38" ht="39.75" customHeight="1" x14ac:dyDescent="0.3">
      <c r="A168" s="249" t="s">
        <v>122</v>
      </c>
      <c r="B168" s="262" t="str">
        <f>VLOOKUP(A168,saīsinājumi_LV_ENG!A:G,5,FALSE)</f>
        <v>Darba tirgus nozīmes palielināšana izglītībā</v>
      </c>
      <c r="C168" s="238" t="s">
        <v>123</v>
      </c>
      <c r="D168" s="215"/>
      <c r="E168" s="217"/>
      <c r="F168" s="217"/>
      <c r="G168" s="276"/>
      <c r="H168" s="218">
        <f>H169+H170+H171</f>
        <v>29845423</v>
      </c>
      <c r="I168" s="218">
        <f>I169+I170+I171</f>
        <v>0</v>
      </c>
      <c r="J168" s="218">
        <f>J169+J170+J171</f>
        <v>29845423</v>
      </c>
      <c r="K168" s="218">
        <f>K169+K170+K171</f>
        <v>343049.934610072</v>
      </c>
      <c r="L168" s="218">
        <f>L169+L170+L171</f>
        <v>29560138.41</v>
      </c>
      <c r="M168" s="219">
        <f t="shared" si="117"/>
        <v>0.99044126162996582</v>
      </c>
      <c r="N168" s="219">
        <f t="shared" si="118"/>
        <v>0</v>
      </c>
      <c r="O168" s="219">
        <f t="shared" si="125"/>
        <v>0</v>
      </c>
      <c r="P168" s="218">
        <f>P169+P170+P171</f>
        <v>3</v>
      </c>
      <c r="Q168" s="218">
        <v>29560138.41</v>
      </c>
      <c r="R168" s="219">
        <v>0.99044126162996582</v>
      </c>
      <c r="S168" s="218">
        <f>S169+S170+S171</f>
        <v>29560138.41</v>
      </c>
      <c r="T168" s="219">
        <f t="shared" si="119"/>
        <v>0.99044126162996582</v>
      </c>
      <c r="U168" s="219">
        <f t="shared" si="120"/>
        <v>0</v>
      </c>
      <c r="V168" s="219">
        <f t="shared" si="126"/>
        <v>0</v>
      </c>
      <c r="W168" s="218">
        <f>W169+W170+W171</f>
        <v>3</v>
      </c>
      <c r="X168" s="218">
        <v>29560138.41</v>
      </c>
      <c r="Y168" s="219">
        <v>0.99044126162996582</v>
      </c>
      <c r="Z168" s="218">
        <f>Z169+Z170+Z171</f>
        <v>29560138.41</v>
      </c>
      <c r="AA168" s="219">
        <f t="shared" si="121"/>
        <v>0.99044126162996582</v>
      </c>
      <c r="AB168" s="219">
        <f t="shared" si="122"/>
        <v>0</v>
      </c>
      <c r="AC168" s="219">
        <f t="shared" si="115"/>
        <v>0</v>
      </c>
      <c r="AD168" s="218">
        <f>AD169+AD170+AD171</f>
        <v>3</v>
      </c>
      <c r="AE168" s="218">
        <v>29560138.41</v>
      </c>
      <c r="AF168" s="219">
        <v>0.99044126162996582</v>
      </c>
      <c r="AG168" s="218">
        <f>AG169+AG170+AG171</f>
        <v>29560138.41</v>
      </c>
      <c r="AH168" s="219">
        <f t="shared" si="123"/>
        <v>0.99044126162996582</v>
      </c>
      <c r="AI168" s="219">
        <f t="shared" si="124"/>
        <v>0</v>
      </c>
      <c r="AJ168" s="219">
        <f t="shared" si="116"/>
        <v>0</v>
      </c>
      <c r="AK168" s="218">
        <v>29560138.41</v>
      </c>
      <c r="AL168" s="219">
        <v>0.99044126162996582</v>
      </c>
    </row>
    <row r="169" spans="1:38" ht="39.75" customHeight="1" x14ac:dyDescent="0.3">
      <c r="A169" s="255" t="s">
        <v>320</v>
      </c>
      <c r="B169" s="254" t="str">
        <f>VLOOKUP(A169,saīsinājumi_LV_ENG!A:G,5,FALSE)</f>
        <v>Darba vidē balstītās mācības un mācību prakses</v>
      </c>
      <c r="C169" s="10" t="s">
        <v>124</v>
      </c>
      <c r="D169" s="10"/>
      <c r="E169" s="38" t="str">
        <f>Pasākumu_līmenis!D116</f>
        <v>ESF</v>
      </c>
      <c r="F169" s="38" t="str">
        <f>Pasākumu_līmenis!E116</f>
        <v>IZM</v>
      </c>
      <c r="G169" s="278" t="str">
        <f>VLOOKUP(A169,'2. Intervences kategorijas - Pa'!B:D,2,FALSE)</f>
        <v>10 - Veikt investīcijas izglītībā, apmācībā un profesionālajā apmācībā prasmju ieguvei, kā arī mūžizglītībā</v>
      </c>
      <c r="H169" s="169">
        <f>Pasākumu_līmenis!F116</f>
        <v>13642147</v>
      </c>
      <c r="I169" s="169">
        <f>Pasākumu_līmenis!G116</f>
        <v>0</v>
      </c>
      <c r="J169" s="169">
        <f>Pasākumu_līmenis!H116</f>
        <v>13642147</v>
      </c>
      <c r="K169" s="169">
        <f>Pasākumu_līmenis!I116</f>
        <v>0</v>
      </c>
      <c r="L169" s="169">
        <f>Pasākumu_līmenis!J116</f>
        <v>13622344.84</v>
      </c>
      <c r="M169" s="170">
        <f t="shared" si="117"/>
        <v>0.99854845721864749</v>
      </c>
      <c r="N169" s="170">
        <f t="shared" si="118"/>
        <v>0</v>
      </c>
      <c r="O169" s="170">
        <f t="shared" si="125"/>
        <v>0</v>
      </c>
      <c r="P169" s="169">
        <f>Pasākumu_līmenis!N116</f>
        <v>1</v>
      </c>
      <c r="Q169" s="169">
        <v>13622344.84</v>
      </c>
      <c r="R169" s="170">
        <v>0.99854845721864749</v>
      </c>
      <c r="S169" s="169">
        <f>Pasākumu_līmenis!Q116</f>
        <v>13622344.84</v>
      </c>
      <c r="T169" s="170">
        <f t="shared" si="119"/>
        <v>0.99854845721864749</v>
      </c>
      <c r="U169" s="170">
        <f t="shared" si="120"/>
        <v>0</v>
      </c>
      <c r="V169" s="170">
        <f t="shared" si="126"/>
        <v>0</v>
      </c>
      <c r="W169" s="169">
        <f>Pasākumu_līmenis!U116</f>
        <v>1</v>
      </c>
      <c r="X169" s="169">
        <v>13622344.84</v>
      </c>
      <c r="Y169" s="170">
        <v>0.99854845721864749</v>
      </c>
      <c r="Z169" s="169">
        <f>Pasākumu_līmenis!X116</f>
        <v>13622344.84</v>
      </c>
      <c r="AA169" s="170">
        <f t="shared" si="121"/>
        <v>0.99854845721864749</v>
      </c>
      <c r="AB169" s="170">
        <f t="shared" si="122"/>
        <v>0</v>
      </c>
      <c r="AC169" s="170">
        <f t="shared" si="115"/>
        <v>0</v>
      </c>
      <c r="AD169" s="169">
        <f>Pasākumu_līmenis!AB116</f>
        <v>1</v>
      </c>
      <c r="AE169" s="169">
        <v>13622344.84</v>
      </c>
      <c r="AF169" s="170">
        <v>0.99854845721864749</v>
      </c>
      <c r="AG169" s="169">
        <f>Pasākumu_līmenis!AE116</f>
        <v>13622344.84</v>
      </c>
      <c r="AH169" s="170">
        <f t="shared" si="123"/>
        <v>0.99854845721864749</v>
      </c>
      <c r="AI169" s="170">
        <f t="shared" si="124"/>
        <v>0</v>
      </c>
      <c r="AJ169" s="170">
        <f t="shared" si="116"/>
        <v>0</v>
      </c>
      <c r="AK169" s="169">
        <v>13622344.84</v>
      </c>
      <c r="AL169" s="170">
        <v>0.99854845721864749</v>
      </c>
    </row>
    <row r="170" spans="1:38" ht="57" customHeight="1" x14ac:dyDescent="0.3">
      <c r="A170" s="255" t="s">
        <v>321</v>
      </c>
      <c r="B170" s="254" t="str">
        <f>VLOOKUP(A170,saīsinājumi_LV_ENG!A:G,5,FALSE)</f>
        <v>Profesionālās izglītības kvalifikācijas atbilstība Eiropas prasībām</v>
      </c>
      <c r="C170" s="10" t="s">
        <v>125</v>
      </c>
      <c r="D170" s="10"/>
      <c r="E170" s="38" t="str">
        <f>Pasākumu_līmenis!D117</f>
        <v>ESF</v>
      </c>
      <c r="F170" s="38" t="str">
        <f>Pasākumu_līmenis!E117</f>
        <v>IZM</v>
      </c>
      <c r="G170" s="278" t="str">
        <f>VLOOKUP(A170,'2. Intervences kategorijas - Pa'!B:D,2,FALSE)</f>
        <v>10 - Veikt investīcijas izglītībā, apmācībā un profesionālajā apmācībā prasmju ieguvei, kā arī mūžizglītībā</v>
      </c>
      <c r="H170" s="169">
        <f>Pasākumu_līmenis!F117</f>
        <v>10686696</v>
      </c>
      <c r="I170" s="169">
        <f>Pasākumu_līmenis!G117</f>
        <v>0</v>
      </c>
      <c r="J170" s="169">
        <f>Pasākumu_līmenis!H117</f>
        <v>10686696</v>
      </c>
      <c r="K170" s="169">
        <f>Pasākumu_līmenis!I117</f>
        <v>0</v>
      </c>
      <c r="L170" s="169">
        <f>Pasākumu_līmenis!J117</f>
        <v>10615913.76</v>
      </c>
      <c r="M170" s="170">
        <f t="shared" si="117"/>
        <v>0.9933766020854341</v>
      </c>
      <c r="N170" s="170">
        <f t="shared" si="118"/>
        <v>0</v>
      </c>
      <c r="O170" s="170">
        <f t="shared" si="125"/>
        <v>0</v>
      </c>
      <c r="P170" s="169">
        <f>Pasākumu_līmenis!N117</f>
        <v>1</v>
      </c>
      <c r="Q170" s="169">
        <v>10615913.76</v>
      </c>
      <c r="R170" s="170">
        <v>0.9933766020854341</v>
      </c>
      <c r="S170" s="169">
        <f>Pasākumu_līmenis!Q117</f>
        <v>10615913.76</v>
      </c>
      <c r="T170" s="170">
        <f t="shared" si="119"/>
        <v>0.9933766020854341</v>
      </c>
      <c r="U170" s="170">
        <f t="shared" si="120"/>
        <v>0</v>
      </c>
      <c r="V170" s="170">
        <f t="shared" si="126"/>
        <v>0</v>
      </c>
      <c r="W170" s="169">
        <f>Pasākumu_līmenis!U117</f>
        <v>1</v>
      </c>
      <c r="X170" s="169">
        <v>10615913.76</v>
      </c>
      <c r="Y170" s="170">
        <v>0.9933766020854341</v>
      </c>
      <c r="Z170" s="169">
        <f>Pasākumu_līmenis!X117</f>
        <v>10615913.76</v>
      </c>
      <c r="AA170" s="170">
        <f t="shared" si="121"/>
        <v>0.9933766020854341</v>
      </c>
      <c r="AB170" s="170">
        <f t="shared" si="122"/>
        <v>0</v>
      </c>
      <c r="AC170" s="170">
        <f t="shared" si="115"/>
        <v>0</v>
      </c>
      <c r="AD170" s="169">
        <f>Pasākumu_līmenis!AB117</f>
        <v>1</v>
      </c>
      <c r="AE170" s="169">
        <v>10615913.76</v>
      </c>
      <c r="AF170" s="170">
        <v>0.9933766020854341</v>
      </c>
      <c r="AG170" s="169">
        <f>Pasākumu_līmenis!AE117</f>
        <v>10615913.76</v>
      </c>
      <c r="AH170" s="170">
        <f t="shared" si="123"/>
        <v>0.9933766020854341</v>
      </c>
      <c r="AI170" s="170">
        <f t="shared" si="124"/>
        <v>0</v>
      </c>
      <c r="AJ170" s="170">
        <f t="shared" si="116"/>
        <v>0</v>
      </c>
      <c r="AK170" s="169">
        <v>10615913.76</v>
      </c>
      <c r="AL170" s="170">
        <v>0.9933766020854341</v>
      </c>
    </row>
    <row r="171" spans="1:38" ht="39.75" customHeight="1" x14ac:dyDescent="0.3">
      <c r="A171" s="255" t="s">
        <v>322</v>
      </c>
      <c r="B171" s="254" t="str">
        <f>VLOOKUP(A171,saīsinājumi_LV_ENG!A:G,5,FALSE)</f>
        <v xml:space="preserve">Profesionālās izglītības pārvaldība </v>
      </c>
      <c r="C171" s="10" t="s">
        <v>126</v>
      </c>
      <c r="D171" s="10"/>
      <c r="E171" s="38" t="str">
        <f>Pasākumu_līmenis!D118</f>
        <v>ESF</v>
      </c>
      <c r="F171" s="38" t="str">
        <f>Pasākumu_līmenis!E118</f>
        <v>IZM</v>
      </c>
      <c r="G171" s="278" t="str">
        <f>VLOOKUP(A171,'2. Intervences kategorijas - Pa'!B:D,2,FALSE)</f>
        <v>10 - Veikt investīcijas izglītībā, apmācībā un profesionālajā apmācībā prasmju ieguvei, kā arī mūžizglītībā</v>
      </c>
      <c r="H171" s="169">
        <f>Pasākumu_līmenis!F118</f>
        <v>5516580</v>
      </c>
      <c r="I171" s="169">
        <f>Pasākumu_līmenis!G118</f>
        <v>0</v>
      </c>
      <c r="J171" s="169">
        <f>Pasākumu_līmenis!H118</f>
        <v>5516580</v>
      </c>
      <c r="K171" s="169">
        <f>Pasākumu_līmenis!I118</f>
        <v>343049.934610072</v>
      </c>
      <c r="L171" s="169">
        <f>Pasākumu_līmenis!J118</f>
        <v>5321879.8099999996</v>
      </c>
      <c r="M171" s="170">
        <f t="shared" si="117"/>
        <v>0.9647063597373734</v>
      </c>
      <c r="N171" s="170">
        <f t="shared" si="118"/>
        <v>0</v>
      </c>
      <c r="O171" s="170">
        <f t="shared" si="125"/>
        <v>0</v>
      </c>
      <c r="P171" s="169">
        <f>Pasākumu_līmenis!N118</f>
        <v>1</v>
      </c>
      <c r="Q171" s="169">
        <v>5321879.8099999996</v>
      </c>
      <c r="R171" s="170">
        <v>0.9647063597373734</v>
      </c>
      <c r="S171" s="169">
        <f>Pasākumu_līmenis!Q118</f>
        <v>5321879.8099999996</v>
      </c>
      <c r="T171" s="170">
        <f t="shared" si="119"/>
        <v>0.9647063597373734</v>
      </c>
      <c r="U171" s="170">
        <f t="shared" si="120"/>
        <v>0</v>
      </c>
      <c r="V171" s="170">
        <f t="shared" si="126"/>
        <v>0</v>
      </c>
      <c r="W171" s="169">
        <f>Pasākumu_līmenis!U118</f>
        <v>1</v>
      </c>
      <c r="X171" s="169">
        <v>5321879.8099999996</v>
      </c>
      <c r="Y171" s="170">
        <v>0.9647063597373734</v>
      </c>
      <c r="Z171" s="169">
        <f>Pasākumu_līmenis!X118</f>
        <v>5321879.8099999996</v>
      </c>
      <c r="AA171" s="170">
        <f t="shared" si="121"/>
        <v>0.9647063597373734</v>
      </c>
      <c r="AB171" s="170">
        <f t="shared" si="122"/>
        <v>0</v>
      </c>
      <c r="AC171" s="170">
        <f t="shared" si="115"/>
        <v>0</v>
      </c>
      <c r="AD171" s="169">
        <f>Pasākumu_līmenis!AB118</f>
        <v>1</v>
      </c>
      <c r="AE171" s="169">
        <v>5321879.8099999996</v>
      </c>
      <c r="AF171" s="170">
        <v>0.9647063597373734</v>
      </c>
      <c r="AG171" s="169">
        <f>Pasākumu_līmenis!AE118</f>
        <v>5321879.8099999996</v>
      </c>
      <c r="AH171" s="170">
        <f t="shared" si="123"/>
        <v>0.9647063597373734</v>
      </c>
      <c r="AI171" s="170">
        <f t="shared" si="124"/>
        <v>0</v>
      </c>
      <c r="AJ171" s="170">
        <f t="shared" si="116"/>
        <v>0</v>
      </c>
      <c r="AK171" s="169">
        <v>5321879.8099999996</v>
      </c>
      <c r="AL171" s="170">
        <v>0.9647063597373734</v>
      </c>
    </row>
    <row r="172" spans="1:38" ht="21" customHeight="1" x14ac:dyDescent="0.3">
      <c r="A172" s="247" t="s">
        <v>127</v>
      </c>
      <c r="B172" s="248" t="str">
        <f>VLOOKUP(A172,saīsinājumi_LV_ENG!A:G,5,FALSE)</f>
        <v>Sociālā iekļaušana</v>
      </c>
      <c r="C172" s="8" t="s">
        <v>130</v>
      </c>
      <c r="D172" s="225"/>
      <c r="E172" s="66"/>
      <c r="F172" s="66"/>
      <c r="G172" s="280"/>
      <c r="H172" s="226">
        <f>H173+H185+H201</f>
        <v>516095086</v>
      </c>
      <c r="I172" s="226">
        <f>I173+I185+I201</f>
        <v>15313244</v>
      </c>
      <c r="J172" s="226">
        <f>J173+J185+J201</f>
        <v>531408330</v>
      </c>
      <c r="K172" s="226">
        <f>K173+K185+K201</f>
        <v>15459758</v>
      </c>
      <c r="L172" s="226">
        <f>L173+L185+L201</f>
        <v>496391786.76999998</v>
      </c>
      <c r="M172" s="227">
        <f t="shared" si="117"/>
        <v>0.96182234676421619</v>
      </c>
      <c r="N172" s="227">
        <f t="shared" si="118"/>
        <v>-5.0363651941456311E-2</v>
      </c>
      <c r="O172" s="227">
        <f t="shared" si="125"/>
        <v>-4.9757309433106744E-2</v>
      </c>
      <c r="P172" s="226">
        <f>P173+P185+P201</f>
        <v>611</v>
      </c>
      <c r="Q172" s="175">
        <v>522384220.04999995</v>
      </c>
      <c r="R172" s="176">
        <v>1.0121859987056725</v>
      </c>
      <c r="S172" s="226">
        <f>S173+S185+S201</f>
        <v>496391786.76999998</v>
      </c>
      <c r="T172" s="227">
        <f t="shared" si="119"/>
        <v>0.96182234676421619</v>
      </c>
      <c r="U172" s="227">
        <f t="shared" si="120"/>
        <v>-5.0363651941456311E-2</v>
      </c>
      <c r="V172" s="227">
        <f t="shared" si="126"/>
        <v>-4.9757309433106744E-2</v>
      </c>
      <c r="W172" s="226">
        <f>W173+W185+W201</f>
        <v>611</v>
      </c>
      <c r="X172" s="226">
        <v>522384220.04999995</v>
      </c>
      <c r="Y172" s="227">
        <v>1.0121859987056725</v>
      </c>
      <c r="Z172" s="226">
        <f>Z173+Z185+Z201</f>
        <v>496391786.76999998</v>
      </c>
      <c r="AA172" s="227">
        <f t="shared" si="121"/>
        <v>0.96182234676421619</v>
      </c>
      <c r="AB172" s="227">
        <f t="shared" si="122"/>
        <v>-5.0363651941456311E-2</v>
      </c>
      <c r="AC172" s="227">
        <f t="shared" si="115"/>
        <v>-4.9757309433106744E-2</v>
      </c>
      <c r="AD172" s="226">
        <f>AD173+AD185+AD201</f>
        <v>611</v>
      </c>
      <c r="AE172" s="175">
        <v>522384220.04999995</v>
      </c>
      <c r="AF172" s="176">
        <v>1.0121859987056725</v>
      </c>
      <c r="AG172" s="226">
        <f>AG173+AG185+AG201</f>
        <v>497917843.66999996</v>
      </c>
      <c r="AH172" s="227">
        <f t="shared" si="123"/>
        <v>0.96477927648782136</v>
      </c>
      <c r="AI172" s="227">
        <f t="shared" si="124"/>
        <v>0</v>
      </c>
      <c r="AJ172" s="227">
        <f t="shared" si="116"/>
        <v>0</v>
      </c>
      <c r="AK172" s="226">
        <v>497917843.66999996</v>
      </c>
      <c r="AL172" s="227">
        <v>0.96477927648782136</v>
      </c>
    </row>
    <row r="173" spans="1:38" ht="39.75" customHeight="1" x14ac:dyDescent="0.3">
      <c r="A173" s="249" t="s">
        <v>128</v>
      </c>
      <c r="B173" s="250" t="str">
        <f>VLOOKUP(A173,saīsinājumi_LV_ENG!A:G,5,FALSE)</f>
        <v>Sociālā iekļaušana nodarbinātības veicināšanai</v>
      </c>
      <c r="C173" s="215" t="s">
        <v>131</v>
      </c>
      <c r="D173" s="215"/>
      <c r="E173" s="217"/>
      <c r="F173" s="217"/>
      <c r="G173" s="276"/>
      <c r="H173" s="218">
        <f>H174+H178+H179+H180</f>
        <v>113318823</v>
      </c>
      <c r="I173" s="218">
        <f>I174+I178+I179+I180</f>
        <v>0</v>
      </c>
      <c r="J173" s="218">
        <f>J174+J178+J179+J180</f>
        <v>113318823</v>
      </c>
      <c r="K173" s="218">
        <f>K174+K178+K179+K180</f>
        <v>497266</v>
      </c>
      <c r="L173" s="218">
        <f>L174+L178+L179+L180</f>
        <v>111734903.25999999</v>
      </c>
      <c r="M173" s="219">
        <f t="shared" si="117"/>
        <v>0.98602244800936545</v>
      </c>
      <c r="N173" s="219">
        <f t="shared" si="118"/>
        <v>0</v>
      </c>
      <c r="O173" s="219">
        <f t="shared" si="125"/>
        <v>0</v>
      </c>
      <c r="P173" s="218">
        <f>P174+P178+P179+P180</f>
        <v>9</v>
      </c>
      <c r="Q173" s="218">
        <v>111734903.25999999</v>
      </c>
      <c r="R173" s="219">
        <v>0.98602244800936545</v>
      </c>
      <c r="S173" s="218">
        <f>S174+S178+S179+S180</f>
        <v>111734903.25999999</v>
      </c>
      <c r="T173" s="219">
        <f t="shared" si="119"/>
        <v>0.98602244800936545</v>
      </c>
      <c r="U173" s="219">
        <f t="shared" si="120"/>
        <v>0</v>
      </c>
      <c r="V173" s="219">
        <f t="shared" si="126"/>
        <v>0</v>
      </c>
      <c r="W173" s="218">
        <f>W174+W178+W179+W180</f>
        <v>9</v>
      </c>
      <c r="X173" s="218">
        <v>111734903.25999999</v>
      </c>
      <c r="Y173" s="219">
        <v>0.98602244800936545</v>
      </c>
      <c r="Z173" s="218">
        <f>Z174+Z178+Z179+Z180</f>
        <v>111734903.25999999</v>
      </c>
      <c r="AA173" s="219">
        <f t="shared" si="121"/>
        <v>0.98602244800936545</v>
      </c>
      <c r="AB173" s="219">
        <f t="shared" si="122"/>
        <v>0</v>
      </c>
      <c r="AC173" s="219">
        <f t="shared" si="115"/>
        <v>0</v>
      </c>
      <c r="AD173" s="218">
        <f>AD174+AD178+AD179+AD180</f>
        <v>9</v>
      </c>
      <c r="AE173" s="218">
        <v>111734903.25999999</v>
      </c>
      <c r="AF173" s="219">
        <v>0.98602244800936545</v>
      </c>
      <c r="AG173" s="218">
        <f>AG174+AG178+AG179+AG180</f>
        <v>110927947.75999999</v>
      </c>
      <c r="AH173" s="219">
        <f t="shared" si="123"/>
        <v>0.97890134068900447</v>
      </c>
      <c r="AI173" s="219">
        <f t="shared" si="124"/>
        <v>0</v>
      </c>
      <c r="AJ173" s="219">
        <f t="shared" si="116"/>
        <v>0</v>
      </c>
      <c r="AK173" s="218">
        <v>110927947.75999999</v>
      </c>
      <c r="AL173" s="219">
        <v>0.97890134068900447</v>
      </c>
    </row>
    <row r="174" spans="1:38" ht="39.75" customHeight="1" x14ac:dyDescent="0.3">
      <c r="A174" s="251" t="s">
        <v>451</v>
      </c>
      <c r="B174" s="252" t="str">
        <f>VLOOKUP(A174,saīsinājumi_LV_ENG!A:G,5,FALSE)</f>
        <v>Nelabvēlīgākā situācijā esošo bezdarbnieku iekļaušana</v>
      </c>
      <c r="C174" s="220" t="s">
        <v>132</v>
      </c>
      <c r="D174" s="220"/>
      <c r="E174" s="222"/>
      <c r="F174" s="222"/>
      <c r="G174" s="277"/>
      <c r="H174" s="223">
        <f>SUM(H175:H177)</f>
        <v>95567990</v>
      </c>
      <c r="I174" s="223">
        <f>SUM(I175:I177)</f>
        <v>0</v>
      </c>
      <c r="J174" s="223">
        <f>SUM(J175:J177)</f>
        <v>95567990</v>
      </c>
      <c r="K174" s="223">
        <f>SUM(K175:K177)</f>
        <v>0</v>
      </c>
      <c r="L174" s="223">
        <f>SUM(L175:L177)</f>
        <v>94245200.739999995</v>
      </c>
      <c r="M174" s="224">
        <f t="shared" si="117"/>
        <v>0.98615865772629507</v>
      </c>
      <c r="N174" s="224">
        <f t="shared" si="118"/>
        <v>0</v>
      </c>
      <c r="O174" s="224">
        <f t="shared" si="125"/>
        <v>0</v>
      </c>
      <c r="P174" s="223">
        <f>SUM(P175:P177)</f>
        <v>3</v>
      </c>
      <c r="Q174" s="223">
        <v>94245200.739999995</v>
      </c>
      <c r="R174" s="224">
        <v>0.98615865772629507</v>
      </c>
      <c r="S174" s="223">
        <f>SUM(S175:S177)</f>
        <v>94245200.739999995</v>
      </c>
      <c r="T174" s="224">
        <f t="shared" si="119"/>
        <v>0.98615865772629507</v>
      </c>
      <c r="U174" s="224">
        <f t="shared" si="120"/>
        <v>0</v>
      </c>
      <c r="V174" s="224">
        <f t="shared" si="126"/>
        <v>0</v>
      </c>
      <c r="W174" s="223">
        <f>SUM(W175:W177)</f>
        <v>3</v>
      </c>
      <c r="X174" s="223">
        <v>94245200.739999995</v>
      </c>
      <c r="Y174" s="224">
        <v>0.98615865772629507</v>
      </c>
      <c r="Z174" s="223">
        <f>SUM(Z175:Z177)</f>
        <v>94245200.739999995</v>
      </c>
      <c r="AA174" s="224">
        <f t="shared" si="121"/>
        <v>0.98615865772629507</v>
      </c>
      <c r="AB174" s="224">
        <f t="shared" si="122"/>
        <v>0</v>
      </c>
      <c r="AC174" s="224">
        <f t="shared" si="115"/>
        <v>0</v>
      </c>
      <c r="AD174" s="223">
        <f>SUM(AD175:AD177)</f>
        <v>3</v>
      </c>
      <c r="AE174" s="223">
        <v>94245200.739999995</v>
      </c>
      <c r="AF174" s="224">
        <v>0.98615865772629507</v>
      </c>
      <c r="AG174" s="223">
        <f>SUM(AG175:AG177)</f>
        <v>93438245.239999995</v>
      </c>
      <c r="AH174" s="224">
        <f t="shared" si="123"/>
        <v>0.97771487335874696</v>
      </c>
      <c r="AI174" s="224">
        <f t="shared" si="124"/>
        <v>0</v>
      </c>
      <c r="AJ174" s="224">
        <f t="shared" si="116"/>
        <v>0</v>
      </c>
      <c r="AK174" s="223">
        <v>93438245.239999995</v>
      </c>
      <c r="AL174" s="224">
        <v>0.97771487335874696</v>
      </c>
    </row>
    <row r="175" spans="1:38" ht="39.75" customHeight="1" x14ac:dyDescent="0.3">
      <c r="A175" s="253" t="s">
        <v>324</v>
      </c>
      <c r="B175" s="254" t="str">
        <f>VLOOKUP(A175,saīsinājumi_LV_ENG!A:G,5,FALSE)</f>
        <v>Subsidētās darbavietas bezdarbniekiem</v>
      </c>
      <c r="C175" s="10" t="s">
        <v>132</v>
      </c>
      <c r="D175" s="10"/>
      <c r="E175" s="38" t="str">
        <f>Pasākumu_līmenis!D120</f>
        <v>ESF</v>
      </c>
      <c r="F175" s="38" t="str">
        <f>Pasākumu_līmenis!E120</f>
        <v>LM</v>
      </c>
      <c r="G175" s="278" t="str">
        <f>VLOOKUP(A175,'2. Intervences kategorijas - Pa'!B:D,2,FALSE)</f>
        <v>08 - Veicināt stabilas un kvalitatīvas darba vietas un atbalstīt darbaspēka mobilitāti</v>
      </c>
      <c r="H175" s="169">
        <f>Pasākumu_līmenis!F120</f>
        <v>65931882</v>
      </c>
      <c r="I175" s="169">
        <f>Pasākumu_līmenis!G120</f>
        <v>0</v>
      </c>
      <c r="J175" s="169">
        <f>Pasākumu_līmenis!H120</f>
        <v>65931882</v>
      </c>
      <c r="K175" s="169">
        <f>Pasākumu_līmenis!I120</f>
        <v>0</v>
      </c>
      <c r="L175" s="169">
        <f>Pasākumu_līmenis!J120</f>
        <v>65086757.420000002</v>
      </c>
      <c r="M175" s="170">
        <f t="shared" si="117"/>
        <v>0.98718185262783797</v>
      </c>
      <c r="N175" s="170">
        <f t="shared" si="118"/>
        <v>0</v>
      </c>
      <c r="O175" s="170">
        <f t="shared" si="125"/>
        <v>0</v>
      </c>
      <c r="P175" s="169">
        <f>Pasākumu_līmenis!N120</f>
        <v>1</v>
      </c>
      <c r="Q175" s="169">
        <v>65086757.420000002</v>
      </c>
      <c r="R175" s="170">
        <v>0.98718185262783797</v>
      </c>
      <c r="S175" s="169">
        <f>Pasākumu_līmenis!Q120</f>
        <v>65086757.420000002</v>
      </c>
      <c r="T175" s="170">
        <f t="shared" si="119"/>
        <v>0.98718185262783797</v>
      </c>
      <c r="U175" s="170">
        <f t="shared" si="120"/>
        <v>0</v>
      </c>
      <c r="V175" s="170">
        <f t="shared" si="126"/>
        <v>0</v>
      </c>
      <c r="W175" s="169">
        <f>Pasākumu_līmenis!U120</f>
        <v>1</v>
      </c>
      <c r="X175" s="169">
        <v>65086757.420000002</v>
      </c>
      <c r="Y175" s="170">
        <v>0.98718185262783797</v>
      </c>
      <c r="Z175" s="169">
        <f>Pasākumu_līmenis!X120</f>
        <v>65086757.420000002</v>
      </c>
      <c r="AA175" s="170">
        <f t="shared" si="121"/>
        <v>0.98718185262783797</v>
      </c>
      <c r="AB175" s="170">
        <f t="shared" si="122"/>
        <v>0</v>
      </c>
      <c r="AC175" s="170">
        <f t="shared" si="115"/>
        <v>0</v>
      </c>
      <c r="AD175" s="169">
        <f>Pasākumu_līmenis!AB120</f>
        <v>1</v>
      </c>
      <c r="AE175" s="169">
        <v>65086757.420000002</v>
      </c>
      <c r="AF175" s="170">
        <v>0.98718185262783797</v>
      </c>
      <c r="AG175" s="169">
        <f>Pasākumu_līmenis!AE120</f>
        <v>65060354.759999998</v>
      </c>
      <c r="AH175" s="170">
        <f t="shared" si="123"/>
        <v>0.98678139902027973</v>
      </c>
      <c r="AI175" s="170">
        <f t="shared" si="124"/>
        <v>0</v>
      </c>
      <c r="AJ175" s="170">
        <f t="shared" si="116"/>
        <v>0</v>
      </c>
      <c r="AK175" s="169">
        <v>65060354.759999998</v>
      </c>
      <c r="AL175" s="170">
        <v>0.98678139902027973</v>
      </c>
    </row>
    <row r="176" spans="1:38" ht="39.75" customHeight="1" x14ac:dyDescent="0.3">
      <c r="A176" s="253" t="s">
        <v>325</v>
      </c>
      <c r="B176" s="254" t="str">
        <f>VLOOKUP(A176,saīsinājumi_LV_ENG!A:G,5,FALSE)</f>
        <v>Atbalsts ilgstošajiem bezdarbniekiem</v>
      </c>
      <c r="C176" s="10" t="s">
        <v>365</v>
      </c>
      <c r="D176" s="42"/>
      <c r="E176" s="38" t="str">
        <f>Pasākumu_līmenis!D121</f>
        <v>ESF</v>
      </c>
      <c r="F176" s="38" t="str">
        <f>Pasākumu_līmenis!E121</f>
        <v>LM</v>
      </c>
      <c r="G176" s="278" t="str">
        <f>VLOOKUP(A176,'2. Intervences kategorijas - Pa'!B:D,2,FALSE)</f>
        <v>08 - Veicināt stabilas un kvalitatīvas darba vietas un atbalstīt darbaspēka mobilitāti</v>
      </c>
      <c r="H176" s="169">
        <f>Pasākumu_līmenis!F121</f>
        <v>15114906</v>
      </c>
      <c r="I176" s="169">
        <f>Pasākumu_līmenis!G121</f>
        <v>0</v>
      </c>
      <c r="J176" s="169">
        <f>Pasākumu_līmenis!H121</f>
        <v>15114906</v>
      </c>
      <c r="K176" s="169">
        <f>Pasākumu_līmenis!I121</f>
        <v>0</v>
      </c>
      <c r="L176" s="169">
        <f>Pasākumu_līmenis!J121</f>
        <v>15109732.189999999</v>
      </c>
      <c r="M176" s="170">
        <f t="shared" si="117"/>
        <v>0.99965770147693933</v>
      </c>
      <c r="N176" s="170">
        <f t="shared" si="118"/>
        <v>0</v>
      </c>
      <c r="O176" s="170">
        <f t="shared" si="125"/>
        <v>0</v>
      </c>
      <c r="P176" s="169">
        <f>Pasākumu_līmenis!N121</f>
        <v>1</v>
      </c>
      <c r="Q176" s="169">
        <v>15109732.189999999</v>
      </c>
      <c r="R176" s="170">
        <v>0.99965770147693933</v>
      </c>
      <c r="S176" s="169">
        <f>Pasākumu_līmenis!Q121</f>
        <v>15109732.189999999</v>
      </c>
      <c r="T176" s="170">
        <f t="shared" si="119"/>
        <v>0.99965770147693933</v>
      </c>
      <c r="U176" s="170">
        <f t="shared" si="120"/>
        <v>0</v>
      </c>
      <c r="V176" s="170">
        <f t="shared" si="126"/>
        <v>0</v>
      </c>
      <c r="W176" s="169">
        <f>Pasākumu_līmenis!U121</f>
        <v>1</v>
      </c>
      <c r="X176" s="169">
        <v>15109732.189999999</v>
      </c>
      <c r="Y176" s="170">
        <v>0.99965770147693933</v>
      </c>
      <c r="Z176" s="169">
        <f>Pasākumu_līmenis!X121</f>
        <v>15109732.189999999</v>
      </c>
      <c r="AA176" s="170">
        <f t="shared" si="121"/>
        <v>0.99965770147693933</v>
      </c>
      <c r="AB176" s="170">
        <f t="shared" si="122"/>
        <v>0</v>
      </c>
      <c r="AC176" s="170">
        <f t="shared" si="115"/>
        <v>0</v>
      </c>
      <c r="AD176" s="169">
        <f>Pasākumu_līmenis!AB121</f>
        <v>1</v>
      </c>
      <c r="AE176" s="169">
        <v>15109732.189999999</v>
      </c>
      <c r="AF176" s="170">
        <v>0.99965770147693933</v>
      </c>
      <c r="AG176" s="169">
        <f>Pasākumu_līmenis!AE121</f>
        <v>15065475.98</v>
      </c>
      <c r="AH176" s="170">
        <f t="shared" si="123"/>
        <v>0.99672971700915647</v>
      </c>
      <c r="AI176" s="170">
        <f t="shared" si="124"/>
        <v>0</v>
      </c>
      <c r="AJ176" s="170">
        <f t="shared" si="116"/>
        <v>0</v>
      </c>
      <c r="AK176" s="169">
        <v>15065475.98</v>
      </c>
      <c r="AL176" s="170">
        <v>0.99672971700915647</v>
      </c>
    </row>
    <row r="177" spans="1:38" ht="21" customHeight="1" x14ac:dyDescent="0.3">
      <c r="A177" s="253" t="s">
        <v>326</v>
      </c>
      <c r="B177" s="254" t="str">
        <f>VLOOKUP(A177,saīsinājumi_LV_ENG!A:G,5,FALSE)</f>
        <v xml:space="preserve">Sociālā uzņēmējdarbība </v>
      </c>
      <c r="C177" s="10" t="s">
        <v>366</v>
      </c>
      <c r="D177" s="10"/>
      <c r="E177" s="38" t="str">
        <f>Pasākumu_līmenis!D122</f>
        <v>ESF</v>
      </c>
      <c r="F177" s="38" t="str">
        <f>Pasākumu_līmenis!E122</f>
        <v>LM</v>
      </c>
      <c r="G177" s="278" t="str">
        <f>VLOOKUP(A177,'2. Intervences kategorijas - Pa'!B:D,2,FALSE)</f>
        <v>09 - Veicināt sociālo iekļautību, apkarot nabadzību un jebkādu diskrimināciju</v>
      </c>
      <c r="H177" s="169">
        <f>Pasākumu_līmenis!F122</f>
        <v>14521202</v>
      </c>
      <c r="I177" s="169">
        <f>Pasākumu_līmenis!G122</f>
        <v>0</v>
      </c>
      <c r="J177" s="169">
        <f>Pasākumu_līmenis!H122</f>
        <v>14521202</v>
      </c>
      <c r="K177" s="169">
        <f>Pasākumu_līmenis!I122</f>
        <v>0</v>
      </c>
      <c r="L177" s="169">
        <f>Pasākumu_līmenis!J122</f>
        <v>14048711.130000001</v>
      </c>
      <c r="M177" s="170">
        <f t="shared" si="117"/>
        <v>0.96746200004655269</v>
      </c>
      <c r="N177" s="170">
        <f t="shared" si="118"/>
        <v>0</v>
      </c>
      <c r="O177" s="170">
        <f t="shared" si="125"/>
        <v>0</v>
      </c>
      <c r="P177" s="169">
        <f>Pasākumu_līmenis!N122</f>
        <v>1</v>
      </c>
      <c r="Q177" s="169">
        <v>14048711.130000001</v>
      </c>
      <c r="R177" s="170">
        <v>0.96746200004655269</v>
      </c>
      <c r="S177" s="169">
        <f>Pasākumu_līmenis!Q122</f>
        <v>14048711.130000001</v>
      </c>
      <c r="T177" s="170">
        <f t="shared" si="119"/>
        <v>0.96746200004655269</v>
      </c>
      <c r="U177" s="170">
        <f t="shared" si="120"/>
        <v>0</v>
      </c>
      <c r="V177" s="170">
        <f t="shared" si="126"/>
        <v>0</v>
      </c>
      <c r="W177" s="169">
        <f>Pasākumu_līmenis!U122</f>
        <v>1</v>
      </c>
      <c r="X177" s="169">
        <v>14048711.130000001</v>
      </c>
      <c r="Y177" s="170">
        <v>0.96746200004655269</v>
      </c>
      <c r="Z177" s="169">
        <f>Pasākumu_līmenis!X122</f>
        <v>14048711.130000001</v>
      </c>
      <c r="AA177" s="170">
        <f t="shared" si="121"/>
        <v>0.96746200004655269</v>
      </c>
      <c r="AB177" s="170">
        <f t="shared" si="122"/>
        <v>0</v>
      </c>
      <c r="AC177" s="170">
        <f t="shared" si="115"/>
        <v>0</v>
      </c>
      <c r="AD177" s="169">
        <f>Pasākumu_līmenis!AB122</f>
        <v>1</v>
      </c>
      <c r="AE177" s="169">
        <v>14048711.130000001</v>
      </c>
      <c r="AF177" s="170">
        <v>0.96746200004655269</v>
      </c>
      <c r="AG177" s="169">
        <f>Pasākumu_līmenis!AE122</f>
        <v>13312414.5</v>
      </c>
      <c r="AH177" s="170">
        <f t="shared" si="123"/>
        <v>0.91675706322382955</v>
      </c>
      <c r="AI177" s="170">
        <f t="shared" si="124"/>
        <v>0</v>
      </c>
      <c r="AJ177" s="170">
        <f t="shared" si="116"/>
        <v>0</v>
      </c>
      <c r="AK177" s="169">
        <v>13312414.5</v>
      </c>
      <c r="AL177" s="170">
        <v>0.91675706322382955</v>
      </c>
    </row>
    <row r="178" spans="1:38" ht="39.75" customHeight="1" x14ac:dyDescent="0.3">
      <c r="A178" s="255" t="s">
        <v>327</v>
      </c>
      <c r="B178" s="254" t="str">
        <f>VLOOKUP(A178,saīsinājumi_LV_ENG!A:G,5,FALSE)</f>
        <v>Bijušo ieslodzīto integrācija sabiedrībā</v>
      </c>
      <c r="C178" s="10" t="s">
        <v>133</v>
      </c>
      <c r="D178" s="10"/>
      <c r="E178" s="38" t="str">
        <f>Pasākumu_līmenis!D123</f>
        <v>ESF</v>
      </c>
      <c r="F178" s="38" t="str">
        <f>Pasākumu_līmenis!E123</f>
        <v>TM</v>
      </c>
      <c r="G178" s="278" t="str">
        <f>VLOOKUP(A178,'2. Intervences kategorijas - Pa'!B:D,2,FALSE)</f>
        <v>09 - Veicināt sociālo iekļautību, apkarot nabadzību un jebkādu diskrimināciju</v>
      </c>
      <c r="H178" s="169">
        <f>Pasākumu_līmenis!F123</f>
        <v>3813642</v>
      </c>
      <c r="I178" s="169">
        <f>Pasākumu_līmenis!G123</f>
        <v>0</v>
      </c>
      <c r="J178" s="169">
        <f>Pasākumu_līmenis!H123</f>
        <v>3813642</v>
      </c>
      <c r="K178" s="169">
        <f>Pasākumu_līmenis!I123</f>
        <v>273537</v>
      </c>
      <c r="L178" s="169">
        <f>Pasākumu_līmenis!J123</f>
        <v>3813625.6</v>
      </c>
      <c r="M178" s="170">
        <f t="shared" si="117"/>
        <v>0.99999569964878721</v>
      </c>
      <c r="N178" s="170">
        <f t="shared" si="118"/>
        <v>0</v>
      </c>
      <c r="O178" s="170">
        <f t="shared" si="125"/>
        <v>0</v>
      </c>
      <c r="P178" s="169">
        <f>Pasākumu_līmenis!N123</f>
        <v>1</v>
      </c>
      <c r="Q178" s="169">
        <v>3813625.6</v>
      </c>
      <c r="R178" s="170">
        <v>0.99999569964878721</v>
      </c>
      <c r="S178" s="169">
        <f>Pasākumu_līmenis!Q123</f>
        <v>3813625.6</v>
      </c>
      <c r="T178" s="170">
        <f t="shared" si="119"/>
        <v>0.99999569964878721</v>
      </c>
      <c r="U178" s="170">
        <f t="shared" si="120"/>
        <v>0</v>
      </c>
      <c r="V178" s="170">
        <f t="shared" si="126"/>
        <v>0</v>
      </c>
      <c r="W178" s="169">
        <f>Pasākumu_līmenis!U123</f>
        <v>1</v>
      </c>
      <c r="X178" s="169">
        <v>3813625.6</v>
      </c>
      <c r="Y178" s="170">
        <v>0.99999569964878721</v>
      </c>
      <c r="Z178" s="169">
        <f>Pasākumu_līmenis!X123</f>
        <v>3813625.6</v>
      </c>
      <c r="AA178" s="170">
        <f t="shared" si="121"/>
        <v>0.99999569964878721</v>
      </c>
      <c r="AB178" s="170">
        <f t="shared" si="122"/>
        <v>0</v>
      </c>
      <c r="AC178" s="170">
        <f t="shared" si="115"/>
        <v>0</v>
      </c>
      <c r="AD178" s="169">
        <f>Pasākumu_līmenis!AB123</f>
        <v>1</v>
      </c>
      <c r="AE178" s="169">
        <v>3813625.6</v>
      </c>
      <c r="AF178" s="170">
        <v>0.99999569964878721</v>
      </c>
      <c r="AG178" s="169">
        <f>Pasākumu_līmenis!AE123</f>
        <v>3813625.6</v>
      </c>
      <c r="AH178" s="170">
        <f t="shared" si="123"/>
        <v>0.99999569964878721</v>
      </c>
      <c r="AI178" s="170">
        <f t="shared" si="124"/>
        <v>0</v>
      </c>
      <c r="AJ178" s="170">
        <f t="shared" si="116"/>
        <v>0</v>
      </c>
      <c r="AK178" s="169">
        <v>3813625.6</v>
      </c>
      <c r="AL178" s="170">
        <v>0.99999569964878721</v>
      </c>
    </row>
    <row r="179" spans="1:38" ht="39.75" customHeight="1" x14ac:dyDescent="0.3">
      <c r="A179" s="255" t="s">
        <v>328</v>
      </c>
      <c r="B179" s="254" t="str">
        <f>VLOOKUP(A179,saīsinājumi_LV_ENG!A:G,5,FALSE)</f>
        <v>Resocializācijas sistēmas efektivitātes paaugstināšana</v>
      </c>
      <c r="C179" s="10" t="s">
        <v>134</v>
      </c>
      <c r="D179" s="10"/>
      <c r="E179" s="38" t="str">
        <f>Pasākumu_līmenis!D124</f>
        <v>ESF</v>
      </c>
      <c r="F179" s="38" t="str">
        <f>Pasākumu_līmenis!E124</f>
        <v>TM</v>
      </c>
      <c r="G179" s="278" t="str">
        <f>VLOOKUP(A179,'2. Intervences kategorijas - Pa'!B:D,2,FALSE)</f>
        <v>09 - Veicināt sociālo iekļautību, apkarot nabadzību un jebkādu diskrimināciju</v>
      </c>
      <c r="H179" s="169">
        <f>Pasākumu_līmenis!F124</f>
        <v>4446397</v>
      </c>
      <c r="I179" s="169">
        <f>Pasākumu_līmenis!G124</f>
        <v>0</v>
      </c>
      <c r="J179" s="169">
        <f>Pasākumu_līmenis!H124</f>
        <v>4446397</v>
      </c>
      <c r="K179" s="169">
        <f>Pasākumu_līmenis!I124</f>
        <v>223729</v>
      </c>
      <c r="L179" s="169">
        <f>Pasākumu_līmenis!J124</f>
        <v>4446397</v>
      </c>
      <c r="M179" s="170">
        <f t="shared" si="117"/>
        <v>1</v>
      </c>
      <c r="N179" s="170">
        <f t="shared" si="118"/>
        <v>0</v>
      </c>
      <c r="O179" s="170">
        <f t="shared" si="125"/>
        <v>0</v>
      </c>
      <c r="P179" s="169">
        <f>Pasākumu_līmenis!N124</f>
        <v>1</v>
      </c>
      <c r="Q179" s="169">
        <v>4446397</v>
      </c>
      <c r="R179" s="170">
        <v>1</v>
      </c>
      <c r="S179" s="169">
        <f>Pasākumu_līmenis!Q124</f>
        <v>4446397</v>
      </c>
      <c r="T179" s="170">
        <f t="shared" si="119"/>
        <v>1</v>
      </c>
      <c r="U179" s="170">
        <f t="shared" si="120"/>
        <v>0</v>
      </c>
      <c r="V179" s="170">
        <f t="shared" si="126"/>
        <v>0</v>
      </c>
      <c r="W179" s="169">
        <f>Pasākumu_līmenis!U124</f>
        <v>1</v>
      </c>
      <c r="X179" s="169">
        <v>4446397</v>
      </c>
      <c r="Y179" s="170">
        <v>1</v>
      </c>
      <c r="Z179" s="169">
        <f>Pasākumu_līmenis!X124</f>
        <v>4446397</v>
      </c>
      <c r="AA179" s="170">
        <f t="shared" si="121"/>
        <v>1</v>
      </c>
      <c r="AB179" s="170">
        <f t="shared" si="122"/>
        <v>0</v>
      </c>
      <c r="AC179" s="170">
        <f t="shared" si="115"/>
        <v>0</v>
      </c>
      <c r="AD179" s="169">
        <f>Pasākumu_līmenis!AB124</f>
        <v>1</v>
      </c>
      <c r="AE179" s="169">
        <v>4446397</v>
      </c>
      <c r="AF179" s="170">
        <v>1</v>
      </c>
      <c r="AG179" s="169">
        <f>Pasākumu_līmenis!AE124</f>
        <v>4446397</v>
      </c>
      <c r="AH179" s="170">
        <f t="shared" si="123"/>
        <v>1</v>
      </c>
      <c r="AI179" s="170">
        <f t="shared" si="124"/>
        <v>0</v>
      </c>
      <c r="AJ179" s="170">
        <f t="shared" si="116"/>
        <v>0</v>
      </c>
      <c r="AK179" s="169">
        <v>4446397</v>
      </c>
      <c r="AL179" s="170">
        <v>1</v>
      </c>
    </row>
    <row r="180" spans="1:38" ht="39.75" customHeight="1" x14ac:dyDescent="0.3">
      <c r="A180" s="251" t="s">
        <v>452</v>
      </c>
      <c r="B180" s="252" t="str">
        <f>VLOOKUP(A180,saīsinājumi_LV_ENG!A:G,5,FALSE)</f>
        <v>Diskriminācijas riskiem pakļauto iedzīvotāju integrācija</v>
      </c>
      <c r="C180" s="220" t="s">
        <v>135</v>
      </c>
      <c r="D180" s="220"/>
      <c r="E180" s="222"/>
      <c r="F180" s="222"/>
      <c r="G180" s="277"/>
      <c r="H180" s="223">
        <f>SUM(H181:H184)</f>
        <v>9490794</v>
      </c>
      <c r="I180" s="223">
        <f>SUM(I181:I184)</f>
        <v>0</v>
      </c>
      <c r="J180" s="223">
        <f>SUM(J181:J184)</f>
        <v>9490794</v>
      </c>
      <c r="K180" s="223">
        <f>SUM(K181:K184)</f>
        <v>0</v>
      </c>
      <c r="L180" s="223">
        <f>SUM(L181:L184)</f>
        <v>9229679.9199999999</v>
      </c>
      <c r="M180" s="224">
        <f t="shared" si="117"/>
        <v>0.97248764644981234</v>
      </c>
      <c r="N180" s="224">
        <f t="shared" si="118"/>
        <v>0</v>
      </c>
      <c r="O180" s="224">
        <f t="shared" si="125"/>
        <v>0</v>
      </c>
      <c r="P180" s="223">
        <f>SUM(P181:P184)</f>
        <v>4</v>
      </c>
      <c r="Q180" s="223">
        <v>9229679.9199999999</v>
      </c>
      <c r="R180" s="224">
        <v>0.97248764644981234</v>
      </c>
      <c r="S180" s="223">
        <f>SUM(S181:S184)</f>
        <v>9229679.9199999999</v>
      </c>
      <c r="T180" s="224">
        <f t="shared" si="119"/>
        <v>0.97248764644981234</v>
      </c>
      <c r="U180" s="224">
        <f t="shared" si="120"/>
        <v>0</v>
      </c>
      <c r="V180" s="224">
        <f t="shared" si="126"/>
        <v>0</v>
      </c>
      <c r="W180" s="223">
        <f>SUM(W181:W184)</f>
        <v>4</v>
      </c>
      <c r="X180" s="223">
        <v>9229679.9199999999</v>
      </c>
      <c r="Y180" s="224">
        <v>0.97248764644981234</v>
      </c>
      <c r="Z180" s="223">
        <f>SUM(Z181:Z184)</f>
        <v>9229679.9199999999</v>
      </c>
      <c r="AA180" s="224">
        <f t="shared" si="121"/>
        <v>0.97248764644981234</v>
      </c>
      <c r="AB180" s="224">
        <f t="shared" si="122"/>
        <v>0</v>
      </c>
      <c r="AC180" s="224">
        <f t="shared" si="115"/>
        <v>0</v>
      </c>
      <c r="AD180" s="223">
        <f>SUM(AD181:AD184)</f>
        <v>4</v>
      </c>
      <c r="AE180" s="223">
        <v>9229679.9199999999</v>
      </c>
      <c r="AF180" s="224">
        <v>0.97248764644981234</v>
      </c>
      <c r="AG180" s="223">
        <f>SUM(AG181:AG184)</f>
        <v>9229679.9199999999</v>
      </c>
      <c r="AH180" s="224">
        <f t="shared" si="123"/>
        <v>0.97248764644981234</v>
      </c>
      <c r="AI180" s="224">
        <f t="shared" si="124"/>
        <v>0</v>
      </c>
      <c r="AJ180" s="224">
        <f t="shared" si="116"/>
        <v>0</v>
      </c>
      <c r="AK180" s="223">
        <v>9229679.9199999999</v>
      </c>
      <c r="AL180" s="224">
        <v>0.97248764644981234</v>
      </c>
    </row>
    <row r="181" spans="1:38" ht="21" customHeight="1" x14ac:dyDescent="0.3">
      <c r="A181" s="253" t="s">
        <v>329</v>
      </c>
      <c r="B181" s="254" t="str">
        <f>VLOOKUP(A181,saīsinājumi_LV_ENG!A:G,5,FALSE)</f>
        <v>Profesionālā rehabilitācija</v>
      </c>
      <c r="C181" s="10" t="s">
        <v>209</v>
      </c>
      <c r="D181" s="10"/>
      <c r="E181" s="38" t="str">
        <f>Pasākumu_līmenis!D125</f>
        <v>ESF</v>
      </c>
      <c r="F181" s="38" t="str">
        <f>Pasākumu_līmenis!E125</f>
        <v>LM</v>
      </c>
      <c r="G181" s="278" t="str">
        <f>VLOOKUP(A181,'2. Intervences kategorijas - Pa'!B:D,2,FALSE)</f>
        <v>09 - Veicināt sociālo iekļautību, apkarot nabadzību un jebkādu diskrimināciju</v>
      </c>
      <c r="H181" s="169">
        <f>Pasākumu_līmenis!F125</f>
        <v>1486320</v>
      </c>
      <c r="I181" s="169">
        <f>Pasākumu_līmenis!G125</f>
        <v>0</v>
      </c>
      <c r="J181" s="169">
        <f>Pasākumu_līmenis!H125</f>
        <v>1486320</v>
      </c>
      <c r="K181" s="169">
        <f>Pasākumu_līmenis!I125</f>
        <v>0</v>
      </c>
      <c r="L181" s="169">
        <f>Pasākumu_līmenis!J125</f>
        <v>1486319.49</v>
      </c>
      <c r="M181" s="170">
        <f t="shared" si="117"/>
        <v>0.99999965687066039</v>
      </c>
      <c r="N181" s="170">
        <f t="shared" si="118"/>
        <v>0</v>
      </c>
      <c r="O181" s="170">
        <f t="shared" si="125"/>
        <v>0</v>
      </c>
      <c r="P181" s="169">
        <f>Pasākumu_līmenis!N125</f>
        <v>1</v>
      </c>
      <c r="Q181" s="169">
        <v>1486319.49</v>
      </c>
      <c r="R181" s="170">
        <v>0.99999965687066039</v>
      </c>
      <c r="S181" s="169">
        <f>Pasākumu_līmenis!Q125</f>
        <v>1486319.49</v>
      </c>
      <c r="T181" s="170">
        <f t="shared" si="119"/>
        <v>0.99999965687066039</v>
      </c>
      <c r="U181" s="170">
        <f t="shared" si="120"/>
        <v>0</v>
      </c>
      <c r="V181" s="170">
        <f t="shared" si="126"/>
        <v>0</v>
      </c>
      <c r="W181" s="169">
        <f>Pasākumu_līmenis!U125</f>
        <v>1</v>
      </c>
      <c r="X181" s="169">
        <v>1486319.49</v>
      </c>
      <c r="Y181" s="170">
        <v>0.99999965687066039</v>
      </c>
      <c r="Z181" s="169">
        <f>Pasākumu_līmenis!X125</f>
        <v>1486319.49</v>
      </c>
      <c r="AA181" s="170">
        <f t="shared" si="121"/>
        <v>0.99999965687066039</v>
      </c>
      <c r="AB181" s="170">
        <f t="shared" si="122"/>
        <v>0</v>
      </c>
      <c r="AC181" s="170">
        <f t="shared" si="115"/>
        <v>0</v>
      </c>
      <c r="AD181" s="169">
        <f>Pasākumu_līmenis!AB125</f>
        <v>1</v>
      </c>
      <c r="AE181" s="169">
        <v>1486319.49</v>
      </c>
      <c r="AF181" s="170">
        <v>0.99999965687066039</v>
      </c>
      <c r="AG181" s="169">
        <f>Pasākumu_līmenis!AE125</f>
        <v>1486319.49</v>
      </c>
      <c r="AH181" s="170">
        <f t="shared" si="123"/>
        <v>0.99999965687066039</v>
      </c>
      <c r="AI181" s="170">
        <f t="shared" si="124"/>
        <v>0</v>
      </c>
      <c r="AJ181" s="170">
        <f t="shared" si="116"/>
        <v>0</v>
      </c>
      <c r="AK181" s="169">
        <v>1486319.49</v>
      </c>
      <c r="AL181" s="170">
        <v>0.99999965687066039</v>
      </c>
    </row>
    <row r="182" spans="1:38" ht="59.25" customHeight="1" x14ac:dyDescent="0.3">
      <c r="A182" s="253" t="s">
        <v>330</v>
      </c>
      <c r="B182" s="254" t="str">
        <f>VLOOKUP(A182,saīsinājumi_LV_ENG!A:G,5,FALSE)</f>
        <v>Funkcionēšanas novērtēšana un tehnisko palīglīdzekļu pieejamības izpēte</v>
      </c>
      <c r="C182" s="10" t="s">
        <v>210</v>
      </c>
      <c r="D182" s="10"/>
      <c r="E182" s="38" t="str">
        <f>Pasākumu_līmenis!D126</f>
        <v>ESF</v>
      </c>
      <c r="F182" s="38" t="str">
        <f>Pasākumu_līmenis!E126</f>
        <v>LM</v>
      </c>
      <c r="G182" s="278" t="str">
        <f>VLOOKUP(A182,'2. Intervences kategorijas - Pa'!B:D,2,FALSE)</f>
        <v>09 - Veicināt sociālo iekļautību, apkarot nabadzību un jebkādu diskrimināciju</v>
      </c>
      <c r="H182" s="169">
        <f>Pasākumu_līmenis!F126</f>
        <v>974708</v>
      </c>
      <c r="I182" s="169">
        <f>Pasākumu_līmenis!G126</f>
        <v>0</v>
      </c>
      <c r="J182" s="169">
        <f>Pasākumu_līmenis!H126</f>
        <v>974708</v>
      </c>
      <c r="K182" s="169">
        <f>Pasākumu_līmenis!I126</f>
        <v>0</v>
      </c>
      <c r="L182" s="169">
        <f>Pasākumu_līmenis!J126</f>
        <v>974635.41</v>
      </c>
      <c r="M182" s="170">
        <f t="shared" si="117"/>
        <v>0.99992552641406451</v>
      </c>
      <c r="N182" s="170">
        <f t="shared" si="118"/>
        <v>0</v>
      </c>
      <c r="O182" s="170">
        <f t="shared" si="125"/>
        <v>0</v>
      </c>
      <c r="P182" s="169">
        <f>Pasākumu_līmenis!N126</f>
        <v>1</v>
      </c>
      <c r="Q182" s="169">
        <v>974635.41</v>
      </c>
      <c r="R182" s="170">
        <v>0.99992552641406451</v>
      </c>
      <c r="S182" s="169">
        <f>Pasākumu_līmenis!Q126</f>
        <v>974635.41</v>
      </c>
      <c r="T182" s="170">
        <f t="shared" si="119"/>
        <v>0.99992552641406451</v>
      </c>
      <c r="U182" s="170">
        <f t="shared" si="120"/>
        <v>0</v>
      </c>
      <c r="V182" s="170">
        <f t="shared" si="126"/>
        <v>0</v>
      </c>
      <c r="W182" s="169">
        <f>Pasākumu_līmenis!U126</f>
        <v>1</v>
      </c>
      <c r="X182" s="169">
        <v>974635.41</v>
      </c>
      <c r="Y182" s="170">
        <v>0.99992552641406451</v>
      </c>
      <c r="Z182" s="169">
        <f>Pasākumu_līmenis!X126</f>
        <v>974635.41</v>
      </c>
      <c r="AA182" s="170">
        <f t="shared" si="121"/>
        <v>0.99992552641406451</v>
      </c>
      <c r="AB182" s="170">
        <f t="shared" si="122"/>
        <v>0</v>
      </c>
      <c r="AC182" s="170">
        <f t="shared" si="115"/>
        <v>0</v>
      </c>
      <c r="AD182" s="169">
        <f>Pasākumu_līmenis!AB126</f>
        <v>1</v>
      </c>
      <c r="AE182" s="169">
        <v>974635.41</v>
      </c>
      <c r="AF182" s="170">
        <v>0.99992552641406451</v>
      </c>
      <c r="AG182" s="169">
        <f>Pasākumu_līmenis!AE126</f>
        <v>974635.41</v>
      </c>
      <c r="AH182" s="170">
        <f t="shared" si="123"/>
        <v>0.99992552641406451</v>
      </c>
      <c r="AI182" s="170">
        <f t="shared" si="124"/>
        <v>0</v>
      </c>
      <c r="AJ182" s="170">
        <f t="shared" si="116"/>
        <v>0</v>
      </c>
      <c r="AK182" s="169">
        <v>974635.41</v>
      </c>
      <c r="AL182" s="170">
        <v>0.99992552641406451</v>
      </c>
    </row>
    <row r="183" spans="1:38" ht="39.75" customHeight="1" x14ac:dyDescent="0.3">
      <c r="A183" s="253" t="s">
        <v>331</v>
      </c>
      <c r="B183" s="254" t="str">
        <f>VLOOKUP(A183,saīsinājumi_LV_ENG!A:G,5,FALSE)</f>
        <v>Bērnu invaliditātes noteikšanas sistēmas pilnveide</v>
      </c>
      <c r="C183" s="10" t="s">
        <v>211</v>
      </c>
      <c r="D183" s="10"/>
      <c r="E183" s="38" t="str">
        <f>Pasākumu_līmenis!D127</f>
        <v>ESF</v>
      </c>
      <c r="F183" s="38" t="str">
        <f>Pasākumu_līmenis!E127</f>
        <v>LM</v>
      </c>
      <c r="G183" s="278" t="str">
        <f>VLOOKUP(A183,'2. Intervences kategorijas - Pa'!B:D,2,FALSE)</f>
        <v>09 - Veicināt sociālo iekļautību, apkarot nabadzību un jebkādu diskrimināciju</v>
      </c>
      <c r="H183" s="169">
        <f>Pasākumu_līmenis!F127</f>
        <v>259298</v>
      </c>
      <c r="I183" s="169">
        <f>Pasākumu_līmenis!G127</f>
        <v>0</v>
      </c>
      <c r="J183" s="169">
        <f>Pasākumu_līmenis!H127</f>
        <v>259298</v>
      </c>
      <c r="K183" s="169">
        <f>Pasākumu_līmenis!I127</f>
        <v>0</v>
      </c>
      <c r="L183" s="169">
        <f>Pasākumu_līmenis!J127</f>
        <v>259297.52</v>
      </c>
      <c r="M183" s="170">
        <f t="shared" si="117"/>
        <v>0.9999981488480435</v>
      </c>
      <c r="N183" s="170">
        <f t="shared" si="118"/>
        <v>0</v>
      </c>
      <c r="O183" s="170">
        <f t="shared" si="125"/>
        <v>0</v>
      </c>
      <c r="P183" s="169">
        <f>Pasākumu_līmenis!N127</f>
        <v>1</v>
      </c>
      <c r="Q183" s="169">
        <v>259297.52</v>
      </c>
      <c r="R183" s="170">
        <v>0.9999981488480435</v>
      </c>
      <c r="S183" s="169">
        <f>Pasākumu_līmenis!Q127</f>
        <v>259297.52</v>
      </c>
      <c r="T183" s="170">
        <f t="shared" si="119"/>
        <v>0.9999981488480435</v>
      </c>
      <c r="U183" s="170">
        <f t="shared" si="120"/>
        <v>0</v>
      </c>
      <c r="V183" s="170">
        <f t="shared" si="126"/>
        <v>0</v>
      </c>
      <c r="W183" s="169">
        <f>Pasākumu_līmenis!U127</f>
        <v>1</v>
      </c>
      <c r="X183" s="169">
        <v>259297.52</v>
      </c>
      <c r="Y183" s="170">
        <v>0.9999981488480435</v>
      </c>
      <c r="Z183" s="169">
        <f>Pasākumu_līmenis!X127</f>
        <v>259297.52</v>
      </c>
      <c r="AA183" s="170">
        <f t="shared" si="121"/>
        <v>0.9999981488480435</v>
      </c>
      <c r="AB183" s="170">
        <f t="shared" si="122"/>
        <v>0</v>
      </c>
      <c r="AC183" s="170">
        <f t="shared" si="115"/>
        <v>0</v>
      </c>
      <c r="AD183" s="169">
        <f>Pasākumu_līmenis!AB127</f>
        <v>1</v>
      </c>
      <c r="AE183" s="169">
        <v>259297.52</v>
      </c>
      <c r="AF183" s="170">
        <v>0.9999981488480435</v>
      </c>
      <c r="AG183" s="169">
        <f>Pasākumu_līmenis!AE127</f>
        <v>259297.52</v>
      </c>
      <c r="AH183" s="170">
        <f t="shared" si="123"/>
        <v>0.9999981488480435</v>
      </c>
      <c r="AI183" s="170">
        <f t="shared" si="124"/>
        <v>0</v>
      </c>
      <c r="AJ183" s="170">
        <f t="shared" si="116"/>
        <v>0</v>
      </c>
      <c r="AK183" s="169">
        <v>259297.52</v>
      </c>
      <c r="AL183" s="170">
        <v>0.9999981488480435</v>
      </c>
    </row>
    <row r="184" spans="1:38" ht="21" customHeight="1" x14ac:dyDescent="0.3">
      <c r="A184" s="253" t="s">
        <v>332</v>
      </c>
      <c r="B184" s="254" t="str">
        <f>VLOOKUP(A184,saīsinājumi_LV_ENG!A:G,5,FALSE)</f>
        <v>Diskriminācijas novēršana</v>
      </c>
      <c r="C184" s="10" t="s">
        <v>212</v>
      </c>
      <c r="D184" s="10"/>
      <c r="E184" s="38" t="str">
        <f>Pasākumu_līmenis!D128</f>
        <v>ESF</v>
      </c>
      <c r="F184" s="38" t="str">
        <f>Pasākumu_līmenis!E128</f>
        <v>LM</v>
      </c>
      <c r="G184" s="278" t="str">
        <f>VLOOKUP(A184,'2. Intervences kategorijas - Pa'!B:D,2,FALSE)</f>
        <v>09 - Veicināt sociālo iekļautību, apkarot nabadzību un jebkādu diskrimināciju</v>
      </c>
      <c r="H184" s="169">
        <f>Pasākumu_līmenis!F128</f>
        <v>6770468</v>
      </c>
      <c r="I184" s="169">
        <f>Pasākumu_līmenis!G128</f>
        <v>0</v>
      </c>
      <c r="J184" s="169">
        <f>Pasākumu_līmenis!H128</f>
        <v>6770468</v>
      </c>
      <c r="K184" s="169">
        <f>Pasākumu_līmenis!I128</f>
        <v>0</v>
      </c>
      <c r="L184" s="169">
        <f>Pasākumu_līmenis!J128</f>
        <v>6509427.5</v>
      </c>
      <c r="M184" s="170">
        <f t="shared" si="117"/>
        <v>0.9614442458039828</v>
      </c>
      <c r="N184" s="170">
        <f t="shared" si="118"/>
        <v>0</v>
      </c>
      <c r="O184" s="170">
        <f t="shared" si="125"/>
        <v>0</v>
      </c>
      <c r="P184" s="169">
        <f>Pasākumu_līmenis!N128</f>
        <v>1</v>
      </c>
      <c r="Q184" s="169">
        <v>6509427.5</v>
      </c>
      <c r="R184" s="170">
        <v>0.9614442458039828</v>
      </c>
      <c r="S184" s="169">
        <f>Pasākumu_līmenis!Q128</f>
        <v>6509427.5</v>
      </c>
      <c r="T184" s="170">
        <f t="shared" si="119"/>
        <v>0.9614442458039828</v>
      </c>
      <c r="U184" s="170">
        <f t="shared" si="120"/>
        <v>0</v>
      </c>
      <c r="V184" s="170">
        <f t="shared" si="126"/>
        <v>0</v>
      </c>
      <c r="W184" s="169">
        <f>Pasākumu_līmenis!U128</f>
        <v>1</v>
      </c>
      <c r="X184" s="169">
        <v>6509427.5</v>
      </c>
      <c r="Y184" s="170">
        <v>0.9614442458039828</v>
      </c>
      <c r="Z184" s="169">
        <f>Pasākumu_līmenis!X128</f>
        <v>6509427.5</v>
      </c>
      <c r="AA184" s="170">
        <f t="shared" si="121"/>
        <v>0.9614442458039828</v>
      </c>
      <c r="AB184" s="170">
        <f t="shared" si="122"/>
        <v>0</v>
      </c>
      <c r="AC184" s="170">
        <f t="shared" si="115"/>
        <v>0</v>
      </c>
      <c r="AD184" s="169">
        <f>Pasākumu_līmenis!AB128</f>
        <v>1</v>
      </c>
      <c r="AE184" s="169">
        <v>6509427.5</v>
      </c>
      <c r="AF184" s="170">
        <v>0.9614442458039828</v>
      </c>
      <c r="AG184" s="169">
        <f>Pasākumu_līmenis!AE128</f>
        <v>6509427.5</v>
      </c>
      <c r="AH184" s="170">
        <f t="shared" si="123"/>
        <v>0.9614442458039828</v>
      </c>
      <c r="AI184" s="170">
        <f t="shared" si="124"/>
        <v>0</v>
      </c>
      <c r="AJ184" s="170">
        <f t="shared" si="116"/>
        <v>0</v>
      </c>
      <c r="AK184" s="169">
        <v>6509427.5</v>
      </c>
      <c r="AL184" s="170">
        <v>0.9614442458039828</v>
      </c>
    </row>
    <row r="185" spans="1:38" ht="59.25" customHeight="1" x14ac:dyDescent="0.3">
      <c r="A185" s="249" t="s">
        <v>129</v>
      </c>
      <c r="B185" s="250" t="str">
        <f>VLOOKUP(A185,saīsinājumi_LV_ENG!A:G,5,FALSE)</f>
        <v>Piekļuves uzlabošana kvalitatīviem veselības aprūpes un sociālajiem pakalpojumiem</v>
      </c>
      <c r="C185" s="215" t="s">
        <v>380</v>
      </c>
      <c r="D185" s="215"/>
      <c r="E185" s="217"/>
      <c r="F185" s="217"/>
      <c r="G185" s="276"/>
      <c r="H185" s="218">
        <f>H186+H190+H194+H195+H198+H199+H200</f>
        <v>137047624</v>
      </c>
      <c r="I185" s="218">
        <f>I186+I190+I194+I195+I198+I199+I200</f>
        <v>1589796</v>
      </c>
      <c r="J185" s="218">
        <f>J186+J190+J194+J195+J198+J199+J200</f>
        <v>138637420</v>
      </c>
      <c r="K185" s="218">
        <f>K186+K190+K194+K195+K198+K199</f>
        <v>3167387</v>
      </c>
      <c r="L185" s="218">
        <f>L186+L190+L194+L195+L198+L199+L200</f>
        <v>137395247.25999999</v>
      </c>
      <c r="M185" s="219">
        <f t="shared" si="117"/>
        <v>1.0025365143141773</v>
      </c>
      <c r="N185" s="219">
        <f t="shared" si="118"/>
        <v>0</v>
      </c>
      <c r="O185" s="219">
        <f t="shared" si="125"/>
        <v>0</v>
      </c>
      <c r="P185" s="218">
        <f>P186+P190+P194+P195+P198+P199+P200</f>
        <v>165</v>
      </c>
      <c r="Q185" s="218">
        <v>137395247.25999999</v>
      </c>
      <c r="R185" s="219">
        <v>1.0025365143141773</v>
      </c>
      <c r="S185" s="218">
        <f>S186+S190+S194+S195+S198+S199+S200</f>
        <v>137395247.25999999</v>
      </c>
      <c r="T185" s="219">
        <f t="shared" si="119"/>
        <v>1.0025365143141773</v>
      </c>
      <c r="U185" s="219">
        <f t="shared" si="120"/>
        <v>0</v>
      </c>
      <c r="V185" s="219">
        <f t="shared" si="126"/>
        <v>0</v>
      </c>
      <c r="W185" s="218">
        <f>W186+W190+W194+W195+W198+W199+W200</f>
        <v>165</v>
      </c>
      <c r="X185" s="218">
        <v>137395247.25999999</v>
      </c>
      <c r="Y185" s="219">
        <v>1.0025365143141773</v>
      </c>
      <c r="Z185" s="218">
        <f>Z186+Z190+Z194+Z195+Z198+Z199+Z200</f>
        <v>137395247.25999999</v>
      </c>
      <c r="AA185" s="219">
        <f t="shared" si="121"/>
        <v>1.0025365143141773</v>
      </c>
      <c r="AB185" s="219">
        <f t="shared" si="122"/>
        <v>0</v>
      </c>
      <c r="AC185" s="219">
        <f t="shared" si="115"/>
        <v>0</v>
      </c>
      <c r="AD185" s="218">
        <f>AD186+AD190+AD194+AD195+AD198+AD199+AD200</f>
        <v>165</v>
      </c>
      <c r="AE185" s="218">
        <v>137395247.25999999</v>
      </c>
      <c r="AF185" s="219">
        <v>1.0025365143141773</v>
      </c>
      <c r="AG185" s="218">
        <f>AG186+AG190+AG194+AG195+AG198+AG199+AG200</f>
        <v>137389678.51999998</v>
      </c>
      <c r="AH185" s="219">
        <f t="shared" si="123"/>
        <v>1.002495880702025</v>
      </c>
      <c r="AI185" s="219">
        <f t="shared" si="124"/>
        <v>0</v>
      </c>
      <c r="AJ185" s="219">
        <f t="shared" si="116"/>
        <v>0</v>
      </c>
      <c r="AK185" s="218">
        <v>137389678.51999998</v>
      </c>
      <c r="AL185" s="219">
        <v>1.002495880702025</v>
      </c>
    </row>
    <row r="186" spans="1:38" ht="39.75" customHeight="1" x14ac:dyDescent="0.3">
      <c r="A186" s="251" t="s">
        <v>453</v>
      </c>
      <c r="B186" s="252" t="str">
        <f>VLOOKUP(A186,saīsinājumi_LV_ENG!A:G,5,FALSE)</f>
        <v>Sociālo dienestu darba efektivitātes paaugstināšana</v>
      </c>
      <c r="C186" s="220" t="s">
        <v>618</v>
      </c>
      <c r="D186" s="220"/>
      <c r="E186" s="222"/>
      <c r="F186" s="222"/>
      <c r="G186" s="277"/>
      <c r="H186" s="223">
        <f>SUM(H187:H189)</f>
        <v>13209926</v>
      </c>
      <c r="I186" s="223">
        <f>SUM(I187:I189)</f>
        <v>0</v>
      </c>
      <c r="J186" s="223">
        <f>SUM(J187:J189)</f>
        <v>13209926</v>
      </c>
      <c r="K186" s="223">
        <f>SUM(K187:K189)</f>
        <v>0</v>
      </c>
      <c r="L186" s="223">
        <f>SUM(L187:L189)</f>
        <v>13071401.470000001</v>
      </c>
      <c r="M186" s="224">
        <f t="shared" si="117"/>
        <v>0.98951360287710932</v>
      </c>
      <c r="N186" s="224">
        <f t="shared" si="118"/>
        <v>0</v>
      </c>
      <c r="O186" s="224">
        <f t="shared" si="125"/>
        <v>0</v>
      </c>
      <c r="P186" s="223">
        <f>SUM(P187:P189)</f>
        <v>3</v>
      </c>
      <c r="Q186" s="223">
        <v>13071401.470000001</v>
      </c>
      <c r="R186" s="224">
        <v>0.98951360287710932</v>
      </c>
      <c r="S186" s="223">
        <f>SUM(S187:S189)</f>
        <v>13071401.470000001</v>
      </c>
      <c r="T186" s="224">
        <f t="shared" si="119"/>
        <v>0.98951360287710932</v>
      </c>
      <c r="U186" s="224">
        <f t="shared" si="120"/>
        <v>0</v>
      </c>
      <c r="V186" s="224">
        <f t="shared" si="126"/>
        <v>0</v>
      </c>
      <c r="W186" s="223">
        <f>SUM(W187:W189)</f>
        <v>3</v>
      </c>
      <c r="X186" s="223">
        <v>13071401.470000001</v>
      </c>
      <c r="Y186" s="224">
        <v>0.98951360287710932</v>
      </c>
      <c r="Z186" s="223">
        <f>SUM(Z187:Z189)</f>
        <v>13071401.470000001</v>
      </c>
      <c r="AA186" s="224">
        <f t="shared" si="121"/>
        <v>0.98951360287710932</v>
      </c>
      <c r="AB186" s="224">
        <f t="shared" si="122"/>
        <v>0</v>
      </c>
      <c r="AC186" s="224">
        <f t="shared" si="115"/>
        <v>0</v>
      </c>
      <c r="AD186" s="223">
        <f>SUM(AD187:AD189)</f>
        <v>3</v>
      </c>
      <c r="AE186" s="223">
        <v>13071401.470000001</v>
      </c>
      <c r="AF186" s="224">
        <v>0.98951360287710932</v>
      </c>
      <c r="AG186" s="223">
        <f>SUM(AG187:AG189)</f>
        <v>13071401.48</v>
      </c>
      <c r="AH186" s="224">
        <f t="shared" si="123"/>
        <v>0.98951360363411578</v>
      </c>
      <c r="AI186" s="224">
        <f t="shared" si="124"/>
        <v>0</v>
      </c>
      <c r="AJ186" s="224">
        <f t="shared" si="116"/>
        <v>0</v>
      </c>
      <c r="AK186" s="223">
        <v>13071401.48</v>
      </c>
      <c r="AL186" s="224">
        <v>0.98951360363411578</v>
      </c>
    </row>
    <row r="187" spans="1:38" ht="39.75" customHeight="1" x14ac:dyDescent="0.3">
      <c r="A187" s="253" t="s">
        <v>333</v>
      </c>
      <c r="B187" s="254" t="str">
        <f>VLOOKUP(A187,saīsinājumi_LV_ENG!A:G,5,FALSE)</f>
        <v>Profesionāla sociālā darba attīstība</v>
      </c>
      <c r="C187" s="10" t="s">
        <v>213</v>
      </c>
      <c r="D187" s="10"/>
      <c r="E187" s="38" t="str">
        <f>Pasākumu_līmenis!D129</f>
        <v>ESF</v>
      </c>
      <c r="F187" s="38" t="str">
        <f>Pasākumu_līmenis!E129</f>
        <v>LM</v>
      </c>
      <c r="G187" s="278" t="str">
        <f>VLOOKUP(A187,'2. Intervences kategorijas - Pa'!B:D,2,FALSE)</f>
        <v>09 - Veicināt sociālo iekļautību, apkarot nabadzību un jebkādu diskrimināciju</v>
      </c>
      <c r="H187" s="169">
        <f>Pasākumu_līmenis!F129</f>
        <v>8955085</v>
      </c>
      <c r="I187" s="169">
        <f>Pasākumu_līmenis!G129</f>
        <v>0</v>
      </c>
      <c r="J187" s="169">
        <f>Pasākumu_līmenis!H129</f>
        <v>8955085</v>
      </c>
      <c r="K187" s="169">
        <f>Pasākumu_līmenis!I129</f>
        <v>0</v>
      </c>
      <c r="L187" s="169">
        <f>Pasākumu_līmenis!J129</f>
        <v>8826837.9700000007</v>
      </c>
      <c r="M187" s="170">
        <f t="shared" si="117"/>
        <v>0.98567885955298029</v>
      </c>
      <c r="N187" s="170">
        <f t="shared" si="118"/>
        <v>0</v>
      </c>
      <c r="O187" s="170">
        <f t="shared" si="125"/>
        <v>0</v>
      </c>
      <c r="P187" s="169">
        <f>Pasākumu_līmenis!N129</f>
        <v>1</v>
      </c>
      <c r="Q187" s="169">
        <v>8826837.9700000007</v>
      </c>
      <c r="R187" s="170">
        <v>0.98567885955298029</v>
      </c>
      <c r="S187" s="169">
        <f>Pasākumu_līmenis!Q129</f>
        <v>8826837.9700000007</v>
      </c>
      <c r="T187" s="170">
        <f t="shared" si="119"/>
        <v>0.98567885955298029</v>
      </c>
      <c r="U187" s="170">
        <f t="shared" si="120"/>
        <v>0</v>
      </c>
      <c r="V187" s="170">
        <f t="shared" si="126"/>
        <v>0</v>
      </c>
      <c r="W187" s="169">
        <f>Pasākumu_līmenis!U129</f>
        <v>1</v>
      </c>
      <c r="X187" s="169">
        <v>8826837.9700000007</v>
      </c>
      <c r="Y187" s="170">
        <v>0.98567885955298029</v>
      </c>
      <c r="Z187" s="169">
        <f>Pasākumu_līmenis!X129</f>
        <v>8826837.9700000007</v>
      </c>
      <c r="AA187" s="170">
        <f t="shared" si="121"/>
        <v>0.98567885955298029</v>
      </c>
      <c r="AB187" s="170">
        <f t="shared" si="122"/>
        <v>0</v>
      </c>
      <c r="AC187" s="170">
        <f t="shared" si="115"/>
        <v>0</v>
      </c>
      <c r="AD187" s="169">
        <f>Pasākumu_līmenis!AB129</f>
        <v>1</v>
      </c>
      <c r="AE187" s="169">
        <v>8826837.9700000007</v>
      </c>
      <c r="AF187" s="170">
        <v>0.98567885955298029</v>
      </c>
      <c r="AG187" s="169">
        <f>Pasākumu_līmenis!AE129</f>
        <v>8826837.9700000007</v>
      </c>
      <c r="AH187" s="170">
        <f t="shared" si="123"/>
        <v>0.98567885955298029</v>
      </c>
      <c r="AI187" s="170">
        <f t="shared" si="124"/>
        <v>0</v>
      </c>
      <c r="AJ187" s="170">
        <f t="shared" si="116"/>
        <v>0</v>
      </c>
      <c r="AK187" s="169">
        <v>8826837.9700000007</v>
      </c>
      <c r="AL187" s="170">
        <v>0.98567885955298029</v>
      </c>
    </row>
    <row r="188" spans="1:38" ht="39.75" customHeight="1" x14ac:dyDescent="0.3">
      <c r="A188" s="253" t="s">
        <v>334</v>
      </c>
      <c r="B188" s="254" t="str">
        <f>VLOOKUP(A188,saīsinājumi_LV_ENG!A:G,5,FALSE)</f>
        <v>Iekļaujoša darba tirgus un nabadzības risku pētījumi</v>
      </c>
      <c r="C188" s="10" t="s">
        <v>214</v>
      </c>
      <c r="D188" s="10"/>
      <c r="E188" s="38" t="str">
        <f>Pasākumu_līmenis!D130</f>
        <v>ESF</v>
      </c>
      <c r="F188" s="38" t="str">
        <f>Pasākumu_līmenis!E130</f>
        <v>LM</v>
      </c>
      <c r="G188" s="278" t="str">
        <f>VLOOKUP(A188,'2. Intervences kategorijas - Pa'!B:D,2,FALSE)</f>
        <v>09 - Veicināt sociālo iekļautību, apkarot nabadzību un jebkādu diskrimināciju</v>
      </c>
      <c r="H188" s="169">
        <f>Pasākumu_līmenis!F130</f>
        <v>928452</v>
      </c>
      <c r="I188" s="169">
        <f>Pasākumu_līmenis!G130</f>
        <v>0</v>
      </c>
      <c r="J188" s="169">
        <f>Pasākumu_līmenis!H130</f>
        <v>928452</v>
      </c>
      <c r="K188" s="169">
        <f>Pasākumu_līmenis!I130</f>
        <v>0</v>
      </c>
      <c r="L188" s="169">
        <f>Pasākumu_līmenis!J130</f>
        <v>928452</v>
      </c>
      <c r="M188" s="170">
        <f t="shared" si="117"/>
        <v>1</v>
      </c>
      <c r="N188" s="170">
        <f t="shared" si="118"/>
        <v>0</v>
      </c>
      <c r="O188" s="170">
        <f t="shared" si="125"/>
        <v>0</v>
      </c>
      <c r="P188" s="169">
        <f>Pasākumu_līmenis!N130</f>
        <v>1</v>
      </c>
      <c r="Q188" s="169">
        <v>928452</v>
      </c>
      <c r="R188" s="170">
        <v>1</v>
      </c>
      <c r="S188" s="169">
        <f>Pasākumu_līmenis!Q130</f>
        <v>928452</v>
      </c>
      <c r="T188" s="170">
        <f t="shared" si="119"/>
        <v>1</v>
      </c>
      <c r="U188" s="170">
        <f t="shared" si="120"/>
        <v>0</v>
      </c>
      <c r="V188" s="170">
        <f t="shared" si="126"/>
        <v>0</v>
      </c>
      <c r="W188" s="169">
        <f>Pasākumu_līmenis!U130</f>
        <v>1</v>
      </c>
      <c r="X188" s="169">
        <v>928452</v>
      </c>
      <c r="Y188" s="170">
        <v>1</v>
      </c>
      <c r="Z188" s="169">
        <f>Pasākumu_līmenis!X130</f>
        <v>928452</v>
      </c>
      <c r="AA188" s="170">
        <f t="shared" si="121"/>
        <v>1</v>
      </c>
      <c r="AB188" s="170">
        <f t="shared" si="122"/>
        <v>0</v>
      </c>
      <c r="AC188" s="170">
        <f t="shared" si="115"/>
        <v>0</v>
      </c>
      <c r="AD188" s="169">
        <f>Pasākumu_līmenis!AB130</f>
        <v>1</v>
      </c>
      <c r="AE188" s="169">
        <v>928452</v>
      </c>
      <c r="AF188" s="170">
        <v>1</v>
      </c>
      <c r="AG188" s="169">
        <f>Pasākumu_līmenis!AE130</f>
        <v>928452</v>
      </c>
      <c r="AH188" s="170">
        <f t="shared" si="123"/>
        <v>1</v>
      </c>
      <c r="AI188" s="170">
        <f t="shared" si="124"/>
        <v>0</v>
      </c>
      <c r="AJ188" s="170">
        <f t="shared" si="116"/>
        <v>0</v>
      </c>
      <c r="AK188" s="169">
        <v>928452</v>
      </c>
      <c r="AL188" s="170">
        <v>1</v>
      </c>
    </row>
    <row r="189" spans="1:38" ht="59.25" customHeight="1" x14ac:dyDescent="0.3">
      <c r="A189" s="253" t="s">
        <v>335</v>
      </c>
      <c r="B189" s="254" t="str">
        <f>VLOOKUP(A189,saīsinājumi_LV_ENG!A:G,5,FALSE)</f>
        <v>Atbalsts speciālistiem darbam ar bērniem ar uzvedības un saskarsmes traucējumiem</v>
      </c>
      <c r="C189" s="10" t="s">
        <v>215</v>
      </c>
      <c r="D189" s="10"/>
      <c r="E189" s="38" t="str">
        <f>Pasākumu_līmenis!D131</f>
        <v>ESF</v>
      </c>
      <c r="F189" s="38" t="str">
        <f>Pasākumu_līmenis!E131</f>
        <v>LM</v>
      </c>
      <c r="G189" s="278" t="str">
        <f>VLOOKUP(A189,'2. Intervences kategorijas - Pa'!B:D,2,FALSE)</f>
        <v>09 - Veicināt sociālo iekļautību, apkarot nabadzību un jebkādu diskrimināciju</v>
      </c>
      <c r="H189" s="169">
        <f>Pasākumu_līmenis!F131</f>
        <v>3326389</v>
      </c>
      <c r="I189" s="169">
        <f>Pasākumu_līmenis!G131</f>
        <v>0</v>
      </c>
      <c r="J189" s="169">
        <f>Pasākumu_līmenis!H131</f>
        <v>3326389</v>
      </c>
      <c r="K189" s="169">
        <f>Pasākumu_līmenis!I131</f>
        <v>0</v>
      </c>
      <c r="L189" s="169">
        <f>Pasākumu_līmenis!J131</f>
        <v>3316111.5</v>
      </c>
      <c r="M189" s="170">
        <f t="shared" si="117"/>
        <v>0.99691031325560542</v>
      </c>
      <c r="N189" s="170">
        <f t="shared" si="118"/>
        <v>0</v>
      </c>
      <c r="O189" s="170">
        <f t="shared" si="125"/>
        <v>0</v>
      </c>
      <c r="P189" s="169">
        <f>Pasākumu_līmenis!N131</f>
        <v>1</v>
      </c>
      <c r="Q189" s="169">
        <v>3316111.5</v>
      </c>
      <c r="R189" s="170">
        <v>0.99691031325560542</v>
      </c>
      <c r="S189" s="169">
        <f>Pasākumu_līmenis!Q131</f>
        <v>3316111.5</v>
      </c>
      <c r="T189" s="170">
        <f t="shared" si="119"/>
        <v>0.99691031325560542</v>
      </c>
      <c r="U189" s="170">
        <f t="shared" si="120"/>
        <v>0</v>
      </c>
      <c r="V189" s="170">
        <f t="shared" si="126"/>
        <v>0</v>
      </c>
      <c r="W189" s="169">
        <f>Pasākumu_līmenis!U131</f>
        <v>1</v>
      </c>
      <c r="X189" s="169">
        <v>3316111.5</v>
      </c>
      <c r="Y189" s="170">
        <v>0.99691031325560542</v>
      </c>
      <c r="Z189" s="169">
        <f>Pasākumu_līmenis!X131</f>
        <v>3316111.5</v>
      </c>
      <c r="AA189" s="170">
        <f t="shared" si="121"/>
        <v>0.99691031325560542</v>
      </c>
      <c r="AB189" s="170">
        <f t="shared" si="122"/>
        <v>0</v>
      </c>
      <c r="AC189" s="170">
        <f t="shared" si="115"/>
        <v>0</v>
      </c>
      <c r="AD189" s="169">
        <f>Pasākumu_līmenis!AB131</f>
        <v>1</v>
      </c>
      <c r="AE189" s="169">
        <v>3316111.5</v>
      </c>
      <c r="AF189" s="170">
        <v>0.99691031325560542</v>
      </c>
      <c r="AG189" s="169">
        <f>Pasākumu_līmenis!AE131</f>
        <v>3316111.51</v>
      </c>
      <c r="AH189" s="170">
        <f t="shared" si="123"/>
        <v>0.99691031626186832</v>
      </c>
      <c r="AI189" s="170">
        <f t="shared" si="124"/>
        <v>0</v>
      </c>
      <c r="AJ189" s="170">
        <f t="shared" si="116"/>
        <v>0</v>
      </c>
      <c r="AK189" s="169">
        <v>3316111.51</v>
      </c>
      <c r="AL189" s="170">
        <v>0.99691031626186832</v>
      </c>
    </row>
    <row r="190" spans="1:38" ht="93" customHeight="1" x14ac:dyDescent="0.3">
      <c r="A190" s="251" t="s">
        <v>454</v>
      </c>
      <c r="B190" s="252" t="str">
        <f>VLOOKUP(A190,saīsinājumi_LV_ENG!A:G,5,FALSE)</f>
        <v xml:space="preserve">Sabiedrībā balstīti sociālie pakalpojumi personām ar invaliditāti un ģimeniskai videi pietuvināti pakalpojumi bērniem </v>
      </c>
      <c r="C190" s="220" t="s">
        <v>136</v>
      </c>
      <c r="D190" s="220"/>
      <c r="E190" s="222"/>
      <c r="F190" s="222"/>
      <c r="G190" s="277"/>
      <c r="H190" s="223">
        <f>SUM(H191:H193)</f>
        <v>53552788</v>
      </c>
      <c r="I190" s="223">
        <f>SUM(I191:I193)</f>
        <v>0</v>
      </c>
      <c r="J190" s="223">
        <f>SUM(J191:J193)</f>
        <v>53552788</v>
      </c>
      <c r="K190" s="223">
        <f>SUM(K191:K193)</f>
        <v>3167387</v>
      </c>
      <c r="L190" s="223">
        <f>SUM(L191:L193)</f>
        <v>53162289.199999996</v>
      </c>
      <c r="M190" s="224">
        <f t="shared" si="117"/>
        <v>0.99270815181461691</v>
      </c>
      <c r="N190" s="224">
        <f t="shared" si="118"/>
        <v>0</v>
      </c>
      <c r="O190" s="224">
        <f t="shared" si="125"/>
        <v>0</v>
      </c>
      <c r="P190" s="223">
        <f>SUM(P191:P193)</f>
        <v>61</v>
      </c>
      <c r="Q190" s="223">
        <v>53162289.199999996</v>
      </c>
      <c r="R190" s="224">
        <v>0.99270815181461691</v>
      </c>
      <c r="S190" s="223">
        <f>SUM(S191:S193)</f>
        <v>53162289.199999996</v>
      </c>
      <c r="T190" s="224">
        <f t="shared" si="119"/>
        <v>0.99270815181461691</v>
      </c>
      <c r="U190" s="224">
        <f t="shared" si="120"/>
        <v>0</v>
      </c>
      <c r="V190" s="224">
        <f t="shared" si="126"/>
        <v>0</v>
      </c>
      <c r="W190" s="223">
        <f>SUM(W191:W193)</f>
        <v>61</v>
      </c>
      <c r="X190" s="223">
        <v>53162289.199999996</v>
      </c>
      <c r="Y190" s="224">
        <v>0.99270815181461691</v>
      </c>
      <c r="Z190" s="223">
        <f>SUM(Z191:Z193)</f>
        <v>53162289.199999996</v>
      </c>
      <c r="AA190" s="224">
        <f t="shared" si="121"/>
        <v>0.99270815181461691</v>
      </c>
      <c r="AB190" s="224">
        <f t="shared" si="122"/>
        <v>0</v>
      </c>
      <c r="AC190" s="224">
        <f t="shared" si="115"/>
        <v>0</v>
      </c>
      <c r="AD190" s="223">
        <f>SUM(AD191:AD193)</f>
        <v>61</v>
      </c>
      <c r="AE190" s="223">
        <v>53162289.199999996</v>
      </c>
      <c r="AF190" s="224">
        <v>0.99270815181461691</v>
      </c>
      <c r="AG190" s="223">
        <f>SUM(AG191:AG193)</f>
        <v>53162289.199999996</v>
      </c>
      <c r="AH190" s="224">
        <f t="shared" si="123"/>
        <v>0.99270815181461691</v>
      </c>
      <c r="AI190" s="224">
        <f t="shared" si="124"/>
        <v>0</v>
      </c>
      <c r="AJ190" s="224">
        <f t="shared" si="116"/>
        <v>0</v>
      </c>
      <c r="AK190" s="223">
        <v>53162289.199999996</v>
      </c>
      <c r="AL190" s="224">
        <v>0.99270815181461691</v>
      </c>
    </row>
    <row r="191" spans="1:38" ht="21" customHeight="1" x14ac:dyDescent="0.3">
      <c r="A191" s="253" t="s">
        <v>336</v>
      </c>
      <c r="B191" s="254" t="str">
        <f>VLOOKUP(A191,saīsinājumi_LV_ENG!A:G,5,FALSE)</f>
        <v>Deinstitucionalizācija</v>
      </c>
      <c r="C191" s="10" t="s">
        <v>216</v>
      </c>
      <c r="D191" s="10"/>
      <c r="E191" s="38" t="str">
        <f>Pasākumu_līmenis!D132</f>
        <v>ESF</v>
      </c>
      <c r="F191" s="38" t="str">
        <f>Pasākumu_līmenis!E132</f>
        <v>LM</v>
      </c>
      <c r="G191" s="278" t="str">
        <f>VLOOKUP(A191,'2. Intervences kategorijas - Pa'!B:D,2,FALSE)</f>
        <v>09 - Veicināt sociālo iekļautību, apkarot nabadzību un jebkādu diskrimināciju</v>
      </c>
      <c r="H191" s="169">
        <f>Pasākumu_līmenis!F132</f>
        <v>41907354</v>
      </c>
      <c r="I191" s="169">
        <f>Pasākumu_līmenis!G132</f>
        <v>0</v>
      </c>
      <c r="J191" s="169">
        <f>Pasākumu_līmenis!H132</f>
        <v>41907354</v>
      </c>
      <c r="K191" s="169">
        <f>Pasākumu_līmenis!I132</f>
        <v>3167387</v>
      </c>
      <c r="L191" s="169">
        <f>Pasākumu_līmenis!J132</f>
        <v>41806492.579999998</v>
      </c>
      <c r="M191" s="170">
        <f t="shared" si="117"/>
        <v>0.99759322862521926</v>
      </c>
      <c r="N191" s="170">
        <f>M191-R191</f>
        <v>0</v>
      </c>
      <c r="O191" s="170">
        <f>IFERROR(((L191-Q191)/Q191),0)</f>
        <v>0</v>
      </c>
      <c r="P191" s="169">
        <f>Pasākumu_līmenis!N132</f>
        <v>5</v>
      </c>
      <c r="Q191" s="169">
        <v>41806492.579999998</v>
      </c>
      <c r="R191" s="170">
        <v>0.99759322862521926</v>
      </c>
      <c r="S191" s="169">
        <f>Pasākumu_līmenis!Q132</f>
        <v>41806492.579999998</v>
      </c>
      <c r="T191" s="170">
        <f t="shared" si="119"/>
        <v>0.99759322862521926</v>
      </c>
      <c r="U191" s="170">
        <f t="shared" si="120"/>
        <v>0</v>
      </c>
      <c r="V191" s="170">
        <f t="shared" si="126"/>
        <v>0</v>
      </c>
      <c r="W191" s="169">
        <f>Pasākumu_līmenis!U132</f>
        <v>5</v>
      </c>
      <c r="X191" s="169">
        <v>41806492.579999998</v>
      </c>
      <c r="Y191" s="170">
        <v>0.99759322862521926</v>
      </c>
      <c r="Z191" s="169">
        <f>Pasākumu_līmenis!X132</f>
        <v>41806492.579999998</v>
      </c>
      <c r="AA191" s="170">
        <f t="shared" si="121"/>
        <v>0.99759322862521926</v>
      </c>
      <c r="AB191" s="170">
        <f t="shared" si="122"/>
        <v>0</v>
      </c>
      <c r="AC191" s="170">
        <f t="shared" si="115"/>
        <v>0</v>
      </c>
      <c r="AD191" s="169">
        <f>Pasākumu_līmenis!AB132</f>
        <v>5</v>
      </c>
      <c r="AE191" s="169">
        <v>41806492.579999998</v>
      </c>
      <c r="AF191" s="170">
        <v>0.99759322862521926</v>
      </c>
      <c r="AG191" s="169">
        <f>Pasākumu_līmenis!AE132</f>
        <v>41806492.579999998</v>
      </c>
      <c r="AH191" s="170">
        <f t="shared" si="123"/>
        <v>0.99759322862521926</v>
      </c>
      <c r="AI191" s="170">
        <f t="shared" si="124"/>
        <v>0</v>
      </c>
      <c r="AJ191" s="170">
        <f t="shared" si="116"/>
        <v>0</v>
      </c>
      <c r="AK191" s="169">
        <v>41806492.579999998</v>
      </c>
      <c r="AL191" s="170">
        <v>0.99759322862521926</v>
      </c>
    </row>
    <row r="192" spans="1:38" ht="39.75" customHeight="1" x14ac:dyDescent="0.3">
      <c r="A192" s="253" t="s">
        <v>337</v>
      </c>
      <c r="B192" s="254" t="str">
        <f>VLOOKUP(A192,saīsinājumi_LV_ENG!A:G,5,FALSE)</f>
        <v>Sociālo pakalpojumu sistēmas pilnveide</v>
      </c>
      <c r="C192" s="10" t="s">
        <v>217</v>
      </c>
      <c r="D192" s="10"/>
      <c r="E192" s="38" t="str">
        <f>Pasākumu_līmenis!D133</f>
        <v>ESF</v>
      </c>
      <c r="F192" s="38" t="str">
        <f>Pasākumu_līmenis!E133</f>
        <v>LM</v>
      </c>
      <c r="G192" s="278" t="str">
        <f>VLOOKUP(A192,'2. Intervences kategorijas - Pa'!B:D,2,FALSE)</f>
        <v>09 - Veicināt sociālo iekļautību, apkarot nabadzību un jebkādu diskrimināciju</v>
      </c>
      <c r="H192" s="169">
        <f>Pasākumu_līmenis!F133</f>
        <v>4349512</v>
      </c>
      <c r="I192" s="169">
        <f>Pasākumu_līmenis!G133</f>
        <v>0</v>
      </c>
      <c r="J192" s="169">
        <f>Pasākumu_līmenis!H133</f>
        <v>4349512</v>
      </c>
      <c r="K192" s="169">
        <f>Pasākumu_līmenis!I133</f>
        <v>0</v>
      </c>
      <c r="L192" s="169">
        <f>Pasākumu_līmenis!J133</f>
        <v>4269595.83</v>
      </c>
      <c r="M192" s="170">
        <f t="shared" si="117"/>
        <v>0.98162640544502466</v>
      </c>
      <c r="N192" s="170">
        <f t="shared" si="118"/>
        <v>0</v>
      </c>
      <c r="O192" s="170">
        <f t="shared" si="125"/>
        <v>0</v>
      </c>
      <c r="P192" s="169">
        <f>Pasākumu_līmenis!N133</f>
        <v>1</v>
      </c>
      <c r="Q192" s="169">
        <v>4269595.83</v>
      </c>
      <c r="R192" s="170">
        <v>0.98162640544502466</v>
      </c>
      <c r="S192" s="169">
        <f>Pasākumu_līmenis!Q133</f>
        <v>4269595.83</v>
      </c>
      <c r="T192" s="170">
        <f t="shared" si="119"/>
        <v>0.98162640544502466</v>
      </c>
      <c r="U192" s="170">
        <f t="shared" si="120"/>
        <v>0</v>
      </c>
      <c r="V192" s="170">
        <f t="shared" si="126"/>
        <v>0</v>
      </c>
      <c r="W192" s="169">
        <f>Pasākumu_līmenis!U133</f>
        <v>1</v>
      </c>
      <c r="X192" s="169">
        <v>4269595.83</v>
      </c>
      <c r="Y192" s="170">
        <v>0.98162640544502466</v>
      </c>
      <c r="Z192" s="169">
        <f>Pasākumu_līmenis!X133</f>
        <v>4269595.83</v>
      </c>
      <c r="AA192" s="170">
        <f t="shared" si="121"/>
        <v>0.98162640544502466</v>
      </c>
      <c r="AB192" s="170">
        <f t="shared" si="122"/>
        <v>0</v>
      </c>
      <c r="AC192" s="170">
        <f t="shared" si="115"/>
        <v>0</v>
      </c>
      <c r="AD192" s="169">
        <f>Pasākumu_līmenis!AB133</f>
        <v>1</v>
      </c>
      <c r="AE192" s="169">
        <v>4269595.83</v>
      </c>
      <c r="AF192" s="170">
        <v>0.98162640544502466</v>
      </c>
      <c r="AG192" s="169">
        <f>Pasākumu_līmenis!AE133</f>
        <v>4269595.83</v>
      </c>
      <c r="AH192" s="170">
        <f t="shared" si="123"/>
        <v>0.98162640544502466</v>
      </c>
      <c r="AI192" s="170">
        <f t="shared" si="124"/>
        <v>0</v>
      </c>
      <c r="AJ192" s="170">
        <f t="shared" si="116"/>
        <v>0</v>
      </c>
      <c r="AK192" s="169">
        <v>4269595.83</v>
      </c>
      <c r="AL192" s="170">
        <v>0.98162640544502466</v>
      </c>
    </row>
    <row r="193" spans="1:38" ht="39.75" customHeight="1" x14ac:dyDescent="0.3">
      <c r="A193" s="253" t="s">
        <v>1247</v>
      </c>
      <c r="B193" s="254" t="str">
        <f>VLOOKUP(A193,saīsinājumi_LV_ENG!A:G,5,FALSE)</f>
        <v>Sabiedrībā balstītu sociālo pakalpojumu sniegšana</v>
      </c>
      <c r="C193" s="10"/>
      <c r="D193" s="10"/>
      <c r="E193" s="38" t="str">
        <f>Pasākumu_līmenis!D134</f>
        <v>ESF</v>
      </c>
      <c r="F193" s="38" t="str">
        <f>Pasākumu_līmenis!E134</f>
        <v>LM</v>
      </c>
      <c r="G193" s="278" t="s">
        <v>1258</v>
      </c>
      <c r="H193" s="169">
        <f>Pasākumu_līmenis!F134</f>
        <v>7295922</v>
      </c>
      <c r="I193" s="169">
        <f>Pasākumu_līmenis!G134</f>
        <v>0</v>
      </c>
      <c r="J193" s="169">
        <f>Pasākumu_līmenis!H134</f>
        <v>7295922</v>
      </c>
      <c r="K193" s="169">
        <f>Pasākumu_līmenis!I134</f>
        <v>0</v>
      </c>
      <c r="L193" s="169">
        <f>Pasākumu_līmenis!J134</f>
        <v>7086200.79</v>
      </c>
      <c r="M193" s="170">
        <f t="shared" si="117"/>
        <v>0.97125500930519815</v>
      </c>
      <c r="N193" s="170">
        <f t="shared" si="118"/>
        <v>0</v>
      </c>
      <c r="O193" s="170">
        <f t="shared" si="125"/>
        <v>0</v>
      </c>
      <c r="P193" s="169">
        <f>Pasākumu_līmenis!N134</f>
        <v>55</v>
      </c>
      <c r="Q193" s="169">
        <v>7086200.79</v>
      </c>
      <c r="R193" s="170">
        <v>0.97125500930519815</v>
      </c>
      <c r="S193" s="169">
        <f>Pasākumu_līmenis!Q134</f>
        <v>7086200.79</v>
      </c>
      <c r="T193" s="170">
        <f t="shared" si="119"/>
        <v>0.97125500930519815</v>
      </c>
      <c r="U193" s="170">
        <f t="shared" si="120"/>
        <v>0</v>
      </c>
      <c r="V193" s="170">
        <f t="shared" si="126"/>
        <v>0</v>
      </c>
      <c r="W193" s="169">
        <f>Pasākumu_līmenis!U134</f>
        <v>55</v>
      </c>
      <c r="X193" s="169">
        <v>7086200.79</v>
      </c>
      <c r="Y193" s="170">
        <v>0.97125500930519815</v>
      </c>
      <c r="Z193" s="169">
        <f>Pasākumu_līmenis!X134</f>
        <v>7086200.79</v>
      </c>
      <c r="AA193" s="170">
        <f t="shared" si="121"/>
        <v>0.97125500930519815</v>
      </c>
      <c r="AB193" s="170">
        <f t="shared" si="122"/>
        <v>0</v>
      </c>
      <c r="AC193" s="170">
        <f t="shared" si="115"/>
        <v>0</v>
      </c>
      <c r="AD193" s="169">
        <f>Pasākumu_līmenis!AB134</f>
        <v>55</v>
      </c>
      <c r="AE193" s="169">
        <v>7086200.79</v>
      </c>
      <c r="AF193" s="170">
        <v>0.97125500930519815</v>
      </c>
      <c r="AG193" s="169">
        <f>Pasākumu_līmenis!AE134</f>
        <v>7086200.79</v>
      </c>
      <c r="AH193" s="170">
        <f t="shared" si="123"/>
        <v>0.97125500930519815</v>
      </c>
      <c r="AI193" s="170">
        <f t="shared" si="124"/>
        <v>0</v>
      </c>
      <c r="AJ193" s="170">
        <f t="shared" si="116"/>
        <v>0</v>
      </c>
      <c r="AK193" s="169">
        <v>7086200.79</v>
      </c>
      <c r="AL193" s="170">
        <v>0.97125500930519815</v>
      </c>
    </row>
    <row r="194" spans="1:38" ht="39.75" customHeight="1" x14ac:dyDescent="0.3">
      <c r="A194" s="255" t="s">
        <v>338</v>
      </c>
      <c r="B194" s="254" t="str">
        <f>VLOOKUP(A194,saīsinājumi_LV_ENG!A:G,5,FALSE)</f>
        <v>Tīklu attīstības vadlīnijas un kvalitātes  sistēma</v>
      </c>
      <c r="C194" s="10" t="s">
        <v>137</v>
      </c>
      <c r="D194" s="10"/>
      <c r="E194" s="38" t="str">
        <f>Pasākumu_līmenis!D135</f>
        <v>ESF</v>
      </c>
      <c r="F194" s="38" t="str">
        <f>Pasākumu_līmenis!E135</f>
        <v>VM</v>
      </c>
      <c r="G194" s="278" t="str">
        <f>VLOOKUP(A194,'2. Intervences kategorijas - Pa'!B:D,2,FALSE)</f>
        <v>09 - Veicināt sociālo iekļautību, apkarot nabadzību un jebkādu diskrimināciju</v>
      </c>
      <c r="H194" s="169">
        <f>Pasākumu_līmenis!F135</f>
        <v>4746596</v>
      </c>
      <c r="I194" s="169">
        <f>Pasākumu_līmenis!G135</f>
        <v>0</v>
      </c>
      <c r="J194" s="169">
        <f>Pasākumu_līmenis!H135</f>
        <v>4746596</v>
      </c>
      <c r="K194" s="169">
        <f>Pasākumu_līmenis!I135</f>
        <v>0</v>
      </c>
      <c r="L194" s="169">
        <f>Pasākumu_līmenis!J135</f>
        <v>4744870.0599999996</v>
      </c>
      <c r="M194" s="170">
        <f t="shared" si="117"/>
        <v>0.99963638363155394</v>
      </c>
      <c r="N194" s="170">
        <f t="shared" si="118"/>
        <v>0</v>
      </c>
      <c r="O194" s="170">
        <f t="shared" si="125"/>
        <v>0</v>
      </c>
      <c r="P194" s="169">
        <f>Pasākumu_līmenis!N135</f>
        <v>1</v>
      </c>
      <c r="Q194" s="169">
        <v>4744870.0599999996</v>
      </c>
      <c r="R194" s="170">
        <v>0.99963638363155394</v>
      </c>
      <c r="S194" s="169">
        <f>Pasākumu_līmenis!Q135</f>
        <v>4744870.0599999996</v>
      </c>
      <c r="T194" s="170">
        <f t="shared" si="119"/>
        <v>0.99963638363155394</v>
      </c>
      <c r="U194" s="170">
        <f t="shared" si="120"/>
        <v>0</v>
      </c>
      <c r="V194" s="170">
        <f t="shared" si="126"/>
        <v>0</v>
      </c>
      <c r="W194" s="169">
        <f>Pasākumu_līmenis!U135</f>
        <v>1</v>
      </c>
      <c r="X194" s="169">
        <v>4744870.0599999996</v>
      </c>
      <c r="Y194" s="170">
        <v>0.99963638363155394</v>
      </c>
      <c r="Z194" s="169">
        <f>Pasākumu_līmenis!X135</f>
        <v>4744870.0599999996</v>
      </c>
      <c r="AA194" s="170">
        <f t="shared" si="121"/>
        <v>0.99963638363155394</v>
      </c>
      <c r="AB194" s="170">
        <f t="shared" si="122"/>
        <v>0</v>
      </c>
      <c r="AC194" s="170">
        <f t="shared" si="115"/>
        <v>0</v>
      </c>
      <c r="AD194" s="169">
        <f>Pasākumu_līmenis!AB135</f>
        <v>1</v>
      </c>
      <c r="AE194" s="169">
        <v>4744870.0599999996</v>
      </c>
      <c r="AF194" s="170">
        <v>0.99963638363155394</v>
      </c>
      <c r="AG194" s="169">
        <f>Pasākumu_līmenis!AE135</f>
        <v>4744870.0599999996</v>
      </c>
      <c r="AH194" s="170">
        <f t="shared" si="123"/>
        <v>0.99963638363155394</v>
      </c>
      <c r="AI194" s="170">
        <f t="shared" si="124"/>
        <v>0</v>
      </c>
      <c r="AJ194" s="170">
        <f t="shared" si="116"/>
        <v>0</v>
      </c>
      <c r="AK194" s="169">
        <v>4744870.0599999996</v>
      </c>
      <c r="AL194" s="170">
        <v>0.99963638363155394</v>
      </c>
    </row>
    <row r="195" spans="1:38" ht="39.75" customHeight="1" x14ac:dyDescent="0.3">
      <c r="A195" s="251" t="s">
        <v>455</v>
      </c>
      <c r="B195" s="252" t="str">
        <f>VLOOKUP(A195,saīsinājumi_LV_ENG!A:G,5,FALSE)</f>
        <v>Veselības veicināšanas un slimību profilakse</v>
      </c>
      <c r="C195" s="220" t="s">
        <v>138</v>
      </c>
      <c r="D195" s="220"/>
      <c r="E195" s="222"/>
      <c r="F195" s="222"/>
      <c r="G195" s="277"/>
      <c r="H195" s="223">
        <f>SUM(H196:H197)</f>
        <v>36850225</v>
      </c>
      <c r="I195" s="223">
        <f>SUM(I196:I197)</f>
        <v>0</v>
      </c>
      <c r="J195" s="223">
        <f>SUM(J196:J197)</f>
        <v>36850225</v>
      </c>
      <c r="K195" s="223">
        <f>SUM(K196:K197)</f>
        <v>0</v>
      </c>
      <c r="L195" s="223">
        <f>SUM(L196:L197)</f>
        <v>36325543.689999998</v>
      </c>
      <c r="M195" s="224">
        <f t="shared" si="117"/>
        <v>0.9857617881573314</v>
      </c>
      <c r="N195" s="224">
        <f t="shared" si="118"/>
        <v>0</v>
      </c>
      <c r="O195" s="224">
        <f t="shared" si="125"/>
        <v>0</v>
      </c>
      <c r="P195" s="223">
        <f>SUM(P196:P197)</f>
        <v>97</v>
      </c>
      <c r="Q195" s="223">
        <v>36325543.689999998</v>
      </c>
      <c r="R195" s="224">
        <v>0.9857617881573314</v>
      </c>
      <c r="S195" s="223">
        <f>SUM(S196:S197)</f>
        <v>36325543.689999998</v>
      </c>
      <c r="T195" s="224">
        <f t="shared" si="119"/>
        <v>0.9857617881573314</v>
      </c>
      <c r="U195" s="224">
        <f t="shared" si="120"/>
        <v>0</v>
      </c>
      <c r="V195" s="224">
        <f t="shared" si="126"/>
        <v>0</v>
      </c>
      <c r="W195" s="223">
        <f>SUM(W196:W197)</f>
        <v>97</v>
      </c>
      <c r="X195" s="223">
        <v>36325543.689999998</v>
      </c>
      <c r="Y195" s="224">
        <v>0.9857617881573314</v>
      </c>
      <c r="Z195" s="223">
        <f>SUM(Z196:Z197)</f>
        <v>36325543.689999998</v>
      </c>
      <c r="AA195" s="224">
        <f t="shared" si="121"/>
        <v>0.9857617881573314</v>
      </c>
      <c r="AB195" s="224">
        <f t="shared" si="122"/>
        <v>0</v>
      </c>
      <c r="AC195" s="224">
        <f t="shared" si="115"/>
        <v>0</v>
      </c>
      <c r="AD195" s="223">
        <f>SUM(AD196:AD197)</f>
        <v>97</v>
      </c>
      <c r="AE195" s="223">
        <v>36325543.689999998</v>
      </c>
      <c r="AF195" s="224">
        <v>0.9857617881573314</v>
      </c>
      <c r="AG195" s="223">
        <f>SUM(AG196:AG197)</f>
        <v>36319974.939999998</v>
      </c>
      <c r="AH195" s="224">
        <f t="shared" si="123"/>
        <v>0.9856106696770508</v>
      </c>
      <c r="AI195" s="224">
        <f t="shared" si="124"/>
        <v>0</v>
      </c>
      <c r="AJ195" s="224">
        <f t="shared" si="116"/>
        <v>0</v>
      </c>
      <c r="AK195" s="223">
        <v>36319974.939999998</v>
      </c>
      <c r="AL195" s="224">
        <v>0.9856106696770508</v>
      </c>
    </row>
    <row r="196" spans="1:38" ht="52.5" customHeight="1" x14ac:dyDescent="0.3">
      <c r="A196" s="253" t="s">
        <v>339</v>
      </c>
      <c r="B196" s="254" t="str">
        <f>VLOOKUP(A196,saīsinājumi_LV_ENG!A:G,5,FALSE)</f>
        <v>Kompleksā veselības veicināšana un slimību profilakse</v>
      </c>
      <c r="C196" s="10" t="s">
        <v>218</v>
      </c>
      <c r="D196" s="10"/>
      <c r="E196" s="38" t="str">
        <f>Pasākumu_līmenis!D136</f>
        <v>ESF</v>
      </c>
      <c r="F196" s="38" t="str">
        <f>Pasākumu_līmenis!E136</f>
        <v>VM</v>
      </c>
      <c r="G196" s="278" t="str">
        <f>VLOOKUP(A196,'2. Intervences kategorijas - Pa'!B:D,2,FALSE)</f>
        <v>09 - Veicināt sociālo iekļautību, apkarot nabadzību un jebkādu diskrimināciju</v>
      </c>
      <c r="H196" s="169">
        <f>Pasākumu_līmenis!F136</f>
        <v>10093277</v>
      </c>
      <c r="I196" s="169">
        <f>Pasākumu_līmenis!G136</f>
        <v>0</v>
      </c>
      <c r="J196" s="169">
        <f>Pasākumu_līmenis!H136</f>
        <v>10093277</v>
      </c>
      <c r="K196" s="169">
        <f>Pasākumu_līmenis!I136</f>
        <v>0</v>
      </c>
      <c r="L196" s="169">
        <f>Pasākumu_līmenis!J136</f>
        <v>9918589.5700000003</v>
      </c>
      <c r="M196" s="170">
        <f t="shared" si="117"/>
        <v>0.98269269435486617</v>
      </c>
      <c r="N196" s="170">
        <f t="shared" si="118"/>
        <v>0</v>
      </c>
      <c r="O196" s="170">
        <f t="shared" si="125"/>
        <v>0</v>
      </c>
      <c r="P196" s="169">
        <f>Pasākumu_līmenis!N136</f>
        <v>1</v>
      </c>
      <c r="Q196" s="169">
        <v>9918589.5700000003</v>
      </c>
      <c r="R196" s="170">
        <v>0.98269269435486617</v>
      </c>
      <c r="S196" s="169">
        <f>Pasākumu_līmenis!Q136</f>
        <v>9918589.5700000003</v>
      </c>
      <c r="T196" s="170">
        <f t="shared" si="119"/>
        <v>0.98269269435486617</v>
      </c>
      <c r="U196" s="170">
        <f t="shared" si="120"/>
        <v>0</v>
      </c>
      <c r="V196" s="170">
        <f t="shared" si="126"/>
        <v>0</v>
      </c>
      <c r="W196" s="169">
        <f>Pasākumu_līmenis!U136</f>
        <v>1</v>
      </c>
      <c r="X196" s="169">
        <v>9918589.5700000003</v>
      </c>
      <c r="Y196" s="170">
        <v>0.98269269435486617</v>
      </c>
      <c r="Z196" s="169">
        <f>Pasākumu_līmenis!X136</f>
        <v>9918589.5700000003</v>
      </c>
      <c r="AA196" s="170">
        <f t="shared" si="121"/>
        <v>0.98269269435486617</v>
      </c>
      <c r="AB196" s="170">
        <f t="shared" si="122"/>
        <v>0</v>
      </c>
      <c r="AC196" s="170">
        <f t="shared" si="115"/>
        <v>0</v>
      </c>
      <c r="AD196" s="169">
        <f>Pasākumu_līmenis!AB136</f>
        <v>1</v>
      </c>
      <c r="AE196" s="169">
        <v>9918589.5700000003</v>
      </c>
      <c r="AF196" s="170">
        <v>0.98269269435486617</v>
      </c>
      <c r="AG196" s="169">
        <f>Pasākumu_līmenis!AE136</f>
        <v>9918589.5700000003</v>
      </c>
      <c r="AH196" s="170">
        <f t="shared" si="123"/>
        <v>0.98269269435486617</v>
      </c>
      <c r="AI196" s="170">
        <f t="shared" si="124"/>
        <v>0</v>
      </c>
      <c r="AJ196" s="170">
        <f t="shared" si="116"/>
        <v>0</v>
      </c>
      <c r="AK196" s="169">
        <v>9918589.5700000003</v>
      </c>
      <c r="AL196" s="170">
        <v>0.98269269435486617</v>
      </c>
    </row>
    <row r="197" spans="1:38" ht="39.75" customHeight="1" x14ac:dyDescent="0.3">
      <c r="A197" s="253" t="s">
        <v>340</v>
      </c>
      <c r="B197" s="254" t="str">
        <f>VLOOKUP(A197,saīsinājumi_LV_ENG!A:G,5,FALSE)</f>
        <v>Veselības veicināšana un slimību profilakse pašvaldībās</v>
      </c>
      <c r="C197" s="10" t="s">
        <v>219</v>
      </c>
      <c r="D197" s="10"/>
      <c r="E197" s="38" t="str">
        <f>Pasākumu_līmenis!D137</f>
        <v>ESF</v>
      </c>
      <c r="F197" s="38" t="str">
        <f>Pasākumu_līmenis!E137</f>
        <v>VM</v>
      </c>
      <c r="G197" s="278" t="str">
        <f>VLOOKUP(A197,'2. Intervences kategorijas - Pa'!B:D,2,FALSE)</f>
        <v>09 - Veicināt sociālo iekļautību, apkarot nabadzību un jebkādu diskrimināciju</v>
      </c>
      <c r="H197" s="169">
        <f>Pasākumu_līmenis!F137</f>
        <v>26756948</v>
      </c>
      <c r="I197" s="169">
        <f>Pasākumu_līmenis!G137</f>
        <v>0</v>
      </c>
      <c r="J197" s="169">
        <f>Pasākumu_līmenis!H137</f>
        <v>26756948</v>
      </c>
      <c r="K197" s="169">
        <f>Pasākumu_līmenis!I137</f>
        <v>0</v>
      </c>
      <c r="L197" s="169">
        <f>Pasākumu_līmenis!J137</f>
        <v>26406954.120000001</v>
      </c>
      <c r="M197" s="170">
        <f t="shared" si="117"/>
        <v>0.98691951413890711</v>
      </c>
      <c r="N197" s="170">
        <f t="shared" si="118"/>
        <v>0</v>
      </c>
      <c r="O197" s="170">
        <f t="shared" si="125"/>
        <v>0</v>
      </c>
      <c r="P197" s="169">
        <f>Pasākumu_līmenis!N137</f>
        <v>96</v>
      </c>
      <c r="Q197" s="169">
        <v>26406954.120000001</v>
      </c>
      <c r="R197" s="170">
        <v>0.98691951413890711</v>
      </c>
      <c r="S197" s="169">
        <f>Pasākumu_līmenis!Q137</f>
        <v>26406954.120000001</v>
      </c>
      <c r="T197" s="170">
        <f t="shared" si="119"/>
        <v>0.98691951413890711</v>
      </c>
      <c r="U197" s="170">
        <f t="shared" si="120"/>
        <v>0</v>
      </c>
      <c r="V197" s="170">
        <f t="shared" si="126"/>
        <v>0</v>
      </c>
      <c r="W197" s="169">
        <f>Pasākumu_līmenis!U137</f>
        <v>96</v>
      </c>
      <c r="X197" s="169">
        <v>26406954.120000001</v>
      </c>
      <c r="Y197" s="170">
        <v>0.98691951413890711</v>
      </c>
      <c r="Z197" s="169">
        <f>Pasākumu_līmenis!X137</f>
        <v>26406954.120000001</v>
      </c>
      <c r="AA197" s="170">
        <f t="shared" si="121"/>
        <v>0.98691951413890711</v>
      </c>
      <c r="AB197" s="170">
        <f t="shared" si="122"/>
        <v>0</v>
      </c>
      <c r="AC197" s="170">
        <f t="shared" si="115"/>
        <v>0</v>
      </c>
      <c r="AD197" s="169">
        <f>Pasākumu_līmenis!AB137</f>
        <v>96</v>
      </c>
      <c r="AE197" s="169">
        <v>26406954.120000001</v>
      </c>
      <c r="AF197" s="170">
        <v>0.98691951413890711</v>
      </c>
      <c r="AG197" s="169">
        <f>Pasākumu_līmenis!AE137</f>
        <v>26401385.370000001</v>
      </c>
      <c r="AH197" s="170">
        <f t="shared" si="123"/>
        <v>0.98671139062646462</v>
      </c>
      <c r="AI197" s="170">
        <f t="shared" si="124"/>
        <v>0</v>
      </c>
      <c r="AJ197" s="170">
        <f t="shared" si="116"/>
        <v>0</v>
      </c>
      <c r="AK197" s="169">
        <v>26401385.370000001</v>
      </c>
      <c r="AL197" s="170">
        <v>0.98671139062646462</v>
      </c>
    </row>
    <row r="198" spans="1:38" ht="39.75" customHeight="1" x14ac:dyDescent="0.3">
      <c r="A198" s="255" t="s">
        <v>341</v>
      </c>
      <c r="B198" s="254" t="str">
        <f>VLOOKUP(A198,saīsinājumi_LV_ENG!A:G,5,FALSE)</f>
        <v>Ārstu un māsu piesaiste darbam reģionos</v>
      </c>
      <c r="C198" s="10" t="s">
        <v>139</v>
      </c>
      <c r="D198" s="10"/>
      <c r="E198" s="38" t="str">
        <f>Pasākumu_līmenis!D138</f>
        <v>ESF</v>
      </c>
      <c r="F198" s="38" t="str">
        <f>Pasākumu_līmenis!E138</f>
        <v>VM</v>
      </c>
      <c r="G198" s="278" t="str">
        <f>VLOOKUP(A198,'2. Intervences kategorijas - Pa'!B:D,2,FALSE)</f>
        <v>09 - Veicināt sociālo iekļautību, apkarot nabadzību un jebkādu diskrimināciju</v>
      </c>
      <c r="H198" s="169">
        <f>Pasākumu_līmenis!F138</f>
        <v>14534059</v>
      </c>
      <c r="I198" s="169">
        <f>Pasākumu_līmenis!G138</f>
        <v>1589796</v>
      </c>
      <c r="J198" s="169">
        <f>Pasākumu_līmenis!H138</f>
        <v>16123855</v>
      </c>
      <c r="K198" s="169">
        <f>Pasākumu_līmenis!I138</f>
        <v>0</v>
      </c>
      <c r="L198" s="169">
        <f>Pasākumu_līmenis!J138</f>
        <v>16123855</v>
      </c>
      <c r="M198" s="170">
        <f t="shared" si="117"/>
        <v>1.1093841713453896</v>
      </c>
      <c r="N198" s="170">
        <f t="shared" si="118"/>
        <v>0</v>
      </c>
      <c r="O198" s="170">
        <f t="shared" si="125"/>
        <v>0</v>
      </c>
      <c r="P198" s="169">
        <f>Pasākumu_līmenis!N138</f>
        <v>1</v>
      </c>
      <c r="Q198" s="169">
        <v>16123855</v>
      </c>
      <c r="R198" s="170">
        <v>1.1093841713453896</v>
      </c>
      <c r="S198" s="169">
        <f>Pasākumu_līmenis!Q138</f>
        <v>16123855</v>
      </c>
      <c r="T198" s="170">
        <f t="shared" si="119"/>
        <v>1.1093841713453896</v>
      </c>
      <c r="U198" s="170">
        <f t="shared" si="120"/>
        <v>0</v>
      </c>
      <c r="V198" s="170">
        <f t="shared" si="126"/>
        <v>0</v>
      </c>
      <c r="W198" s="169">
        <f>Pasākumu_līmenis!U138</f>
        <v>1</v>
      </c>
      <c r="X198" s="169">
        <v>16123855</v>
      </c>
      <c r="Y198" s="170">
        <v>1.1093841713453896</v>
      </c>
      <c r="Z198" s="169">
        <f>Pasākumu_līmenis!X138</f>
        <v>16123855</v>
      </c>
      <c r="AA198" s="170">
        <f t="shared" si="121"/>
        <v>1.1093841713453896</v>
      </c>
      <c r="AB198" s="170">
        <f t="shared" si="122"/>
        <v>0</v>
      </c>
      <c r="AC198" s="170">
        <f t="shared" si="115"/>
        <v>0</v>
      </c>
      <c r="AD198" s="169">
        <f>Pasākumu_līmenis!AB138</f>
        <v>1</v>
      </c>
      <c r="AE198" s="169">
        <v>16123855</v>
      </c>
      <c r="AF198" s="170">
        <v>1.1093841713453896</v>
      </c>
      <c r="AG198" s="169">
        <f>Pasākumu_līmenis!AE138</f>
        <v>16123855</v>
      </c>
      <c r="AH198" s="170">
        <f t="shared" si="123"/>
        <v>1.1093841713453896</v>
      </c>
      <c r="AI198" s="170">
        <f t="shared" si="124"/>
        <v>0</v>
      </c>
      <c r="AJ198" s="170">
        <f t="shared" si="116"/>
        <v>0</v>
      </c>
      <c r="AK198" s="169">
        <v>16123855</v>
      </c>
      <c r="AL198" s="170">
        <v>1.1093841713453896</v>
      </c>
    </row>
    <row r="199" spans="1:38" ht="39.75" customHeight="1" x14ac:dyDescent="0.3">
      <c r="A199" s="255" t="s">
        <v>342</v>
      </c>
      <c r="B199" s="254" t="str">
        <f>VLOOKUP(A199,saīsinājumi_LV_ENG!A:G,5,FALSE)</f>
        <v>Ārstniecības personu tālākizglītība</v>
      </c>
      <c r="C199" s="10" t="s">
        <v>140</v>
      </c>
      <c r="D199" s="10"/>
      <c r="E199" s="38" t="str">
        <f>Pasākumu_līmenis!D139</f>
        <v>ESF</v>
      </c>
      <c r="F199" s="38" t="str">
        <f>Pasākumu_līmenis!E139</f>
        <v>VM</v>
      </c>
      <c r="G199" s="278" t="str">
        <f>VLOOKUP(A199,'2. Intervences kategorijas - Pa'!B:D,2,FALSE)</f>
        <v>09 - Veicināt sociālo iekļautību, apkarot nabadzību un jebkādu diskrimināciju</v>
      </c>
      <c r="H199" s="169">
        <f>Pasākumu_līmenis!F139</f>
        <v>11604030</v>
      </c>
      <c r="I199" s="169">
        <f>Pasākumu_līmenis!G139</f>
        <v>0</v>
      </c>
      <c r="J199" s="169">
        <f>Pasākumu_līmenis!H139</f>
        <v>11604030</v>
      </c>
      <c r="K199" s="169">
        <f>Pasākumu_līmenis!I139</f>
        <v>0</v>
      </c>
      <c r="L199" s="169">
        <f>Pasākumu_līmenis!J139</f>
        <v>11417287.84</v>
      </c>
      <c r="M199" s="170">
        <f t="shared" si="117"/>
        <v>0.98390712881645426</v>
      </c>
      <c r="N199" s="170">
        <f t="shared" si="118"/>
        <v>0</v>
      </c>
      <c r="O199" s="170">
        <f t="shared" si="125"/>
        <v>0</v>
      </c>
      <c r="P199" s="169">
        <f>Pasākumu_līmenis!N139</f>
        <v>1</v>
      </c>
      <c r="Q199" s="169">
        <v>11417287.84</v>
      </c>
      <c r="R199" s="170">
        <v>0.98390712881645426</v>
      </c>
      <c r="S199" s="169">
        <f>Pasākumu_līmenis!Q139</f>
        <v>11417287.84</v>
      </c>
      <c r="T199" s="170">
        <f t="shared" si="119"/>
        <v>0.98390712881645426</v>
      </c>
      <c r="U199" s="170">
        <f t="shared" si="120"/>
        <v>0</v>
      </c>
      <c r="V199" s="170">
        <f t="shared" si="126"/>
        <v>0</v>
      </c>
      <c r="W199" s="169">
        <f>Pasākumu_līmenis!U139</f>
        <v>1</v>
      </c>
      <c r="X199" s="169">
        <v>11417287.84</v>
      </c>
      <c r="Y199" s="170">
        <v>0.98390712881645426</v>
      </c>
      <c r="Z199" s="169">
        <f>Pasākumu_līmenis!X139</f>
        <v>11417287.84</v>
      </c>
      <c r="AA199" s="170">
        <f t="shared" si="121"/>
        <v>0.98390712881645426</v>
      </c>
      <c r="AB199" s="170">
        <f t="shared" si="122"/>
        <v>0</v>
      </c>
      <c r="AC199" s="170">
        <f t="shared" si="115"/>
        <v>0</v>
      </c>
      <c r="AD199" s="169">
        <f>Pasākumu_līmenis!AB139</f>
        <v>1</v>
      </c>
      <c r="AE199" s="169">
        <v>11417287.84</v>
      </c>
      <c r="AF199" s="170">
        <v>0.98390712881645426</v>
      </c>
      <c r="AG199" s="169">
        <f>Pasākumu_līmenis!AE139</f>
        <v>11417287.84</v>
      </c>
      <c r="AH199" s="170">
        <f t="shared" si="123"/>
        <v>0.98390712881645426</v>
      </c>
      <c r="AI199" s="170">
        <f t="shared" si="124"/>
        <v>0</v>
      </c>
      <c r="AJ199" s="170">
        <f t="shared" si="116"/>
        <v>0</v>
      </c>
      <c r="AK199" s="169">
        <v>11417287.84</v>
      </c>
      <c r="AL199" s="170">
        <v>0.98390712881645426</v>
      </c>
    </row>
    <row r="200" spans="1:38" ht="39.75" customHeight="1" x14ac:dyDescent="0.3">
      <c r="A200" s="255" t="s">
        <v>1294</v>
      </c>
      <c r="B200" s="254" t="str">
        <f>VLOOKUP(A200,saīsinājumi_LV_ENG!A:G,5,FALSE)</f>
        <v>Ārstniecības personāla piesaiste veselības krīžu novēršanai</v>
      </c>
      <c r="C200" s="10"/>
      <c r="D200" s="10"/>
      <c r="E200" s="38" t="str">
        <f>Pasākumu_līmenis!D140</f>
        <v>ESF</v>
      </c>
      <c r="F200" s="38" t="str">
        <f>Pasākumu_līmenis!E140</f>
        <v>VM</v>
      </c>
      <c r="G200" s="278" t="e">
        <f>VLOOKUP(A200,'2. Intervences kategorijas - Pa'!B:D,2,FALSE)</f>
        <v>#N/A</v>
      </c>
      <c r="H200" s="169">
        <f>Pasākumu_līmenis!F140</f>
        <v>2550000</v>
      </c>
      <c r="I200" s="169">
        <f>Pasākumu_līmenis!G140</f>
        <v>0</v>
      </c>
      <c r="J200" s="169">
        <f>Pasākumu_līmenis!H140</f>
        <v>2550000</v>
      </c>
      <c r="K200" s="169">
        <f>Pasākumu_līmenis!I140</f>
        <v>1</v>
      </c>
      <c r="L200" s="169">
        <f>Pasākumu_līmenis!J140</f>
        <v>2550000</v>
      </c>
      <c r="M200" s="170">
        <f t="shared" ref="M200" si="127">L200/$H200</f>
        <v>1</v>
      </c>
      <c r="N200" s="170">
        <f>M200-R200</f>
        <v>0</v>
      </c>
      <c r="O200" s="170">
        <f t="shared" ref="O200" si="128">IFERROR(((L200-Q200)/Q200),0)</f>
        <v>0</v>
      </c>
      <c r="P200" s="169">
        <f>Pasākumu_līmenis!N140</f>
        <v>1</v>
      </c>
      <c r="Q200" s="169">
        <v>2550000</v>
      </c>
      <c r="R200" s="170">
        <v>1</v>
      </c>
      <c r="S200" s="169">
        <f>Pasākumu_līmenis!Q140</f>
        <v>2550000</v>
      </c>
      <c r="T200" s="170">
        <f t="shared" ref="T200" si="129">S200/$H200</f>
        <v>1</v>
      </c>
      <c r="U200" s="170">
        <f t="shared" ref="U200" si="130">T200-Y200</f>
        <v>0</v>
      </c>
      <c r="V200" s="170">
        <f t="shared" ref="V200" si="131">IFERROR(((S200-X200)/X200),0)</f>
        <v>0</v>
      </c>
      <c r="W200" s="169">
        <f>Pasākumu_līmenis!U140</f>
        <v>1</v>
      </c>
      <c r="X200" s="169">
        <v>2550000</v>
      </c>
      <c r="Y200" s="170">
        <v>1</v>
      </c>
      <c r="Z200" s="169">
        <f>Pasākumu_līmenis!X140</f>
        <v>2550000</v>
      </c>
      <c r="AA200" s="170">
        <f t="shared" ref="AA200" si="132">Z200/$H200</f>
        <v>1</v>
      </c>
      <c r="AB200" s="170">
        <f t="shared" ref="AB200" si="133">AA200-AF200</f>
        <v>0</v>
      </c>
      <c r="AC200" s="170">
        <f t="shared" ref="AC200" si="134">IFERROR(((Z200-AE200)/AE200),0)</f>
        <v>0</v>
      </c>
      <c r="AD200" s="169">
        <f>Pasākumu_līmenis!AB140</f>
        <v>1</v>
      </c>
      <c r="AE200" s="169">
        <v>2550000</v>
      </c>
      <c r="AF200" s="170">
        <v>1</v>
      </c>
      <c r="AG200" s="169">
        <f>Pasākumu_līmenis!AE140</f>
        <v>2550000</v>
      </c>
      <c r="AH200" s="170">
        <f t="shared" ref="AH200" si="135">AG200/$H200</f>
        <v>1</v>
      </c>
      <c r="AI200" s="170">
        <f t="shared" ref="AI200" si="136">AH200-AL200</f>
        <v>0</v>
      </c>
      <c r="AJ200" s="170">
        <f t="shared" ref="AJ200" si="137">IFERROR(((AG200-AK200)/AK200),0)</f>
        <v>0</v>
      </c>
      <c r="AK200" s="169">
        <v>2550000</v>
      </c>
      <c r="AL200" s="170">
        <v>1</v>
      </c>
    </row>
    <row r="201" spans="1:38" ht="39.75" customHeight="1" x14ac:dyDescent="0.3">
      <c r="A201" s="249" t="s">
        <v>220</v>
      </c>
      <c r="B201" s="262" t="str">
        <f>VLOOKUP(A201,saīsinājumi_LV_ENG!A:G,5,FALSE)</f>
        <v>Veselības aprūpes un sociālā infrastruktūra</v>
      </c>
      <c r="C201" s="238" t="s">
        <v>381</v>
      </c>
      <c r="D201" s="215"/>
      <c r="E201" s="217"/>
      <c r="F201" s="217"/>
      <c r="G201" s="276"/>
      <c r="H201" s="218">
        <f>H202+H206</f>
        <v>265728639</v>
      </c>
      <c r="I201" s="218">
        <f>I202+I206</f>
        <v>13723448</v>
      </c>
      <c r="J201" s="218">
        <f>J202+J206</f>
        <v>279452087</v>
      </c>
      <c r="K201" s="218">
        <f>K202+K206</f>
        <v>11795105</v>
      </c>
      <c r="L201" s="218">
        <f>L202+L206</f>
        <v>247261636.25</v>
      </c>
      <c r="M201" s="219">
        <f t="shared" si="117"/>
        <v>0.93050428128674534</v>
      </c>
      <c r="N201" s="219">
        <f t="shared" si="118"/>
        <v>-9.7815701679034972E-2</v>
      </c>
      <c r="O201" s="219">
        <f t="shared" si="125"/>
        <v>-9.5121852438308591E-2</v>
      </c>
      <c r="P201" s="218">
        <f>P202+P206</f>
        <v>437</v>
      </c>
      <c r="Q201" s="218">
        <v>273254069.52999997</v>
      </c>
      <c r="R201" s="219">
        <v>1.0283199829657803</v>
      </c>
      <c r="S201" s="218">
        <f>S202+S206</f>
        <v>247261636.25</v>
      </c>
      <c r="T201" s="219">
        <f t="shared" si="119"/>
        <v>0.93050428128674534</v>
      </c>
      <c r="U201" s="219">
        <f t="shared" si="120"/>
        <v>-9.7815701679034972E-2</v>
      </c>
      <c r="V201" s="219">
        <f t="shared" si="126"/>
        <v>-9.5121852438308591E-2</v>
      </c>
      <c r="W201" s="218">
        <f>W202+W206</f>
        <v>437</v>
      </c>
      <c r="X201" s="218">
        <v>273254069.52999997</v>
      </c>
      <c r="Y201" s="219">
        <v>1.0283199829657803</v>
      </c>
      <c r="Z201" s="218">
        <f>Z202+Z206</f>
        <v>247261636.25</v>
      </c>
      <c r="AA201" s="219">
        <f t="shared" si="121"/>
        <v>0.93050428128674534</v>
      </c>
      <c r="AB201" s="219">
        <f t="shared" si="122"/>
        <v>-9.7815701679034972E-2</v>
      </c>
      <c r="AC201" s="219">
        <f t="shared" si="115"/>
        <v>-9.5121852438308591E-2</v>
      </c>
      <c r="AD201" s="218">
        <f>AD202+AD206</f>
        <v>437</v>
      </c>
      <c r="AE201" s="218">
        <v>273254069.52999997</v>
      </c>
      <c r="AF201" s="219">
        <v>1.0283199829657803</v>
      </c>
      <c r="AG201" s="218">
        <f>AG202+AG206</f>
        <v>249600217.38999999</v>
      </c>
      <c r="AH201" s="219">
        <f t="shared" si="123"/>
        <v>0.93930491771344216</v>
      </c>
      <c r="AI201" s="219">
        <f t="shared" si="124"/>
        <v>0</v>
      </c>
      <c r="AJ201" s="219">
        <f t="shared" si="116"/>
        <v>0</v>
      </c>
      <c r="AK201" s="218">
        <v>249600217.38999999</v>
      </c>
      <c r="AL201" s="219">
        <v>0.93930491771344216</v>
      </c>
    </row>
    <row r="202" spans="1:38" ht="59.25" customHeight="1" x14ac:dyDescent="0.3">
      <c r="A202" s="251" t="s">
        <v>221</v>
      </c>
      <c r="B202" s="252" t="str">
        <f>VLOOKUP(A202,saīsinājumi_LV_ENG!A:G,5,FALSE)</f>
        <v>Infrastruktūra bērnu aprūpei ģimeniskā vidē un personu ar invaliditāti integrācijai sabiedrībā</v>
      </c>
      <c r="C202" s="220" t="s">
        <v>222</v>
      </c>
      <c r="D202" s="220"/>
      <c r="E202" s="222"/>
      <c r="F202" s="222"/>
      <c r="G202" s="277"/>
      <c r="H202" s="223">
        <f>SUM(H203:H205)</f>
        <v>45695733</v>
      </c>
      <c r="I202" s="223">
        <f>SUM(I203:I205)</f>
        <v>782851</v>
      </c>
      <c r="J202" s="223">
        <f>SUM(J203:J205)</f>
        <v>46478584</v>
      </c>
      <c r="K202" s="223">
        <f>SUM(K203:K204)</f>
        <v>2515517</v>
      </c>
      <c r="L202" s="223">
        <f>SUM(L203:L205)</f>
        <v>42922120.389999993</v>
      </c>
      <c r="M202" s="224">
        <f t="shared" si="117"/>
        <v>0.93930259068171629</v>
      </c>
      <c r="N202" s="224">
        <f t="shared" si="118"/>
        <v>0</v>
      </c>
      <c r="O202" s="224">
        <f t="shared" si="125"/>
        <v>0</v>
      </c>
      <c r="P202" s="223">
        <f>SUM(P203:P205)</f>
        <v>71</v>
      </c>
      <c r="Q202" s="223">
        <v>42922120.389999993</v>
      </c>
      <c r="R202" s="224">
        <v>0.93930259068171629</v>
      </c>
      <c r="S202" s="223">
        <f>SUM(S203:S205)</f>
        <v>42922120.389999993</v>
      </c>
      <c r="T202" s="224">
        <f t="shared" si="119"/>
        <v>0.93930259068171629</v>
      </c>
      <c r="U202" s="224">
        <f t="shared" si="120"/>
        <v>0</v>
      </c>
      <c r="V202" s="224">
        <f t="shared" si="126"/>
        <v>0</v>
      </c>
      <c r="W202" s="223">
        <f>SUM(W203:W205)</f>
        <v>71</v>
      </c>
      <c r="X202" s="223">
        <v>42922120.389999993</v>
      </c>
      <c r="Y202" s="224">
        <v>0.93930259068171629</v>
      </c>
      <c r="Z202" s="223">
        <f>SUM(Z203:Z205)</f>
        <v>42922120.389999993</v>
      </c>
      <c r="AA202" s="224">
        <f t="shared" si="121"/>
        <v>0.93930259068171629</v>
      </c>
      <c r="AB202" s="224">
        <f t="shared" si="122"/>
        <v>0</v>
      </c>
      <c r="AC202" s="224">
        <f t="shared" si="115"/>
        <v>0</v>
      </c>
      <c r="AD202" s="223">
        <f>SUM(AD203:AD205)</f>
        <v>71</v>
      </c>
      <c r="AE202" s="223">
        <v>42922120.389999993</v>
      </c>
      <c r="AF202" s="224">
        <v>0.93930259068171629</v>
      </c>
      <c r="AG202" s="223">
        <f>SUM(AG203:AG205)</f>
        <v>42915996.449999996</v>
      </c>
      <c r="AH202" s="224">
        <f t="shared" si="123"/>
        <v>0.93916857510525098</v>
      </c>
      <c r="AI202" s="224">
        <f t="shared" si="124"/>
        <v>0</v>
      </c>
      <c r="AJ202" s="224">
        <f t="shared" si="116"/>
        <v>0</v>
      </c>
      <c r="AK202" s="223">
        <v>42915996.449999996</v>
      </c>
      <c r="AL202" s="224">
        <v>0.93916857510525098</v>
      </c>
    </row>
    <row r="203" spans="1:38" ht="39.75" customHeight="1" x14ac:dyDescent="0.3">
      <c r="A203" s="253" t="s">
        <v>343</v>
      </c>
      <c r="B203" s="254" t="str">
        <f>VLOOKUP(A203,saīsinājumi_LV_ENG!A:G,5,FALSE)</f>
        <v>Infrastruktūra deinstitucionalizācijai</v>
      </c>
      <c r="C203" s="10" t="s">
        <v>223</v>
      </c>
      <c r="D203" s="10"/>
      <c r="E203" s="38" t="str">
        <f>Pasākumu_līmenis!D141</f>
        <v>ERAF</v>
      </c>
      <c r="F203" s="38" t="str">
        <f>Pasākumu_līmenis!E141</f>
        <v>LM</v>
      </c>
      <c r="G203" s="278" t="str">
        <f>VLOOKUP(A203,'2. Intervences kategorijas - Pa'!B:D,2,FALSE)</f>
        <v>09 - Veicināt sociālo iekļautību, apkarot nabadzību un jebkādu diskrimināciju</v>
      </c>
      <c r="H203" s="169">
        <f>Pasākumu_līmenis!F141</f>
        <v>43101670</v>
      </c>
      <c r="I203" s="169">
        <f>Pasākumu_līmenis!G141</f>
        <v>0</v>
      </c>
      <c r="J203" s="169">
        <f>Pasākumu_līmenis!H141</f>
        <v>43101670</v>
      </c>
      <c r="K203" s="169">
        <f>Pasākumu_līmenis!I141</f>
        <v>2515517</v>
      </c>
      <c r="L203" s="169">
        <f>Pasākumu_līmenis!J141</f>
        <v>40839418.009999998</v>
      </c>
      <c r="M203" s="170">
        <f t="shared" si="117"/>
        <v>0.94751358845260514</v>
      </c>
      <c r="N203" s="170">
        <f t="shared" si="118"/>
        <v>0</v>
      </c>
      <c r="O203" s="170">
        <f t="shared" si="125"/>
        <v>0</v>
      </c>
      <c r="P203" s="169">
        <f>Pasākumu_līmenis!N141</f>
        <v>69</v>
      </c>
      <c r="Q203" s="169">
        <v>40839418.009999998</v>
      </c>
      <c r="R203" s="170">
        <v>0.94751358845260514</v>
      </c>
      <c r="S203" s="169">
        <f>Pasākumu_līmenis!Q141</f>
        <v>40839418.009999998</v>
      </c>
      <c r="T203" s="170">
        <f t="shared" si="119"/>
        <v>0.94751358845260514</v>
      </c>
      <c r="U203" s="170">
        <f t="shared" si="120"/>
        <v>0</v>
      </c>
      <c r="V203" s="170">
        <f t="shared" si="126"/>
        <v>0</v>
      </c>
      <c r="W203" s="169">
        <f>Pasākumu_līmenis!U141</f>
        <v>69</v>
      </c>
      <c r="X203" s="169">
        <v>40839418.009999998</v>
      </c>
      <c r="Y203" s="170">
        <v>0.94751358845260514</v>
      </c>
      <c r="Z203" s="169">
        <f>Pasākumu_līmenis!X141</f>
        <v>40839418.009999998</v>
      </c>
      <c r="AA203" s="170">
        <f t="shared" si="121"/>
        <v>0.94751358845260514</v>
      </c>
      <c r="AB203" s="170">
        <f t="shared" si="122"/>
        <v>0</v>
      </c>
      <c r="AC203" s="170">
        <f t="shared" si="115"/>
        <v>0</v>
      </c>
      <c r="AD203" s="169">
        <f>Pasākumu_līmenis!AB141</f>
        <v>69</v>
      </c>
      <c r="AE203" s="169">
        <v>40839418.009999998</v>
      </c>
      <c r="AF203" s="170">
        <v>0.94751358845260514</v>
      </c>
      <c r="AG203" s="169">
        <f>Pasākumu_līmenis!AE141</f>
        <v>40833294.07</v>
      </c>
      <c r="AH203" s="170">
        <f t="shared" si="123"/>
        <v>0.94737150718290031</v>
      </c>
      <c r="AI203" s="170">
        <f t="shared" si="124"/>
        <v>0</v>
      </c>
      <c r="AJ203" s="170">
        <f t="shared" si="116"/>
        <v>0</v>
      </c>
      <c r="AK203" s="169">
        <v>40833294.07</v>
      </c>
      <c r="AL203" s="170">
        <v>0.94737150718290031</v>
      </c>
    </row>
    <row r="204" spans="1:38" ht="39.75" customHeight="1" x14ac:dyDescent="0.3">
      <c r="A204" s="253" t="s">
        <v>237</v>
      </c>
      <c r="B204" s="254" t="str">
        <f>VLOOKUP(A204,saīsinājumi_LV_ENG!A:G,5,FALSE)</f>
        <v xml:space="preserve">Infrastruktūra funkcionalitātes novērtēšanai </v>
      </c>
      <c r="C204" s="10" t="s">
        <v>224</v>
      </c>
      <c r="D204" s="10"/>
      <c r="E204" s="38" t="str">
        <f>Pasākumu_līmenis!D142</f>
        <v>ERAF</v>
      </c>
      <c r="F204" s="38" t="str">
        <f>Pasākumu_līmenis!E142</f>
        <v>LM</v>
      </c>
      <c r="G204" s="278" t="str">
        <f>VLOOKUP(A204,'2. Intervences kategorijas - Pa'!B:D,2,FALSE)</f>
        <v>09 - Veicināt sociālo iekļautību, apkarot nabadzību un jebkādu diskrimināciju</v>
      </c>
      <c r="H204" s="169">
        <f>Pasākumu_līmenis!F142</f>
        <v>2113177</v>
      </c>
      <c r="I204" s="169">
        <f>Pasākumu_līmenis!G142</f>
        <v>0</v>
      </c>
      <c r="J204" s="169">
        <f>Pasākumu_līmenis!H142</f>
        <v>2113177</v>
      </c>
      <c r="K204" s="169">
        <f>Pasākumu_līmenis!I142</f>
        <v>0</v>
      </c>
      <c r="L204" s="169">
        <f>Pasākumu_līmenis!J142</f>
        <v>1782086.8</v>
      </c>
      <c r="M204" s="170">
        <f t="shared" si="117"/>
        <v>0.84332112265087122</v>
      </c>
      <c r="N204" s="170">
        <f t="shared" si="118"/>
        <v>0</v>
      </c>
      <c r="O204" s="170">
        <f t="shared" si="125"/>
        <v>0</v>
      </c>
      <c r="P204" s="169">
        <f>Pasākumu_līmenis!N142</f>
        <v>1</v>
      </c>
      <c r="Q204" s="169">
        <v>1782086.8</v>
      </c>
      <c r="R204" s="170">
        <v>0.84332112265087122</v>
      </c>
      <c r="S204" s="169">
        <f>Pasākumu_līmenis!Q142</f>
        <v>1782086.8</v>
      </c>
      <c r="T204" s="170">
        <f t="shared" si="119"/>
        <v>0.84332112265087122</v>
      </c>
      <c r="U204" s="170">
        <f t="shared" si="120"/>
        <v>0</v>
      </c>
      <c r="V204" s="170">
        <f t="shared" si="126"/>
        <v>0</v>
      </c>
      <c r="W204" s="169">
        <f>Pasākumu_līmenis!U142</f>
        <v>1</v>
      </c>
      <c r="X204" s="169">
        <v>1782086.8</v>
      </c>
      <c r="Y204" s="170">
        <v>0.84332112265087122</v>
      </c>
      <c r="Z204" s="169">
        <f>Pasākumu_līmenis!X142</f>
        <v>1782086.8</v>
      </c>
      <c r="AA204" s="170">
        <f t="shared" si="121"/>
        <v>0.84332112265087122</v>
      </c>
      <c r="AB204" s="170">
        <f t="shared" si="122"/>
        <v>0</v>
      </c>
      <c r="AC204" s="170">
        <f t="shared" si="115"/>
        <v>0</v>
      </c>
      <c r="AD204" s="169">
        <f>Pasākumu_līmenis!AB142</f>
        <v>1</v>
      </c>
      <c r="AE204" s="169">
        <v>1782086.8</v>
      </c>
      <c r="AF204" s="170">
        <v>0.84332112265087122</v>
      </c>
      <c r="AG204" s="169">
        <f>Pasākumu_līmenis!AE142</f>
        <v>1782086.8</v>
      </c>
      <c r="AH204" s="170">
        <f t="shared" si="123"/>
        <v>0.84332112265087122</v>
      </c>
      <c r="AI204" s="170">
        <f t="shared" si="124"/>
        <v>0</v>
      </c>
      <c r="AJ204" s="170">
        <f t="shared" si="116"/>
        <v>0</v>
      </c>
      <c r="AK204" s="169">
        <v>1782086.8</v>
      </c>
      <c r="AL204" s="170">
        <v>0.84332112265087122</v>
      </c>
    </row>
    <row r="205" spans="1:38" ht="51" customHeight="1" x14ac:dyDescent="0.3">
      <c r="A205" s="253" t="s">
        <v>1544</v>
      </c>
      <c r="B205" s="254" t="s">
        <v>1545</v>
      </c>
      <c r="C205" s="10" t="s">
        <v>224</v>
      </c>
      <c r="D205" s="10"/>
      <c r="E205" s="38" t="str">
        <f>Pasākumu_līmenis!D143</f>
        <v>ERAF</v>
      </c>
      <c r="F205" s="38" t="str">
        <f>Pasākumu_līmenis!E143</f>
        <v>LM</v>
      </c>
      <c r="G205" s="278" t="e">
        <f>VLOOKUP(A205,'2. Intervences kategorijas - Pa'!B:D,2,FALSE)</f>
        <v>#N/A</v>
      </c>
      <c r="H205" s="169">
        <f>Pasākumu_līmenis!F143</f>
        <v>480886</v>
      </c>
      <c r="I205" s="169">
        <f>Pasākumu_līmenis!G143</f>
        <v>782851</v>
      </c>
      <c r="J205" s="169">
        <f>Pasākumu_līmenis!H143</f>
        <v>1263737</v>
      </c>
      <c r="K205" s="169">
        <f>Pasākumu_līmenis!I143</f>
        <v>0</v>
      </c>
      <c r="L205" s="169">
        <f>Pasākumu_līmenis!J143</f>
        <v>300615.58</v>
      </c>
      <c r="M205" s="170">
        <f t="shared" ref="M205" si="138">L205/$H205</f>
        <v>0.62512857517166232</v>
      </c>
      <c r="N205" s="170">
        <f t="shared" ref="N205" si="139">M205-R205</f>
        <v>0</v>
      </c>
      <c r="O205" s="170">
        <f t="shared" ref="O205" si="140">IFERROR(((L205-Q205)/Q205),0)</f>
        <v>0</v>
      </c>
      <c r="P205" s="169">
        <f>Pasākumu_līmenis!N143</f>
        <v>1</v>
      </c>
      <c r="Q205" s="169">
        <v>300615.58</v>
      </c>
      <c r="R205" s="170">
        <v>0.62512857517166232</v>
      </c>
      <c r="S205" s="169">
        <f>Pasākumu_līmenis!Q143</f>
        <v>300615.58</v>
      </c>
      <c r="T205" s="170">
        <f t="shared" ref="T205" si="141">S205/$H205</f>
        <v>0.62512857517166232</v>
      </c>
      <c r="U205" s="170">
        <f t="shared" ref="U205" si="142">T205-Y205</f>
        <v>0</v>
      </c>
      <c r="V205" s="170">
        <f t="shared" ref="V205" si="143">IFERROR(((S205-X205)/X205),0)</f>
        <v>0</v>
      </c>
      <c r="W205" s="169">
        <f>Pasākumu_līmenis!U143</f>
        <v>1</v>
      </c>
      <c r="X205" s="169">
        <v>300615.58</v>
      </c>
      <c r="Y205" s="170">
        <v>0.62512857517166232</v>
      </c>
      <c r="Z205" s="169">
        <f>Pasākumu_līmenis!X143</f>
        <v>300615.58</v>
      </c>
      <c r="AA205" s="170">
        <f t="shared" ref="AA205" si="144">Z205/$H205</f>
        <v>0.62512857517166232</v>
      </c>
      <c r="AB205" s="170">
        <f t="shared" ref="AB205" si="145">AA205-AF205</f>
        <v>0</v>
      </c>
      <c r="AC205" s="170">
        <f t="shared" ref="AC205" si="146">IFERROR(((Z205-AE205)/AE205),0)</f>
        <v>0</v>
      </c>
      <c r="AD205" s="169">
        <f>Pasākumu_līmenis!AB143</f>
        <v>1</v>
      </c>
      <c r="AE205" s="169">
        <v>300615.58</v>
      </c>
      <c r="AF205" s="170">
        <v>0.62512857517166232</v>
      </c>
      <c r="AG205" s="169">
        <f>Pasākumu_līmenis!AE143</f>
        <v>300615.58</v>
      </c>
      <c r="AH205" s="170">
        <f t="shared" ref="AH205" si="147">AG205/$H205</f>
        <v>0.62512857517166232</v>
      </c>
      <c r="AI205" s="170">
        <f t="shared" ref="AI205" si="148">AH205-AL205</f>
        <v>0</v>
      </c>
      <c r="AJ205" s="170">
        <f t="shared" ref="AJ205" si="149">IFERROR(((AG205-AK205)/AK205),0)</f>
        <v>0</v>
      </c>
      <c r="AK205" s="169">
        <v>300615.58</v>
      </c>
      <c r="AL205" s="170">
        <v>0.62512857517166232</v>
      </c>
    </row>
    <row r="206" spans="1:38" ht="21" customHeight="1" x14ac:dyDescent="0.3">
      <c r="A206" s="255" t="s">
        <v>236</v>
      </c>
      <c r="B206" s="254" t="str">
        <f>VLOOKUP(A206,saīsinājumi_LV_ENG!A:G,5,FALSE)</f>
        <v>Veselības aprūpes infrastruktūra</v>
      </c>
      <c r="C206" s="10" t="s">
        <v>225</v>
      </c>
      <c r="D206" s="10"/>
      <c r="E206" s="38" t="str">
        <f>Pasākumu_līmenis!D144</f>
        <v>ERAF</v>
      </c>
      <c r="F206" s="38" t="str">
        <f>Pasākumu_līmenis!E144</f>
        <v>VM</v>
      </c>
      <c r="G206" s="278" t="str">
        <f>VLOOKUP(A206,'2. Intervences kategorijas - Pa'!B:D,2,FALSE)</f>
        <v>09 - Veicināt sociālo iekļautību, apkarot nabadzību un jebkādu diskrimināciju</v>
      </c>
      <c r="H206" s="169">
        <f>Pasākumu_līmenis!F144</f>
        <v>220032906</v>
      </c>
      <c r="I206" s="169">
        <f>Pasākumu_līmenis!G144</f>
        <v>12940597</v>
      </c>
      <c r="J206" s="169">
        <f>Pasākumu_līmenis!H144</f>
        <v>232973503</v>
      </c>
      <c r="K206" s="169">
        <f>Pasākumu_līmenis!I144</f>
        <v>9279588</v>
      </c>
      <c r="L206" s="169">
        <f>Pasākumu_līmenis!J144</f>
        <v>204339515.86000001</v>
      </c>
      <c r="M206" s="170">
        <f t="shared" si="117"/>
        <v>0.92867707641874264</v>
      </c>
      <c r="N206" s="170">
        <f t="shared" si="118"/>
        <v>-0.11812975501037082</v>
      </c>
      <c r="O206" s="170">
        <f t="shared" si="125"/>
        <v>-0.11284771121439732</v>
      </c>
      <c r="P206" s="169">
        <f>Pasākumu_līmenis!N144</f>
        <v>366</v>
      </c>
      <c r="Q206" s="169">
        <v>230331949.13999999</v>
      </c>
      <c r="R206" s="170">
        <v>1.0468068314291135</v>
      </c>
      <c r="S206" s="169">
        <f>Pasākumu_līmenis!Q144</f>
        <v>204339515.86000001</v>
      </c>
      <c r="T206" s="170">
        <f t="shared" si="119"/>
        <v>0.92867707641874264</v>
      </c>
      <c r="U206" s="170">
        <f t="shared" si="120"/>
        <v>-0.11812975501037082</v>
      </c>
      <c r="V206" s="170">
        <f t="shared" si="126"/>
        <v>-0.11284771121439732</v>
      </c>
      <c r="W206" s="169">
        <f>Pasākumu_līmenis!U144</f>
        <v>366</v>
      </c>
      <c r="X206" s="169">
        <v>230331949.13999999</v>
      </c>
      <c r="Y206" s="170">
        <v>1.0468068314291135</v>
      </c>
      <c r="Z206" s="169">
        <f>Pasākumu_līmenis!X144</f>
        <v>204339515.86000001</v>
      </c>
      <c r="AA206" s="170">
        <f t="shared" si="121"/>
        <v>0.92867707641874264</v>
      </c>
      <c r="AB206" s="170">
        <f t="shared" si="122"/>
        <v>-0.11812975501037082</v>
      </c>
      <c r="AC206" s="170">
        <f t="shared" si="115"/>
        <v>-0.11284771121439732</v>
      </c>
      <c r="AD206" s="169">
        <f>Pasākumu_līmenis!AB144</f>
        <v>366</v>
      </c>
      <c r="AE206" s="169">
        <v>230331949.13999999</v>
      </c>
      <c r="AF206" s="170">
        <v>1.0468068314291135</v>
      </c>
      <c r="AG206" s="169">
        <f>Pasākumu_līmenis!AE144</f>
        <v>206684220.94</v>
      </c>
      <c r="AH206" s="170">
        <f t="shared" si="123"/>
        <v>0.93933323291199</v>
      </c>
      <c r="AI206" s="170">
        <f t="shared" si="124"/>
        <v>0</v>
      </c>
      <c r="AJ206" s="170">
        <f t="shared" si="116"/>
        <v>0</v>
      </c>
      <c r="AK206" s="169">
        <v>206684220.94</v>
      </c>
      <c r="AL206" s="170">
        <v>0.93933323291199</v>
      </c>
    </row>
    <row r="207" spans="1:38" ht="21" customHeight="1" x14ac:dyDescent="0.3">
      <c r="A207" s="247" t="s">
        <v>141</v>
      </c>
      <c r="B207" s="248" t="str">
        <f>VLOOKUP(A207,saīsinājumi_LV_ENG!A:G,5,FALSE)</f>
        <v>ESF tehniskā palīdzība</v>
      </c>
      <c r="C207" s="8" t="s">
        <v>142</v>
      </c>
      <c r="D207" s="225"/>
      <c r="E207" s="66"/>
      <c r="F207" s="66"/>
      <c r="G207" s="280"/>
      <c r="H207" s="226">
        <f>SUM(H208:H210)</f>
        <v>21420040</v>
      </c>
      <c r="I207" s="226">
        <f t="shared" ref="I207:L207" si="150">SUM(I208:I210)</f>
        <v>0</v>
      </c>
      <c r="J207" s="226">
        <f t="shared" si="150"/>
        <v>21420040</v>
      </c>
      <c r="K207" s="226">
        <f t="shared" si="150"/>
        <v>0</v>
      </c>
      <c r="L207" s="226">
        <f t="shared" si="150"/>
        <v>20958161.16</v>
      </c>
      <c r="M207" s="227">
        <f>L207/$H207</f>
        <v>0.97843706921182216</v>
      </c>
      <c r="N207" s="227">
        <f t="shared" si="118"/>
        <v>0</v>
      </c>
      <c r="O207" s="227">
        <f t="shared" si="125"/>
        <v>0</v>
      </c>
      <c r="P207" s="226">
        <f>SUM(P208:P210)</f>
        <v>44</v>
      </c>
      <c r="Q207" s="226">
        <v>20958161.16</v>
      </c>
      <c r="R207" s="226">
        <v>0.97843706921182216</v>
      </c>
      <c r="S207" s="226">
        <f t="shared" ref="S207" si="151">SUM(S208:S210)</f>
        <v>20958161.16</v>
      </c>
      <c r="T207" s="227">
        <f t="shared" si="119"/>
        <v>0.97843706921182216</v>
      </c>
      <c r="U207" s="227">
        <f t="shared" si="120"/>
        <v>0</v>
      </c>
      <c r="V207" s="227">
        <f t="shared" si="126"/>
        <v>0</v>
      </c>
      <c r="W207" s="226">
        <f>SUM(W208:W210)</f>
        <v>44</v>
      </c>
      <c r="X207" s="226">
        <v>20958161.16</v>
      </c>
      <c r="Y207" s="227">
        <v>0.97843706921182216</v>
      </c>
      <c r="Z207" s="226">
        <f>SUM(Z208:Z210)</f>
        <v>20958161.16</v>
      </c>
      <c r="AA207" s="227">
        <f t="shared" si="121"/>
        <v>0.97843706921182216</v>
      </c>
      <c r="AB207" s="227">
        <f t="shared" si="122"/>
        <v>0</v>
      </c>
      <c r="AC207" s="227">
        <f t="shared" si="115"/>
        <v>0</v>
      </c>
      <c r="AD207" s="226">
        <f>SUM(AD208:AD210)</f>
        <v>44</v>
      </c>
      <c r="AE207" s="175">
        <v>20958161.16</v>
      </c>
      <c r="AF207" s="176">
        <v>0.97843706921182216</v>
      </c>
      <c r="AG207" s="226">
        <f>SUM(AG208:AG210)</f>
        <v>20958105.09</v>
      </c>
      <c r="AH207" s="227">
        <f t="shared" si="123"/>
        <v>0.97843445156965159</v>
      </c>
      <c r="AI207" s="227">
        <f t="shared" si="124"/>
        <v>0</v>
      </c>
      <c r="AJ207" s="227">
        <f t="shared" si="116"/>
        <v>0</v>
      </c>
      <c r="AK207" s="226">
        <v>20958105.09</v>
      </c>
      <c r="AL207" s="227">
        <v>0.97843445156965159</v>
      </c>
    </row>
    <row r="208" spans="1:38" ht="39.75" customHeight="1" x14ac:dyDescent="0.3">
      <c r="A208" s="253" t="s">
        <v>359</v>
      </c>
      <c r="B208" s="254" t="str">
        <f>VLOOKUP(A208,saīsinājumi_LV_ENG!A:G,5,FALSE)</f>
        <v>TP KP fondu izvērtēšanas kapacitātei</v>
      </c>
      <c r="C208" s="10" t="s">
        <v>360</v>
      </c>
      <c r="D208" s="10"/>
      <c r="E208" s="42" t="str">
        <f>Pasākumu_līmenis!D146</f>
        <v>ESF</v>
      </c>
      <c r="F208" s="42" t="str">
        <f>Pasākumu_līmenis!E146</f>
        <v>FM</v>
      </c>
      <c r="G208" s="275" t="str">
        <f>VLOOKUP(A208,'2. Intervences kategorijas - Pa'!B:D,2,FALSE)</f>
        <v>12 - Nepiemēro (tikai tehniska palīdzība)</v>
      </c>
      <c r="H208" s="171">
        <f>Pasākumu_līmenis!F146</f>
        <v>2106322</v>
      </c>
      <c r="I208" s="171">
        <f>Pasākumu_līmenis!G146</f>
        <v>0</v>
      </c>
      <c r="J208" s="171">
        <f>Pasākumu_līmenis!H146</f>
        <v>2106322</v>
      </c>
      <c r="K208" s="171">
        <f>Pasākumu_līmenis!I146</f>
        <v>0</v>
      </c>
      <c r="L208" s="171">
        <f>Pasākumu_līmenis!J146</f>
        <v>2002863.57</v>
      </c>
      <c r="M208" s="172">
        <f t="shared" si="117"/>
        <v>0.95088194967341177</v>
      </c>
      <c r="N208" s="172">
        <f t="shared" si="118"/>
        <v>0</v>
      </c>
      <c r="O208" s="172">
        <f t="shared" si="125"/>
        <v>0</v>
      </c>
      <c r="P208" s="171">
        <f>Pasākumu_līmenis!N146</f>
        <v>2</v>
      </c>
      <c r="Q208" s="171">
        <v>2002863.57</v>
      </c>
      <c r="R208" s="172">
        <v>0.95088194967341177</v>
      </c>
      <c r="S208" s="171">
        <f>Pasākumu_līmenis!Q146</f>
        <v>2002863.57</v>
      </c>
      <c r="T208" s="172">
        <f t="shared" si="119"/>
        <v>0.95088194967341177</v>
      </c>
      <c r="U208" s="172">
        <f t="shared" si="120"/>
        <v>0</v>
      </c>
      <c r="V208" s="172">
        <f t="shared" si="126"/>
        <v>0</v>
      </c>
      <c r="W208" s="171">
        <f>Pasākumu_līmenis!U146</f>
        <v>2</v>
      </c>
      <c r="X208" s="171">
        <v>2002863.57</v>
      </c>
      <c r="Y208" s="172">
        <v>0.95088194967341177</v>
      </c>
      <c r="Z208" s="171">
        <f>Pasākumu_līmenis!X146</f>
        <v>2002863.57</v>
      </c>
      <c r="AA208" s="172">
        <f t="shared" si="121"/>
        <v>0.95088194967341177</v>
      </c>
      <c r="AB208" s="172">
        <f t="shared" si="122"/>
        <v>0</v>
      </c>
      <c r="AC208" s="172">
        <f t="shared" si="115"/>
        <v>0</v>
      </c>
      <c r="AD208" s="171">
        <f>Pasākumu_līmenis!AB146</f>
        <v>2</v>
      </c>
      <c r="AE208" s="171">
        <v>2002863.57</v>
      </c>
      <c r="AF208" s="172">
        <v>0.95088194967341177</v>
      </c>
      <c r="AG208" s="171">
        <f>Pasākumu_līmenis!AE146</f>
        <v>2002863.57</v>
      </c>
      <c r="AH208" s="172">
        <f t="shared" si="123"/>
        <v>0.95088194967341177</v>
      </c>
      <c r="AI208" s="172">
        <f t="shared" si="124"/>
        <v>0</v>
      </c>
      <c r="AJ208" s="172">
        <f t="shared" si="116"/>
        <v>0</v>
      </c>
      <c r="AK208" s="171">
        <v>2002863.57</v>
      </c>
      <c r="AL208" s="172">
        <v>0.95088194967341177</v>
      </c>
    </row>
    <row r="209" spans="1:38" ht="33.75" customHeight="1" x14ac:dyDescent="0.3">
      <c r="A209" s="253" t="s">
        <v>235</v>
      </c>
      <c r="B209" s="254" t="str">
        <f>VLOOKUP(A209,saīsinājumi_LV_ENG!A:G,5,FALSE)</f>
        <v>TP informācijai un komunikācijai</v>
      </c>
      <c r="C209" s="10" t="s">
        <v>143</v>
      </c>
      <c r="D209" s="10"/>
      <c r="E209" s="42" t="str">
        <f>Pasākumu_līmenis!D147</f>
        <v>ESF</v>
      </c>
      <c r="F209" s="42" t="str">
        <f>Pasākumu_līmenis!E147</f>
        <v>FM</v>
      </c>
      <c r="G209" s="275" t="str">
        <f>VLOOKUP(A209,'2. Intervences kategorijas - Pa'!B:D,2,FALSE)</f>
        <v>12 - Nepiemēro (tikai tehniska palīdzība)</v>
      </c>
      <c r="H209" s="171">
        <f>Pasākumu_līmenis!F147</f>
        <v>7101751</v>
      </c>
      <c r="I209" s="171">
        <f>Pasākumu_līmenis!G147</f>
        <v>0</v>
      </c>
      <c r="J209" s="171">
        <f>Pasākumu_līmenis!H147</f>
        <v>7101751</v>
      </c>
      <c r="K209" s="171">
        <f>Pasākumu_līmenis!I147</f>
        <v>0</v>
      </c>
      <c r="L209" s="171">
        <f>Pasākumu_līmenis!J147</f>
        <v>6892432.8200000003</v>
      </c>
      <c r="M209" s="172">
        <f t="shared" si="117"/>
        <v>0.9705258351074264</v>
      </c>
      <c r="N209" s="172">
        <f t="shared" si="118"/>
        <v>0</v>
      </c>
      <c r="O209" s="172">
        <f t="shared" si="125"/>
        <v>0</v>
      </c>
      <c r="P209" s="171">
        <f>Pasākumu_līmenis!N147</f>
        <v>22</v>
      </c>
      <c r="Q209" s="171">
        <v>6892432.8200000003</v>
      </c>
      <c r="R209" s="172">
        <v>0.9705258351074264</v>
      </c>
      <c r="S209" s="171">
        <f>Pasākumu_līmenis!Q147</f>
        <v>6892432.8200000003</v>
      </c>
      <c r="T209" s="172">
        <f t="shared" si="119"/>
        <v>0.9705258351074264</v>
      </c>
      <c r="U209" s="172">
        <f t="shared" si="120"/>
        <v>0</v>
      </c>
      <c r="V209" s="172">
        <f t="shared" si="126"/>
        <v>0</v>
      </c>
      <c r="W209" s="171">
        <f>Pasākumu_līmenis!U147</f>
        <v>22</v>
      </c>
      <c r="X209" s="171">
        <v>6892432.8200000003</v>
      </c>
      <c r="Y209" s="172">
        <v>0.9705258351074264</v>
      </c>
      <c r="Z209" s="171">
        <f>Pasākumu_līmenis!X147</f>
        <v>6892432.8200000003</v>
      </c>
      <c r="AA209" s="172">
        <f t="shared" si="121"/>
        <v>0.9705258351074264</v>
      </c>
      <c r="AB209" s="172">
        <f t="shared" si="122"/>
        <v>0</v>
      </c>
      <c r="AC209" s="172">
        <f t="shared" si="115"/>
        <v>0</v>
      </c>
      <c r="AD209" s="171">
        <f>Pasākumu_līmenis!AB147</f>
        <v>22</v>
      </c>
      <c r="AE209" s="171">
        <v>6892432.8200000003</v>
      </c>
      <c r="AF209" s="172">
        <v>0.9705258351074264</v>
      </c>
      <c r="AG209" s="171">
        <f>Pasākumu_līmenis!AE147</f>
        <v>6892376.75</v>
      </c>
      <c r="AH209" s="172">
        <f t="shared" si="123"/>
        <v>0.97051793987144863</v>
      </c>
      <c r="AI209" s="172">
        <f t="shared" si="124"/>
        <v>0</v>
      </c>
      <c r="AJ209" s="172">
        <f t="shared" si="116"/>
        <v>0</v>
      </c>
      <c r="AK209" s="171">
        <v>6892376.75</v>
      </c>
      <c r="AL209" s="172">
        <v>0.97051793987144863</v>
      </c>
    </row>
    <row r="210" spans="1:38" ht="108" customHeight="1" x14ac:dyDescent="0.3">
      <c r="A210" s="253" t="s">
        <v>1250</v>
      </c>
      <c r="B210" s="254" t="s">
        <v>1253</v>
      </c>
      <c r="C210" s="10"/>
      <c r="D210" s="10"/>
      <c r="E210" s="42" t="str">
        <f>Pasākumu_līmenis!D148</f>
        <v>ESF</v>
      </c>
      <c r="F210" s="42" t="str">
        <f>Pasākumu_līmenis!E148</f>
        <v>FM</v>
      </c>
      <c r="G210" s="275" t="str">
        <f>VLOOKUP(A210,'2. Intervences kategorijas - Pa'!B:D,2,FALSE)</f>
        <v>12 - Nepiemēro (tikai tehniska palīdzība)</v>
      </c>
      <c r="H210" s="171">
        <f>Pasākumu_līmenis!F148</f>
        <v>12211967</v>
      </c>
      <c r="I210" s="171">
        <f>Pasākumu_līmenis!G148</f>
        <v>0</v>
      </c>
      <c r="J210" s="171">
        <f>Pasākumu_līmenis!H148</f>
        <v>12211967</v>
      </c>
      <c r="K210" s="171">
        <f>Pasākumu_līmenis!I148</f>
        <v>0</v>
      </c>
      <c r="L210" s="171">
        <f>Pasākumu_līmenis!J148</f>
        <v>12062864.77</v>
      </c>
      <c r="M210" s="172">
        <f t="shared" ref="M210" si="152">L210/$H210</f>
        <v>0.98779048207385423</v>
      </c>
      <c r="N210" s="172">
        <f t="shared" ref="N210" si="153">M210-R210</f>
        <v>0</v>
      </c>
      <c r="O210" s="172">
        <f t="shared" ref="O210" si="154">IFERROR(((L210-Q210)/Q210),0)</f>
        <v>0</v>
      </c>
      <c r="P210" s="171">
        <f>Pasākumu_līmenis!N148</f>
        <v>20</v>
      </c>
      <c r="Q210" s="171">
        <v>12062864.77</v>
      </c>
      <c r="R210" s="172">
        <v>0.98779048207385423</v>
      </c>
      <c r="S210" s="171">
        <f>Pasākumu_līmenis!Q148</f>
        <v>12062864.77</v>
      </c>
      <c r="T210" s="172">
        <f t="shared" ref="T210" si="155">S210/$H210</f>
        <v>0.98779048207385423</v>
      </c>
      <c r="U210" s="172">
        <f t="shared" ref="U210" si="156">T210-Y210</f>
        <v>0</v>
      </c>
      <c r="V210" s="172">
        <f t="shared" ref="V210" si="157">IFERROR(((S210-X210)/X210),0)</f>
        <v>0</v>
      </c>
      <c r="W210" s="171">
        <f>Pasākumu_līmenis!U148</f>
        <v>20</v>
      </c>
      <c r="X210" s="171">
        <v>12062864.77</v>
      </c>
      <c r="Y210" s="172">
        <v>0.98779048207385423</v>
      </c>
      <c r="Z210" s="171">
        <f>Pasākumu_līmenis!X148</f>
        <v>12062864.77</v>
      </c>
      <c r="AA210" s="172">
        <f t="shared" ref="AA210" si="158">Z210/$H210</f>
        <v>0.98779048207385423</v>
      </c>
      <c r="AB210" s="172">
        <f t="shared" ref="AB210" si="159">AA210-AF210</f>
        <v>0</v>
      </c>
      <c r="AC210" s="172">
        <f t="shared" ref="AC210" si="160">IFERROR(((Z210-AE210)/AE210),0)</f>
        <v>0</v>
      </c>
      <c r="AD210" s="171">
        <f>Pasākumu_līmenis!AB148</f>
        <v>20</v>
      </c>
      <c r="AE210" s="171">
        <v>12062864.77</v>
      </c>
      <c r="AF210" s="172">
        <v>0.98779048207385423</v>
      </c>
      <c r="AG210" s="171">
        <f>Pasākumu_līmenis!AE148</f>
        <v>12062864.77</v>
      </c>
      <c r="AH210" s="172">
        <f>AG210/$H210</f>
        <v>0.98779048207385423</v>
      </c>
      <c r="AI210" s="172">
        <f t="shared" ref="AI210" si="161">AH210-AL210</f>
        <v>0</v>
      </c>
      <c r="AJ210" s="172">
        <f t="shared" ref="AJ210" si="162">IFERROR(((AG210-AK210)/AK210),0)</f>
        <v>0</v>
      </c>
      <c r="AK210" s="171">
        <v>12062864.77</v>
      </c>
      <c r="AL210" s="172">
        <v>0.98779048207385423</v>
      </c>
    </row>
    <row r="211" spans="1:38" ht="21" customHeight="1" x14ac:dyDescent="0.3">
      <c r="A211" s="247" t="s">
        <v>144</v>
      </c>
      <c r="B211" s="248" t="str">
        <f>VLOOKUP(A211,saīsinājumi_LV_ENG!A:G,5,FALSE)</f>
        <v>ERAF tehniskā palīdzība</v>
      </c>
      <c r="C211" s="8" t="s">
        <v>146</v>
      </c>
      <c r="D211" s="225"/>
      <c r="E211" s="66"/>
      <c r="F211" s="66"/>
      <c r="G211" s="280"/>
      <c r="H211" s="226">
        <f>H212</f>
        <v>39180553</v>
      </c>
      <c r="I211" s="226">
        <f>I212</f>
        <v>0</v>
      </c>
      <c r="J211" s="226">
        <f>J212</f>
        <v>39180553</v>
      </c>
      <c r="K211" s="226">
        <f>K212</f>
        <v>0</v>
      </c>
      <c r="L211" s="226">
        <f>L212</f>
        <v>39151081.200000003</v>
      </c>
      <c r="M211" s="227">
        <f t="shared" si="117"/>
        <v>0.99924779520084883</v>
      </c>
      <c r="N211" s="227">
        <f t="shared" si="118"/>
        <v>0</v>
      </c>
      <c r="O211" s="227">
        <f t="shared" si="125"/>
        <v>0</v>
      </c>
      <c r="P211" s="226">
        <f>P212</f>
        <v>31</v>
      </c>
      <c r="Q211" s="175">
        <v>39151081.200000003</v>
      </c>
      <c r="R211" s="176">
        <v>0.99924779520084883</v>
      </c>
      <c r="S211" s="226">
        <f>S212</f>
        <v>39151081.200000003</v>
      </c>
      <c r="T211" s="227">
        <f t="shared" si="119"/>
        <v>0.99924779520084883</v>
      </c>
      <c r="U211" s="227">
        <f t="shared" si="120"/>
        <v>0</v>
      </c>
      <c r="V211" s="227">
        <f t="shared" si="126"/>
        <v>0</v>
      </c>
      <c r="W211" s="226">
        <f>W212</f>
        <v>31</v>
      </c>
      <c r="X211" s="226">
        <v>39151081.200000003</v>
      </c>
      <c r="Y211" s="227">
        <v>0.99924779520084883</v>
      </c>
      <c r="Z211" s="226">
        <f>Z212</f>
        <v>39151081.200000003</v>
      </c>
      <c r="AA211" s="227">
        <f t="shared" si="121"/>
        <v>0.99924779520084883</v>
      </c>
      <c r="AB211" s="227">
        <f t="shared" si="122"/>
        <v>0</v>
      </c>
      <c r="AC211" s="227">
        <f t="shared" si="115"/>
        <v>0</v>
      </c>
      <c r="AD211" s="226">
        <f>AD212</f>
        <v>31</v>
      </c>
      <c r="AE211" s="175">
        <v>39151081.200000003</v>
      </c>
      <c r="AF211" s="176">
        <v>0.99924779520084883</v>
      </c>
      <c r="AG211" s="226">
        <f>AG212</f>
        <v>39150971.990000002</v>
      </c>
      <c r="AH211" s="227">
        <f t="shared" si="123"/>
        <v>0.99924500784866421</v>
      </c>
      <c r="AI211" s="227">
        <f t="shared" si="124"/>
        <v>0</v>
      </c>
      <c r="AJ211" s="227">
        <f t="shared" si="116"/>
        <v>0</v>
      </c>
      <c r="AK211" s="226">
        <v>39150971.990000002</v>
      </c>
      <c r="AL211" s="227">
        <v>0.99924500784866421</v>
      </c>
    </row>
    <row r="212" spans="1:38" ht="59.25" customHeight="1" x14ac:dyDescent="0.3">
      <c r="A212" s="263" t="s">
        <v>234</v>
      </c>
      <c r="B212" s="254" t="str">
        <f>VLOOKUP(A212,saīsinājumi_LV_ENG!A:G,5,FALSE)</f>
        <v>TP KP fondu plānošanai, ieviešanai, uzraudzībai un kontrolei</v>
      </c>
      <c r="C212" s="10" t="s">
        <v>148</v>
      </c>
      <c r="D212" s="10"/>
      <c r="E212" s="38" t="str">
        <f>Pasākumu_līmenis!D150</f>
        <v>ERAF</v>
      </c>
      <c r="F212" s="38" t="str">
        <f>Pasākumu_līmenis!E150</f>
        <v>FM</v>
      </c>
      <c r="G212" s="278" t="str">
        <f>VLOOKUP(A212,'2. Intervences kategorijas - Pa'!B:D,2,FALSE)</f>
        <v>12 - Nepiemēro (tikai tehniska palīdzība)</v>
      </c>
      <c r="H212" s="169">
        <f>Pasākumu_līmenis!F150</f>
        <v>39180553</v>
      </c>
      <c r="I212" s="169">
        <f>Pasākumu_līmenis!G150</f>
        <v>0</v>
      </c>
      <c r="J212" s="169">
        <f>Pasākumu_līmenis!H150</f>
        <v>39180553</v>
      </c>
      <c r="K212" s="169">
        <f>Pasākumu_līmenis!I150</f>
        <v>0</v>
      </c>
      <c r="L212" s="169">
        <f>Pasākumu_līmenis!J150</f>
        <v>39151081.200000003</v>
      </c>
      <c r="M212" s="170">
        <f t="shared" si="117"/>
        <v>0.99924779520084883</v>
      </c>
      <c r="N212" s="170">
        <f t="shared" si="118"/>
        <v>0</v>
      </c>
      <c r="O212" s="170">
        <f t="shared" si="125"/>
        <v>0</v>
      </c>
      <c r="P212" s="169">
        <f>Pasākumu_līmenis!N150</f>
        <v>31</v>
      </c>
      <c r="Q212" s="169">
        <v>39151081.200000003</v>
      </c>
      <c r="R212" s="170">
        <v>0.99924779520084883</v>
      </c>
      <c r="S212" s="169">
        <f>Pasākumu_līmenis!Q150</f>
        <v>39151081.200000003</v>
      </c>
      <c r="T212" s="170">
        <f t="shared" si="119"/>
        <v>0.99924779520084883</v>
      </c>
      <c r="U212" s="170">
        <f t="shared" si="120"/>
        <v>0</v>
      </c>
      <c r="V212" s="170">
        <f t="shared" si="126"/>
        <v>0</v>
      </c>
      <c r="W212" s="169">
        <f>Pasākumu_līmenis!U150</f>
        <v>31</v>
      </c>
      <c r="X212" s="169">
        <v>39151081.200000003</v>
      </c>
      <c r="Y212" s="170">
        <v>0.99924779520084883</v>
      </c>
      <c r="Z212" s="169">
        <f>Pasākumu_līmenis!X150</f>
        <v>39151081.200000003</v>
      </c>
      <c r="AA212" s="170">
        <f t="shared" si="121"/>
        <v>0.99924779520084883</v>
      </c>
      <c r="AB212" s="170">
        <f t="shared" si="122"/>
        <v>0</v>
      </c>
      <c r="AC212" s="170">
        <f t="shared" si="115"/>
        <v>0</v>
      </c>
      <c r="AD212" s="169">
        <f>Pasākumu_līmenis!AB150</f>
        <v>31</v>
      </c>
      <c r="AE212" s="169">
        <v>39151081.200000003</v>
      </c>
      <c r="AF212" s="170">
        <v>0.99924779520084883</v>
      </c>
      <c r="AG212" s="169">
        <f>Pasākumu_līmenis!AE150</f>
        <v>39150971.990000002</v>
      </c>
      <c r="AH212" s="170">
        <f t="shared" si="123"/>
        <v>0.99924500784866421</v>
      </c>
      <c r="AI212" s="170">
        <f t="shared" si="124"/>
        <v>0</v>
      </c>
      <c r="AJ212" s="170">
        <f t="shared" si="116"/>
        <v>0</v>
      </c>
      <c r="AK212" s="169">
        <v>39150971.990000002</v>
      </c>
      <c r="AL212" s="170">
        <v>0.99924500784866421</v>
      </c>
    </row>
    <row r="213" spans="1:38" ht="21" customHeight="1" x14ac:dyDescent="0.3">
      <c r="A213" s="247" t="s">
        <v>145</v>
      </c>
      <c r="B213" s="248" t="str">
        <f>VLOOKUP(A213,saīsinājumi_LV_ENG!A:G,5,FALSE)</f>
        <v>KF tehniskā palīdzība</v>
      </c>
      <c r="C213" s="8" t="s">
        <v>147</v>
      </c>
      <c r="D213" s="225"/>
      <c r="E213" s="66"/>
      <c r="F213" s="66"/>
      <c r="G213" s="280"/>
      <c r="H213" s="226">
        <f>H214</f>
        <v>40715710</v>
      </c>
      <c r="I213" s="226">
        <f>I214</f>
        <v>0</v>
      </c>
      <c r="J213" s="226">
        <f>J214</f>
        <v>40715710</v>
      </c>
      <c r="K213" s="226">
        <f>K214</f>
        <v>0</v>
      </c>
      <c r="L213" s="226">
        <f>L214</f>
        <v>40697163.219999999</v>
      </c>
      <c r="M213" s="227">
        <f t="shared" si="117"/>
        <v>0.99954448098780546</v>
      </c>
      <c r="N213" s="227">
        <f t="shared" si="118"/>
        <v>0</v>
      </c>
      <c r="O213" s="227">
        <f t="shared" si="125"/>
        <v>0</v>
      </c>
      <c r="P213" s="226">
        <f>P214</f>
        <v>7</v>
      </c>
      <c r="Q213" s="175">
        <v>40697163.219999999</v>
      </c>
      <c r="R213" s="176">
        <v>0.99954448098780546</v>
      </c>
      <c r="S213" s="226">
        <f>S214</f>
        <v>40697163.219999999</v>
      </c>
      <c r="T213" s="227">
        <f t="shared" si="119"/>
        <v>0.99954448098780546</v>
      </c>
      <c r="U213" s="227">
        <f t="shared" si="120"/>
        <v>0</v>
      </c>
      <c r="V213" s="227">
        <f t="shared" si="126"/>
        <v>0</v>
      </c>
      <c r="W213" s="226">
        <f>W214</f>
        <v>7</v>
      </c>
      <c r="X213" s="226">
        <v>40697163.219999999</v>
      </c>
      <c r="Y213" s="227">
        <v>0.99954448098780546</v>
      </c>
      <c r="Z213" s="226">
        <f>Z214</f>
        <v>40697163.219999999</v>
      </c>
      <c r="AA213" s="227">
        <f t="shared" si="121"/>
        <v>0.99954448098780546</v>
      </c>
      <c r="AB213" s="227">
        <f t="shared" si="122"/>
        <v>0</v>
      </c>
      <c r="AC213" s="227">
        <f t="shared" si="115"/>
        <v>0</v>
      </c>
      <c r="AD213" s="226">
        <f>AD214</f>
        <v>7</v>
      </c>
      <c r="AE213" s="175">
        <v>40697163.219999999</v>
      </c>
      <c r="AF213" s="176">
        <v>0.99954448098780546</v>
      </c>
      <c r="AG213" s="226">
        <f>AG214</f>
        <v>40697163.219999999</v>
      </c>
      <c r="AH213" s="227">
        <f t="shared" si="123"/>
        <v>0.99954448098780546</v>
      </c>
      <c r="AI213" s="227">
        <f t="shared" si="124"/>
        <v>0</v>
      </c>
      <c r="AJ213" s="227">
        <f t="shared" si="116"/>
        <v>0</v>
      </c>
      <c r="AK213" s="226">
        <v>40697163.219999999</v>
      </c>
      <c r="AL213" s="227">
        <v>0.99954448098780546</v>
      </c>
    </row>
    <row r="214" spans="1:38" ht="59.25" customHeight="1" x14ac:dyDescent="0.3">
      <c r="A214" s="263" t="s">
        <v>233</v>
      </c>
      <c r="B214" s="254" t="str">
        <f>VLOOKUP(A214,saīsinājumi_LV_ENG!A:G,5,FALSE)</f>
        <v>TP KP fondu plānošanai, ieviešanai, uzraudzībai, kontrolei, revīzijai un e-kohēzijai</v>
      </c>
      <c r="C214" s="10" t="s">
        <v>149</v>
      </c>
      <c r="D214" s="10"/>
      <c r="E214" s="38" t="str">
        <f>Pasākumu_līmenis!D152</f>
        <v>KF</v>
      </c>
      <c r="F214" s="38" t="str">
        <f>Pasākumu_līmenis!E152</f>
        <v>FM</v>
      </c>
      <c r="G214" s="278" t="str">
        <f>VLOOKUP(A214,'2. Intervences kategorijas - Pa'!B:D,2,FALSE)</f>
        <v>12 - Nepiemēro (tikai tehniska palīdzība)</v>
      </c>
      <c r="H214" s="169">
        <f>Pasākumu_līmenis!F152</f>
        <v>40715710</v>
      </c>
      <c r="I214" s="169">
        <f>Pasākumu_līmenis!G152</f>
        <v>0</v>
      </c>
      <c r="J214" s="169">
        <f>Pasākumu_līmenis!H152</f>
        <v>40715710</v>
      </c>
      <c r="K214" s="169">
        <f>Pasākumu_līmenis!I152</f>
        <v>0</v>
      </c>
      <c r="L214" s="169">
        <f>Pasākumu_līmenis!J152</f>
        <v>40697163.219999999</v>
      </c>
      <c r="M214" s="170">
        <f t="shared" si="117"/>
        <v>0.99954448098780546</v>
      </c>
      <c r="N214" s="170">
        <f t="shared" si="118"/>
        <v>0</v>
      </c>
      <c r="O214" s="170">
        <f t="shared" si="125"/>
        <v>0</v>
      </c>
      <c r="P214" s="169">
        <f>Pasākumu_līmenis!N152</f>
        <v>7</v>
      </c>
      <c r="Q214" s="169">
        <v>40697163.219999999</v>
      </c>
      <c r="R214" s="170">
        <v>0.99954448098780546</v>
      </c>
      <c r="S214" s="169">
        <f>Pasākumu_līmenis!Q152</f>
        <v>40697163.219999999</v>
      </c>
      <c r="T214" s="170">
        <f t="shared" si="119"/>
        <v>0.99954448098780546</v>
      </c>
      <c r="U214" s="170">
        <f t="shared" si="120"/>
        <v>0</v>
      </c>
      <c r="V214" s="170">
        <f t="shared" si="126"/>
        <v>0</v>
      </c>
      <c r="W214" s="169">
        <f>Pasākumu_līmenis!U152</f>
        <v>7</v>
      </c>
      <c r="X214" s="169">
        <v>40697163.219999999</v>
      </c>
      <c r="Y214" s="170">
        <v>0.99954448098780546</v>
      </c>
      <c r="Z214" s="169">
        <f>Pasākumu_līmenis!X152</f>
        <v>40697163.219999999</v>
      </c>
      <c r="AA214" s="170">
        <f t="shared" si="121"/>
        <v>0.99954448098780546</v>
      </c>
      <c r="AB214" s="170">
        <f t="shared" si="122"/>
        <v>0</v>
      </c>
      <c r="AC214" s="170">
        <f>IFERROR(((Z214-AE214)/AE214),0)</f>
        <v>0</v>
      </c>
      <c r="AD214" s="169">
        <f>Pasākumu_līmenis!AB152</f>
        <v>7</v>
      </c>
      <c r="AE214" s="169">
        <v>40697163.219999999</v>
      </c>
      <c r="AF214" s="170">
        <v>0.99954448098780546</v>
      </c>
      <c r="AG214" s="169">
        <f>Pasākumu_līmenis!AE152</f>
        <v>40697163.219999999</v>
      </c>
      <c r="AH214" s="170">
        <f t="shared" si="123"/>
        <v>0.99954448098780546</v>
      </c>
      <c r="AI214" s="170">
        <f t="shared" si="124"/>
        <v>0</v>
      </c>
      <c r="AJ214" s="170">
        <f t="shared" si="116"/>
        <v>0</v>
      </c>
      <c r="AK214" s="169">
        <v>40697163.219999999</v>
      </c>
      <c r="AL214" s="170">
        <v>0.99954448098780546</v>
      </c>
    </row>
    <row r="215" spans="1:38" ht="56.25" x14ac:dyDescent="0.3">
      <c r="A215" s="247" t="s">
        <v>1376</v>
      </c>
      <c r="B215" s="248" t="str">
        <f>VLOOKUP(A215,saīsinājumi_LV_ENG!A:G,5,FALSE)</f>
        <v>Pasākumi Covid-19 pandēmijas seku mazināšanai (ERAF)</v>
      </c>
      <c r="C215" s="8"/>
      <c r="D215" s="225"/>
      <c r="E215" s="66"/>
      <c r="F215" s="66"/>
      <c r="G215" s="280"/>
      <c r="H215" s="226">
        <f>SUM(H216:H227)</f>
        <v>197923434</v>
      </c>
      <c r="I215" s="226">
        <f>SUM(I216:I227)</f>
        <v>1</v>
      </c>
      <c r="J215" s="226">
        <f>SUM(J216:J227)</f>
        <v>197923435</v>
      </c>
      <c r="K215" s="226">
        <f>SUM(K223:K224)</f>
        <v>0</v>
      </c>
      <c r="L215" s="226">
        <f>SUM(L216:L227)</f>
        <v>172648849.45000002</v>
      </c>
      <c r="M215" s="227">
        <f t="shared" si="117"/>
        <v>0.87230120234272013</v>
      </c>
      <c r="N215" s="227">
        <f>M215-R215</f>
        <v>0</v>
      </c>
      <c r="O215" s="227">
        <f t="shared" si="125"/>
        <v>0</v>
      </c>
      <c r="P215" s="226">
        <f>SUM(P216:P227)</f>
        <v>126</v>
      </c>
      <c r="Q215" s="175">
        <v>172648849.45000002</v>
      </c>
      <c r="R215" s="176">
        <v>0.87230120234272013</v>
      </c>
      <c r="S215" s="226">
        <f>SUM(S216:S227)</f>
        <v>172648849.45000002</v>
      </c>
      <c r="T215" s="227">
        <f t="shared" si="119"/>
        <v>0.87230120234272013</v>
      </c>
      <c r="U215" s="227">
        <f t="shared" si="120"/>
        <v>0</v>
      </c>
      <c r="V215" s="227">
        <f t="shared" si="126"/>
        <v>0</v>
      </c>
      <c r="W215" s="226">
        <f>SUM(W216:W227)</f>
        <v>126</v>
      </c>
      <c r="X215" s="226">
        <v>172648849.45000002</v>
      </c>
      <c r="Y215" s="227">
        <v>0.87230120234272013</v>
      </c>
      <c r="Z215" s="226">
        <f>SUM(Z216:Z227)</f>
        <v>172648849.45000002</v>
      </c>
      <c r="AA215" s="227">
        <f t="shared" si="121"/>
        <v>0.87230120234272013</v>
      </c>
      <c r="AB215" s="227">
        <f t="shared" si="122"/>
        <v>0</v>
      </c>
      <c r="AC215" s="227">
        <f t="shared" ref="AC215:AC217" si="163">IFERROR(((Z215-AE215)/AE215),0)</f>
        <v>0</v>
      </c>
      <c r="AD215" s="226">
        <f>SUM(AD216:AD227)</f>
        <v>126</v>
      </c>
      <c r="AE215" s="175">
        <v>172648849.45000002</v>
      </c>
      <c r="AF215" s="176">
        <v>0.87230120234272013</v>
      </c>
      <c r="AG215" s="226">
        <f>SUM(AG216:AG227)</f>
        <v>170583248.70000002</v>
      </c>
      <c r="AH215" s="227">
        <f t="shared" si="123"/>
        <v>0.86186483961267579</v>
      </c>
      <c r="AI215" s="227">
        <f t="shared" si="124"/>
        <v>0</v>
      </c>
      <c r="AJ215" s="227">
        <f t="shared" ref="AJ215:AJ217" si="164">IFERROR(((AG215-AK215)/AK215),0)</f>
        <v>0</v>
      </c>
      <c r="AK215" s="226">
        <v>170583248.70000002</v>
      </c>
      <c r="AL215" s="227">
        <v>0.86186483961267579</v>
      </c>
    </row>
    <row r="216" spans="1:38" ht="56.25" x14ac:dyDescent="0.3">
      <c r="A216" s="263" t="s">
        <v>1385</v>
      </c>
      <c r="B216" s="254" t="str">
        <f>VLOOKUP(A216,saīsinājumi_LV_ENG!A:G,5,FALSE)</f>
        <v>Aizdevumi MVK</v>
      </c>
      <c r="C216" s="10"/>
      <c r="D216" s="10"/>
      <c r="E216" s="42" t="str">
        <f>Pasākumu_līmenis!D154</f>
        <v>ReactEU ERAF</v>
      </c>
      <c r="F216" s="42" t="str">
        <f>Pasākumu_līmenis!E154</f>
        <v>EM</v>
      </c>
      <c r="G216" s="278"/>
      <c r="H216" s="169">
        <f>Pasākumu_līmenis!F154</f>
        <v>21059282</v>
      </c>
      <c r="I216" s="169">
        <f>Pasākumu_līmenis!G154</f>
        <v>0</v>
      </c>
      <c r="J216" s="169">
        <f>Pasākumu_līmenis!H154</f>
        <v>21059282</v>
      </c>
      <c r="K216" s="169">
        <f>Pasākumu_līmenis!I154</f>
        <v>0</v>
      </c>
      <c r="L216" s="169">
        <f>Pasākumu_līmenis!J154</f>
        <v>21059281.16</v>
      </c>
      <c r="M216" s="170">
        <f t="shared" ref="M216" si="165">L216/$H216</f>
        <v>0.99999996011260028</v>
      </c>
      <c r="N216" s="170">
        <f>M216-R216</f>
        <v>0</v>
      </c>
      <c r="O216" s="170">
        <f t="shared" ref="O216" si="166">IFERROR(((L216-Q216)/Q216),0)</f>
        <v>0</v>
      </c>
      <c r="P216" s="169">
        <f>Pasākumu_līmenis!N154</f>
        <v>0</v>
      </c>
      <c r="Q216" s="169">
        <v>21059281.16</v>
      </c>
      <c r="R216" s="170">
        <v>0.99999996011260028</v>
      </c>
      <c r="S216" s="169">
        <f>Pasākumu_līmenis!Q154</f>
        <v>21059281.16</v>
      </c>
      <c r="T216" s="170">
        <f t="shared" ref="T216" si="167">S216/$H216</f>
        <v>0.99999996011260028</v>
      </c>
      <c r="U216" s="170">
        <f t="shared" ref="U216" si="168">T216-Y216</f>
        <v>0</v>
      </c>
      <c r="V216" s="170">
        <f t="shared" ref="V216" si="169">IFERROR(((S216-X216)/X216),0)</f>
        <v>0</v>
      </c>
      <c r="W216" s="169">
        <f>Pasākumu_līmenis!U154</f>
        <v>0</v>
      </c>
      <c r="X216" s="169">
        <v>21059281.16</v>
      </c>
      <c r="Y216" s="170">
        <v>0.99999996011260028</v>
      </c>
      <c r="Z216" s="169">
        <f>Pasākumu_līmenis!X154</f>
        <v>21059281.16</v>
      </c>
      <c r="AA216" s="170">
        <f t="shared" ref="AA216" si="170">Z216/$H216</f>
        <v>0.99999996011260028</v>
      </c>
      <c r="AB216" s="170">
        <f t="shared" ref="AB216" si="171">AA216-AF216</f>
        <v>0</v>
      </c>
      <c r="AC216" s="170">
        <f t="shared" ref="AC216" si="172">IFERROR(((Z216-AE216)/AE216),0)</f>
        <v>0</v>
      </c>
      <c r="AD216" s="169">
        <f>Pasākumu_līmenis!AB154</f>
        <v>0</v>
      </c>
      <c r="AE216" s="169">
        <v>21059281.16</v>
      </c>
      <c r="AF216" s="170">
        <v>0.99999996011260028</v>
      </c>
      <c r="AG216" s="169">
        <f>Pasākumu_līmenis!AE154</f>
        <v>21059281.16</v>
      </c>
      <c r="AH216" s="170">
        <f t="shared" ref="AH216" si="173">AG216/$H216</f>
        <v>0.99999996011260028</v>
      </c>
      <c r="AI216" s="170">
        <f t="shared" ref="AI216" si="174">AH216-AL216</f>
        <v>0</v>
      </c>
      <c r="AJ216" s="170">
        <f t="shared" ref="AJ216" si="175">IFERROR(((AG216-AK216)/AK216),0)</f>
        <v>0</v>
      </c>
      <c r="AK216" s="169">
        <v>21059281.16</v>
      </c>
      <c r="AL216" s="170">
        <v>0.99999996011260028</v>
      </c>
    </row>
    <row r="217" spans="1:38" ht="56.25" x14ac:dyDescent="0.3">
      <c r="A217" s="263" t="s">
        <v>1378</v>
      </c>
      <c r="B217" s="254" t="str">
        <f>VLOOKUP(A217,saīsinājumi_LV_ENG!A:G,5,FALSE)</f>
        <v xml:space="preserve">Daudzdzīvokļu māju energoefektivitāte </v>
      </c>
      <c r="C217" s="10"/>
      <c r="D217" s="10"/>
      <c r="E217" s="42" t="str">
        <f>Pasākumu_līmenis!D155</f>
        <v>ReactEU ERAF</v>
      </c>
      <c r="F217" s="42" t="str">
        <f>Pasākumu_līmenis!E155</f>
        <v>EM</v>
      </c>
      <c r="G217" s="278"/>
      <c r="H217" s="169">
        <f>Pasākumu_līmenis!F155</f>
        <v>29482994</v>
      </c>
      <c r="I217" s="169">
        <f>Pasākumu_līmenis!G155</f>
        <v>0</v>
      </c>
      <c r="J217" s="169">
        <f>Pasākumu_līmenis!H155</f>
        <v>29482994</v>
      </c>
      <c r="K217" s="169">
        <f>Pasākumu_līmenis!I155</f>
        <v>0</v>
      </c>
      <c r="L217" s="169">
        <f>Pasākumu_līmenis!J155</f>
        <v>29482994</v>
      </c>
      <c r="M217" s="170">
        <f t="shared" ref="M217" si="176">L217/$H217</f>
        <v>1</v>
      </c>
      <c r="N217" s="170">
        <f>M217-R217</f>
        <v>0</v>
      </c>
      <c r="O217" s="170">
        <f t="shared" si="125"/>
        <v>0</v>
      </c>
      <c r="P217" s="169">
        <f>Pasākumu_līmenis!N155</f>
        <v>0</v>
      </c>
      <c r="Q217" s="169">
        <v>29482994</v>
      </c>
      <c r="R217" s="170">
        <v>1</v>
      </c>
      <c r="S217" s="169">
        <f>Pasākumu_līmenis!Q155</f>
        <v>29482994</v>
      </c>
      <c r="T217" s="170">
        <f t="shared" ref="T217" si="177">S217/$H217</f>
        <v>1</v>
      </c>
      <c r="U217" s="170">
        <f t="shared" ref="U217" si="178">T217-Y217</f>
        <v>0</v>
      </c>
      <c r="V217" s="170">
        <f t="shared" si="126"/>
        <v>0</v>
      </c>
      <c r="W217" s="169">
        <f>Pasākumu_līmenis!U155</f>
        <v>0</v>
      </c>
      <c r="X217" s="169">
        <v>29482994</v>
      </c>
      <c r="Y217" s="170">
        <v>1</v>
      </c>
      <c r="Z217" s="169">
        <f>Pasākumu_līmenis!X155</f>
        <v>29482994</v>
      </c>
      <c r="AA217" s="170">
        <f t="shared" ref="AA217" si="179">Z217/$H217</f>
        <v>1</v>
      </c>
      <c r="AB217" s="170">
        <f t="shared" ref="AB217" si="180">AA217-AF217</f>
        <v>0</v>
      </c>
      <c r="AC217" s="170">
        <f t="shared" si="163"/>
        <v>0</v>
      </c>
      <c r="AD217" s="169">
        <f>Pasākumu_līmenis!AB155</f>
        <v>0</v>
      </c>
      <c r="AE217" s="169">
        <v>29482994</v>
      </c>
      <c r="AF217" s="170">
        <v>1</v>
      </c>
      <c r="AG217" s="169">
        <f>Pasākumu_līmenis!AE155</f>
        <v>29482628.329999998</v>
      </c>
      <c r="AH217" s="170">
        <f t="shared" ref="AH217" si="181">AG217/$H217</f>
        <v>0.99998759725691355</v>
      </c>
      <c r="AI217" s="170">
        <f t="shared" ref="AI217" si="182">AH217-AL217</f>
        <v>0</v>
      </c>
      <c r="AJ217" s="170">
        <f t="shared" si="164"/>
        <v>0</v>
      </c>
      <c r="AK217" s="169">
        <v>29482628.329999998</v>
      </c>
      <c r="AL217" s="170">
        <v>0.99998759725691355</v>
      </c>
    </row>
    <row r="218" spans="1:38" ht="112.5" x14ac:dyDescent="0.3">
      <c r="A218" s="263" t="s">
        <v>1562</v>
      </c>
      <c r="B218" s="254" t="s">
        <v>1563</v>
      </c>
      <c r="C218" s="10"/>
      <c r="D218" s="10"/>
      <c r="E218" s="42" t="str">
        <f>Pasākumu_līmenis!D156</f>
        <v>ReactEU ERAF</v>
      </c>
      <c r="F218" s="42" t="str">
        <f>Pasākumu_līmenis!E156</f>
        <v>EM</v>
      </c>
      <c r="G218" s="278"/>
      <c r="H218" s="169">
        <f>Pasākumu_līmenis!F156</f>
        <v>5037633</v>
      </c>
      <c r="I218" s="169">
        <f>Pasākumu_līmenis!G156</f>
        <v>1</v>
      </c>
      <c r="J218" s="169">
        <f>Pasākumu_līmenis!H156</f>
        <v>5037634</v>
      </c>
      <c r="K218" s="169">
        <f>Pasākumu_līmenis!I156</f>
        <v>0</v>
      </c>
      <c r="L218" s="169">
        <f>Pasākumu_līmenis!J156</f>
        <v>5037633</v>
      </c>
      <c r="M218" s="170">
        <f t="shared" ref="M218:M219" si="183">L218/$H218</f>
        <v>1</v>
      </c>
      <c r="N218" s="170">
        <f t="shared" ref="N218:N219" si="184">M218-R218</f>
        <v>0</v>
      </c>
      <c r="O218" s="170">
        <f t="shared" ref="O218:O219" si="185">IFERROR(((L218-Q218)/Q218),0)</f>
        <v>0</v>
      </c>
      <c r="P218" s="169">
        <f>Pasākumu_līmenis!N156</f>
        <v>0</v>
      </c>
      <c r="Q218" s="169">
        <v>5037633</v>
      </c>
      <c r="R218" s="170">
        <v>1</v>
      </c>
      <c r="S218" s="169">
        <f>Pasākumu_līmenis!Q156</f>
        <v>5037633</v>
      </c>
      <c r="T218" s="170">
        <f t="shared" ref="T218:T219" si="186">S218/$H218</f>
        <v>1</v>
      </c>
      <c r="U218" s="170">
        <f t="shared" ref="U218:U219" si="187">T218-Y218</f>
        <v>0</v>
      </c>
      <c r="V218" s="170">
        <f t="shared" ref="V218:V219" si="188">IFERROR(((S218-X218)/X218),0)</f>
        <v>0</v>
      </c>
      <c r="W218" s="169">
        <f>Pasākumu_līmenis!U156</f>
        <v>0</v>
      </c>
      <c r="X218" s="169">
        <v>5037633</v>
      </c>
      <c r="Y218" s="170">
        <v>1</v>
      </c>
      <c r="Z218" s="169">
        <f>Pasākumu_līmenis!X156</f>
        <v>5037633</v>
      </c>
      <c r="AA218" s="170">
        <f t="shared" ref="AA218:AA219" si="189">Z218/$H218</f>
        <v>1</v>
      </c>
      <c r="AB218" s="170">
        <f t="shared" ref="AB218:AB219" si="190">AA218-AF218</f>
        <v>0</v>
      </c>
      <c r="AC218" s="170">
        <f t="shared" ref="AC218:AC219" si="191">IFERROR(((Z218-AE218)/AE218),0)</f>
        <v>0</v>
      </c>
      <c r="AD218" s="169">
        <f>Pasākumu_līmenis!AB156</f>
        <v>0</v>
      </c>
      <c r="AE218" s="169">
        <v>5037633</v>
      </c>
      <c r="AF218" s="170">
        <v>1</v>
      </c>
      <c r="AG218" s="169">
        <f>Pasākumu_līmenis!AE156</f>
        <v>5019349.8099999996</v>
      </c>
      <c r="AH218" s="170">
        <f t="shared" ref="AH218:AH219" si="192">AG218/$H218</f>
        <v>0.99637067845156635</v>
      </c>
      <c r="AI218" s="170">
        <f t="shared" ref="AI218:AI219" si="193">AH218-AL218</f>
        <v>0</v>
      </c>
      <c r="AJ218" s="170">
        <f t="shared" ref="AJ218:AJ219" si="194">IFERROR(((AG218-AK218)/AK218),0)</f>
        <v>0</v>
      </c>
      <c r="AK218" s="169">
        <v>5019349.8099999996</v>
      </c>
      <c r="AL218" s="170">
        <v>0.99637067845156635</v>
      </c>
    </row>
    <row r="219" spans="1:38" ht="75" x14ac:dyDescent="0.3">
      <c r="A219" s="263" t="s">
        <v>1560</v>
      </c>
      <c r="B219" s="254" t="s">
        <v>1561</v>
      </c>
      <c r="C219" s="10"/>
      <c r="D219" s="10"/>
      <c r="E219" s="42" t="str">
        <f>Pasākumu_līmenis!D157</f>
        <v>ReactEU ERAF</v>
      </c>
      <c r="F219" s="42" t="str">
        <f>Pasākumu_līmenis!E157</f>
        <v>EM</v>
      </c>
      <c r="G219" s="278"/>
      <c r="H219" s="169">
        <f>Pasākumu_līmenis!F157</f>
        <v>842372</v>
      </c>
      <c r="I219" s="169">
        <f>Pasākumu_līmenis!G157</f>
        <v>0</v>
      </c>
      <c r="J219" s="169">
        <f>Pasākumu_līmenis!H157</f>
        <v>842372</v>
      </c>
      <c r="K219" s="169">
        <f>Pasākumu_līmenis!I157</f>
        <v>0</v>
      </c>
      <c r="L219" s="169">
        <f>Pasākumu_līmenis!J157</f>
        <v>842372</v>
      </c>
      <c r="M219" s="170">
        <f t="shared" si="183"/>
        <v>1</v>
      </c>
      <c r="N219" s="170">
        <f t="shared" si="184"/>
        <v>0</v>
      </c>
      <c r="O219" s="170">
        <f t="shared" si="185"/>
        <v>0</v>
      </c>
      <c r="P219" s="169">
        <f>Pasākumu_līmenis!N157</f>
        <v>0</v>
      </c>
      <c r="Q219" s="169">
        <v>842372</v>
      </c>
      <c r="R219" s="170">
        <v>1</v>
      </c>
      <c r="S219" s="169">
        <f>Pasākumu_līmenis!Q157</f>
        <v>842372</v>
      </c>
      <c r="T219" s="170">
        <f t="shared" si="186"/>
        <v>1</v>
      </c>
      <c r="U219" s="170">
        <f t="shared" si="187"/>
        <v>0</v>
      </c>
      <c r="V219" s="170">
        <f t="shared" si="188"/>
        <v>0</v>
      </c>
      <c r="W219" s="169">
        <f>Pasākumu_līmenis!U157</f>
        <v>0</v>
      </c>
      <c r="X219" s="169">
        <v>842372</v>
      </c>
      <c r="Y219" s="170">
        <v>1</v>
      </c>
      <c r="Z219" s="169">
        <f>Pasākumu_līmenis!X157</f>
        <v>842372</v>
      </c>
      <c r="AA219" s="170">
        <f t="shared" si="189"/>
        <v>1</v>
      </c>
      <c r="AB219" s="170">
        <f t="shared" si="190"/>
        <v>0</v>
      </c>
      <c r="AC219" s="170">
        <f t="shared" si="191"/>
        <v>0</v>
      </c>
      <c r="AD219" s="169">
        <f>Pasākumu_līmenis!AB157</f>
        <v>0</v>
      </c>
      <c r="AE219" s="169">
        <v>842372</v>
      </c>
      <c r="AF219" s="170">
        <v>1</v>
      </c>
      <c r="AG219" s="169">
        <f>Pasākumu_līmenis!AE157</f>
        <v>500442.8</v>
      </c>
      <c r="AH219" s="170">
        <f t="shared" si="192"/>
        <v>0.59408764773757916</v>
      </c>
      <c r="AI219" s="170">
        <f t="shared" si="193"/>
        <v>0</v>
      </c>
      <c r="AJ219" s="170">
        <f t="shared" si="194"/>
        <v>0</v>
      </c>
      <c r="AK219" s="169">
        <v>500442.8</v>
      </c>
      <c r="AL219" s="170">
        <v>0.59408764773757916</v>
      </c>
    </row>
    <row r="220" spans="1:38" ht="56.25" x14ac:dyDescent="0.3">
      <c r="A220" s="263" t="s">
        <v>1386</v>
      </c>
      <c r="B220" s="254" t="str">
        <f>VLOOKUP(A220,saīsinājumi_LV_ENG!A:G,5,FALSE)</f>
        <v>Praktiskas ievirzes pētniecība</v>
      </c>
      <c r="C220" s="10"/>
      <c r="D220" s="10"/>
      <c r="E220" s="42" t="str">
        <f>Pasākumu_līmenis!D158</f>
        <v>ReactEU ERAF</v>
      </c>
      <c r="F220" s="42" t="str">
        <f>Pasākumu_līmenis!E158</f>
        <v>IZM</v>
      </c>
      <c r="G220" s="278"/>
      <c r="H220" s="169">
        <f>Pasākumu_līmenis!F158</f>
        <v>6741442</v>
      </c>
      <c r="I220" s="169">
        <f>Pasākumu_līmenis!G158</f>
        <v>0</v>
      </c>
      <c r="J220" s="169">
        <f>Pasākumu_līmenis!H158</f>
        <v>6741442</v>
      </c>
      <c r="K220" s="169">
        <f>Pasākumu_līmenis!I158</f>
        <v>0</v>
      </c>
      <c r="L220" s="169">
        <f>Pasākumu_līmenis!J158</f>
        <v>6665621.9199999999</v>
      </c>
      <c r="M220" s="170">
        <f t="shared" ref="M220" si="195">L220/$H220</f>
        <v>0.98875313619845728</v>
      </c>
      <c r="N220" s="170">
        <f>M220-R220</f>
        <v>0</v>
      </c>
      <c r="O220" s="170">
        <f t="shared" ref="O220" si="196">IFERROR(((L220-Q220)/Q220),0)</f>
        <v>0</v>
      </c>
      <c r="P220" s="169">
        <f>Pasākumu_līmenis!N158</f>
        <v>16</v>
      </c>
      <c r="Q220" s="169">
        <v>6665621.9199999999</v>
      </c>
      <c r="R220" s="170">
        <v>0.98875313619845728</v>
      </c>
      <c r="S220" s="169">
        <f>Pasākumu_līmenis!Q158</f>
        <v>6665621.9199999999</v>
      </c>
      <c r="T220" s="170">
        <f t="shared" ref="T220" si="197">S220/$H220</f>
        <v>0.98875313619845728</v>
      </c>
      <c r="U220" s="170">
        <f t="shared" ref="U220" si="198">T220-Y220</f>
        <v>0</v>
      </c>
      <c r="V220" s="170">
        <f t="shared" ref="V220" si="199">IFERROR(((S220-X220)/X220),0)</f>
        <v>0</v>
      </c>
      <c r="W220" s="169">
        <f>Pasākumu_līmenis!U158</f>
        <v>16</v>
      </c>
      <c r="X220" s="169">
        <v>6665621.9199999999</v>
      </c>
      <c r="Y220" s="170">
        <v>0.98875313619845728</v>
      </c>
      <c r="Z220" s="169">
        <f>Pasākumu_līmenis!X158</f>
        <v>6665621.9199999999</v>
      </c>
      <c r="AA220" s="170">
        <f t="shared" ref="AA220" si="200">Z220/$H220</f>
        <v>0.98875313619845728</v>
      </c>
      <c r="AB220" s="170">
        <f t="shared" ref="AB220" si="201">AA220-AF220</f>
        <v>0</v>
      </c>
      <c r="AC220" s="170">
        <f t="shared" ref="AC220" si="202">IFERROR(((Z220-AE220)/AE220),0)</f>
        <v>0</v>
      </c>
      <c r="AD220" s="169">
        <f>Pasākumu_līmenis!AB158</f>
        <v>16</v>
      </c>
      <c r="AE220" s="169">
        <v>6665621.9199999999</v>
      </c>
      <c r="AF220" s="170">
        <v>0.98875313619845728</v>
      </c>
      <c r="AG220" s="169">
        <f>Pasākumu_līmenis!AE158</f>
        <v>6665621.9199999999</v>
      </c>
      <c r="AH220" s="170">
        <f t="shared" ref="AH220" si="203">AG220/$H220</f>
        <v>0.98875313619845728</v>
      </c>
      <c r="AI220" s="170">
        <f t="shared" ref="AI220" si="204">AH220-AL220</f>
        <v>0</v>
      </c>
      <c r="AJ220" s="170">
        <f t="shared" ref="AJ220" si="205">IFERROR(((AG220-AK220)/AK220),0)</f>
        <v>0</v>
      </c>
      <c r="AK220" s="169">
        <v>6665621.9199999999</v>
      </c>
      <c r="AL220" s="170">
        <v>0.98875313619845728</v>
      </c>
    </row>
    <row r="221" spans="1:38" ht="20.25" x14ac:dyDescent="0.3">
      <c r="A221" s="263" t="s">
        <v>1387</v>
      </c>
      <c r="B221" s="254" t="str">
        <f>VLOOKUP(A221,saīsinājumi_LV_ENG!A:G,5,FALSE)</f>
        <v>Izglītības iestāžu digitalizācija</v>
      </c>
      <c r="C221" s="10"/>
      <c r="D221" s="10"/>
      <c r="E221" s="42" t="s">
        <v>344</v>
      </c>
      <c r="F221" s="42" t="s">
        <v>348</v>
      </c>
      <c r="G221" s="278"/>
      <c r="H221" s="169">
        <f>Pasākumu_līmenis!F159</f>
        <v>493576</v>
      </c>
      <c r="I221" s="169">
        <f>Pasākumu_līmenis!G159</f>
        <v>0</v>
      </c>
      <c r="J221" s="169">
        <f>Pasākumu_līmenis!H159</f>
        <v>493576</v>
      </c>
      <c r="K221" s="169">
        <f>Pasākumu_līmenis!I159</f>
        <v>0</v>
      </c>
      <c r="L221" s="169">
        <f>Pasākumu_līmenis!J159</f>
        <v>0</v>
      </c>
      <c r="M221" s="170">
        <f t="shared" ref="M221:M222" si="206">L221/$H221</f>
        <v>0</v>
      </c>
      <c r="N221" s="170">
        <f t="shared" ref="N221:N222" si="207">M221-R221</f>
        <v>0</v>
      </c>
      <c r="O221" s="170">
        <f t="shared" ref="O221:O222" si="208">IFERROR(((L221-Q221)/Q221),0)</f>
        <v>0</v>
      </c>
      <c r="P221" s="169">
        <f>Pasākumu_līmenis!N159</f>
        <v>0</v>
      </c>
      <c r="Q221" s="169">
        <v>0</v>
      </c>
      <c r="R221" s="170">
        <v>0</v>
      </c>
      <c r="S221" s="169">
        <f>Pasākumu_līmenis!Q159</f>
        <v>0</v>
      </c>
      <c r="T221" s="170">
        <f t="shared" ref="T221:T222" si="209">S221/$H221</f>
        <v>0</v>
      </c>
      <c r="U221" s="170">
        <f t="shared" ref="U221:U222" si="210">T221-Y221</f>
        <v>0</v>
      </c>
      <c r="V221" s="170">
        <f t="shared" ref="V221:V222" si="211">IFERROR(((S221-X221)/X221),0)</f>
        <v>0</v>
      </c>
      <c r="W221" s="169">
        <f>Pasākumu_līmenis!U159</f>
        <v>0</v>
      </c>
      <c r="X221" s="169">
        <v>0</v>
      </c>
      <c r="Y221" s="170">
        <v>0</v>
      </c>
      <c r="Z221" s="169">
        <f>Pasākumu_līmenis!X159</f>
        <v>0</v>
      </c>
      <c r="AA221" s="170">
        <f t="shared" ref="AA221:AA222" si="212">Z221/$H221</f>
        <v>0</v>
      </c>
      <c r="AB221" s="170">
        <f t="shared" ref="AB221:AB222" si="213">AA221-AF221</f>
        <v>0</v>
      </c>
      <c r="AC221" s="170">
        <f t="shared" ref="AC221:AC222" si="214">IFERROR(((Z221-AE221)/AE221),0)</f>
        <v>0</v>
      </c>
      <c r="AD221" s="169">
        <f>Pasākumu_līmenis!AB159</f>
        <v>0</v>
      </c>
      <c r="AE221" s="169">
        <v>0</v>
      </c>
      <c r="AF221" s="170">
        <v>0</v>
      </c>
      <c r="AG221" s="169">
        <f>Pasākumu_līmenis!AE159</f>
        <v>0</v>
      </c>
      <c r="AH221" s="170">
        <f t="shared" ref="AH221:AH222" si="215">AG221/$H221</f>
        <v>0</v>
      </c>
      <c r="AI221" s="170">
        <f t="shared" ref="AI221:AI222" si="216">AH221-AL221</f>
        <v>0</v>
      </c>
      <c r="AJ221" s="170">
        <f t="shared" ref="AJ221:AJ222" si="217">IFERROR(((AG221-AK221)/AK221),0)</f>
        <v>0</v>
      </c>
      <c r="AK221" s="169">
        <v>0</v>
      </c>
      <c r="AL221" s="170">
        <v>0</v>
      </c>
    </row>
    <row r="222" spans="1:38" ht="56.25" x14ac:dyDescent="0.3">
      <c r="A222" s="263" t="s">
        <v>1387</v>
      </c>
      <c r="B222" s="254" t="str">
        <f>VLOOKUP(A222,saīsinājumi_LV_ENG!A:G,5,FALSE)</f>
        <v>Izglītības iestāžu digitalizācija</v>
      </c>
      <c r="C222" s="10"/>
      <c r="D222" s="10"/>
      <c r="E222" s="42" t="s">
        <v>1375</v>
      </c>
      <c r="F222" s="42" t="s">
        <v>348</v>
      </c>
      <c r="G222" s="278"/>
      <c r="H222" s="169">
        <f>Pasākumu_līmenis!F160</f>
        <v>8895441</v>
      </c>
      <c r="I222" s="169">
        <f>Pasākumu_līmenis!G160</f>
        <v>0</v>
      </c>
      <c r="J222" s="169">
        <f>Pasākumu_līmenis!H160</f>
        <v>8895441</v>
      </c>
      <c r="K222" s="169">
        <f>Pasākumu_līmenis!I160</f>
        <v>0</v>
      </c>
      <c r="L222" s="169">
        <f>Pasākumu_līmenis!J160</f>
        <v>8895441</v>
      </c>
      <c r="M222" s="170">
        <f t="shared" si="206"/>
        <v>1</v>
      </c>
      <c r="N222" s="170">
        <f t="shared" si="207"/>
        <v>0</v>
      </c>
      <c r="O222" s="170">
        <f t="shared" si="208"/>
        <v>0</v>
      </c>
      <c r="P222" s="169">
        <f>Pasākumu_līmenis!N160</f>
        <v>0</v>
      </c>
      <c r="Q222" s="169">
        <v>8895441</v>
      </c>
      <c r="R222" s="170">
        <v>1</v>
      </c>
      <c r="S222" s="169">
        <f>Pasākumu_līmenis!Q160</f>
        <v>8895441</v>
      </c>
      <c r="T222" s="170">
        <f t="shared" si="209"/>
        <v>1</v>
      </c>
      <c r="U222" s="170">
        <f t="shared" si="210"/>
        <v>0</v>
      </c>
      <c r="V222" s="170">
        <f t="shared" si="211"/>
        <v>0</v>
      </c>
      <c r="W222" s="169">
        <f>Pasākumu_līmenis!U160</f>
        <v>0</v>
      </c>
      <c r="X222" s="169">
        <v>8895441</v>
      </c>
      <c r="Y222" s="170">
        <v>1</v>
      </c>
      <c r="Z222" s="169">
        <f>Pasākumu_līmenis!X160</f>
        <v>8895441</v>
      </c>
      <c r="AA222" s="170">
        <f t="shared" si="212"/>
        <v>1</v>
      </c>
      <c r="AB222" s="170">
        <f t="shared" si="213"/>
        <v>0</v>
      </c>
      <c r="AC222" s="170">
        <f t="shared" si="214"/>
        <v>0</v>
      </c>
      <c r="AD222" s="169">
        <f>Pasākumu_līmenis!AB160</f>
        <v>0</v>
      </c>
      <c r="AE222" s="169">
        <v>8895441</v>
      </c>
      <c r="AF222" s="170">
        <v>1</v>
      </c>
      <c r="AG222" s="169">
        <f>Pasākumu_līmenis!AE160</f>
        <v>8895441</v>
      </c>
      <c r="AH222" s="170">
        <f t="shared" si="215"/>
        <v>1</v>
      </c>
      <c r="AI222" s="170">
        <f t="shared" si="216"/>
        <v>0</v>
      </c>
      <c r="AJ222" s="170">
        <f t="shared" si="217"/>
        <v>0</v>
      </c>
      <c r="AK222" s="169">
        <v>8895441</v>
      </c>
      <c r="AL222" s="170">
        <v>1</v>
      </c>
    </row>
    <row r="223" spans="1:38" ht="59.25" customHeight="1" x14ac:dyDescent="0.3">
      <c r="A223" s="263" t="s">
        <v>1377</v>
      </c>
      <c r="B223" s="254" t="str">
        <f>VLOOKUP(A223,saīsinājumi_LV_ENG!A:G,5,FALSE)</f>
        <v>Pašvaldību infrastruktūra energoefektivitāte</v>
      </c>
      <c r="C223" s="10"/>
      <c r="D223" s="10"/>
      <c r="E223" s="42" t="str">
        <f>Pasākumu_līmenis!D161</f>
        <v>ReactEU ERAF</v>
      </c>
      <c r="F223" s="42" t="str">
        <f>Pasākumu_līmenis!E161</f>
        <v>VARAM</v>
      </c>
      <c r="G223" s="278"/>
      <c r="H223" s="169">
        <f>Pasākumu_līmenis!F161</f>
        <v>28808246</v>
      </c>
      <c r="I223" s="169">
        <f>Pasākumu_līmenis!G161</f>
        <v>0</v>
      </c>
      <c r="J223" s="169">
        <f>Pasākumu_līmenis!H161</f>
        <v>28808246</v>
      </c>
      <c r="K223" s="169">
        <f>Pasākumu_līmenis!I161</f>
        <v>0</v>
      </c>
      <c r="L223" s="169">
        <f>Pasākumu_līmenis!J161</f>
        <v>24725187.969999999</v>
      </c>
      <c r="M223" s="170">
        <f t="shared" ref="M223" si="218">L223/$H223</f>
        <v>0.85826773244021859</v>
      </c>
      <c r="N223" s="170">
        <f>M223-R223</f>
        <v>0</v>
      </c>
      <c r="O223" s="170">
        <f t="shared" ref="O223" si="219">IFERROR(((L223-Q223)/Q223),0)</f>
        <v>0</v>
      </c>
      <c r="P223" s="169">
        <f>Pasākumu_līmenis!N161</f>
        <v>58</v>
      </c>
      <c r="Q223" s="169">
        <v>24725187.969999999</v>
      </c>
      <c r="R223" s="170">
        <v>0.85826773244021859</v>
      </c>
      <c r="S223" s="169">
        <f>Pasākumu_līmenis!Q161</f>
        <v>24725187.969999999</v>
      </c>
      <c r="T223" s="170">
        <f t="shared" ref="T223" si="220">S223/$H223</f>
        <v>0.85826773244021859</v>
      </c>
      <c r="U223" s="170">
        <f t="shared" ref="U223" si="221">T223-Y223</f>
        <v>0</v>
      </c>
      <c r="V223" s="170">
        <f t="shared" ref="V223" si="222">IFERROR(((S223-X223)/X223),0)</f>
        <v>0</v>
      </c>
      <c r="W223" s="169">
        <f>Pasākumu_līmenis!U161</f>
        <v>58</v>
      </c>
      <c r="X223" s="169">
        <v>24725187.969999999</v>
      </c>
      <c r="Y223" s="170">
        <v>0.85826773244021859</v>
      </c>
      <c r="Z223" s="169">
        <f>Pasākumu_līmenis!X161</f>
        <v>24725187.969999999</v>
      </c>
      <c r="AA223" s="170">
        <f t="shared" ref="AA223" si="223">Z223/$H223</f>
        <v>0.85826773244021859</v>
      </c>
      <c r="AB223" s="170">
        <f t="shared" ref="AB223" si="224">AA223-AF223</f>
        <v>0</v>
      </c>
      <c r="AC223" s="170">
        <f t="shared" ref="AC223" si="225">IFERROR(((Z223-AE223)/AE223),0)</f>
        <v>0</v>
      </c>
      <c r="AD223" s="169">
        <f>Pasākumu_līmenis!AB161</f>
        <v>58</v>
      </c>
      <c r="AE223" s="169">
        <v>24725187.969999999</v>
      </c>
      <c r="AF223" s="170">
        <v>0.85826773244021859</v>
      </c>
      <c r="AG223" s="169">
        <f>Pasākumu_līmenis!AE161</f>
        <v>24774480.260000002</v>
      </c>
      <c r="AH223" s="170">
        <f t="shared" ref="AH223" si="226">AG223/$H223</f>
        <v>0.85997878038114506</v>
      </c>
      <c r="AI223" s="170">
        <f t="shared" ref="AI223" si="227">AH223-AL223</f>
        <v>0</v>
      </c>
      <c r="AJ223" s="170">
        <f t="shared" ref="AJ223" si="228">IFERROR(((AG223-AK223)/AK223),0)</f>
        <v>0</v>
      </c>
      <c r="AK223" s="169">
        <v>24774480.260000002</v>
      </c>
      <c r="AL223" s="170">
        <v>0.85997878038114506</v>
      </c>
    </row>
    <row r="224" spans="1:38" ht="59.25" customHeight="1" x14ac:dyDescent="0.3">
      <c r="A224" s="263" t="s">
        <v>1389</v>
      </c>
      <c r="B224" s="254" t="str">
        <f>VLOOKUP(A224,saīsinājumi_LV_ENG!A:G,5,FALSE)</f>
        <v>Teritoriju revitalizācija uzņēmējdarbības veicināšanai pašvaldībās</v>
      </c>
      <c r="C224" s="10"/>
      <c r="D224" s="10"/>
      <c r="E224" s="42" t="str">
        <f>Pasākumu_līmenis!D162</f>
        <v>ReactEU ERAF</v>
      </c>
      <c r="F224" s="42" t="str">
        <f>Pasākumu_līmenis!E162</f>
        <v>VARAM</v>
      </c>
      <c r="G224" s="278"/>
      <c r="H224" s="169">
        <f>Pasākumu_līmenis!F162</f>
        <v>24165500</v>
      </c>
      <c r="I224" s="169">
        <f>Pasākumu_līmenis!G162</f>
        <v>0</v>
      </c>
      <c r="J224" s="169">
        <f>Pasākumu_līmenis!H162</f>
        <v>24165500</v>
      </c>
      <c r="K224" s="169">
        <f>Pasākumu_līmenis!I162</f>
        <v>0</v>
      </c>
      <c r="L224" s="169">
        <f>Pasākumu_līmenis!J162</f>
        <v>14698287.470000001</v>
      </c>
      <c r="M224" s="170">
        <f t="shared" ref="M224:M225" si="229">L224/$H224</f>
        <v>0.60823436179677648</v>
      </c>
      <c r="N224" s="170">
        <f t="shared" ref="N224:N225" si="230">M224-R224</f>
        <v>0</v>
      </c>
      <c r="O224" s="170">
        <f t="shared" ref="O224:O225" si="231">IFERROR(((L224-Q224)/Q224),0)</f>
        <v>0</v>
      </c>
      <c r="P224" s="169">
        <f>Pasākumu_līmenis!N162</f>
        <v>14</v>
      </c>
      <c r="Q224" s="169">
        <v>14698287.470000001</v>
      </c>
      <c r="R224" s="170">
        <v>0.60823436179677648</v>
      </c>
      <c r="S224" s="169">
        <f>Pasākumu_līmenis!Q162</f>
        <v>14698287.470000001</v>
      </c>
      <c r="T224" s="170">
        <f t="shared" ref="T224:T225" si="232">S224/$H224</f>
        <v>0.60823436179677648</v>
      </c>
      <c r="U224" s="170">
        <f t="shared" ref="U224:U225" si="233">T224-Y224</f>
        <v>0</v>
      </c>
      <c r="V224" s="170">
        <f t="shared" ref="V224:V225" si="234">IFERROR(((S224-X224)/X224),0)</f>
        <v>0</v>
      </c>
      <c r="W224" s="169">
        <f>Pasākumu_līmenis!U162</f>
        <v>14</v>
      </c>
      <c r="X224" s="169">
        <v>14698287.470000001</v>
      </c>
      <c r="Y224" s="170">
        <v>0.60823436179677648</v>
      </c>
      <c r="Z224" s="169">
        <f>Pasākumu_līmenis!X162</f>
        <v>14698287.470000001</v>
      </c>
      <c r="AA224" s="170">
        <f t="shared" ref="AA224:AA225" si="235">Z224/$H224</f>
        <v>0.60823436179677648</v>
      </c>
      <c r="AB224" s="170">
        <f t="shared" ref="AB224:AB225" si="236">AA224-AF224</f>
        <v>0</v>
      </c>
      <c r="AC224" s="170">
        <f t="shared" ref="AC224:AC225" si="237">IFERROR(((Z224-AE224)/AE224),0)</f>
        <v>0</v>
      </c>
      <c r="AD224" s="169">
        <f>Pasākumu_līmenis!AB162</f>
        <v>14</v>
      </c>
      <c r="AE224" s="169">
        <v>14698287.470000001</v>
      </c>
      <c r="AF224" s="170">
        <v>0.60823436179677648</v>
      </c>
      <c r="AG224" s="169">
        <f>Pasākumu_līmenis!AE162</f>
        <v>14647502.24</v>
      </c>
      <c r="AH224" s="170">
        <f t="shared" ref="AH224:AH225" si="238">AG224/$H224</f>
        <v>0.60613280254908863</v>
      </c>
      <c r="AI224" s="170">
        <f t="shared" ref="AI224:AI225" si="239">AH224-AL224</f>
        <v>0</v>
      </c>
      <c r="AJ224" s="170">
        <f t="shared" ref="AJ224:AJ225" si="240">IFERROR(((AG224-AK224)/AK224),0)</f>
        <v>0</v>
      </c>
      <c r="AK224" s="169">
        <v>14647502.24</v>
      </c>
      <c r="AL224" s="170">
        <v>0.60613280254908863</v>
      </c>
    </row>
    <row r="225" spans="1:38" ht="59.25" customHeight="1" x14ac:dyDescent="0.3">
      <c r="A225" s="263" t="s">
        <v>1373</v>
      </c>
      <c r="B225" s="254" t="str">
        <f>VLOOKUP(A225,saīsinājumi_LV_ENG!A:G,5,FALSE)</f>
        <v>Atveseļošanas pasākumi kultūras jomā</v>
      </c>
      <c r="C225" s="10"/>
      <c r="D225" s="10"/>
      <c r="E225" s="42" t="str">
        <f>Pasākumu_līmenis!D163</f>
        <v>ReactEU ERAF</v>
      </c>
      <c r="F225" s="42" t="str">
        <f>Pasākumu_līmenis!E163</f>
        <v>KM</v>
      </c>
      <c r="G225" s="278"/>
      <c r="H225" s="169">
        <f>Pasākumu_līmenis!F163</f>
        <v>10108455</v>
      </c>
      <c r="I225" s="169">
        <f>Pasākumu_līmenis!G163</f>
        <v>0</v>
      </c>
      <c r="J225" s="169">
        <f>Pasākumu_līmenis!H163</f>
        <v>10108455</v>
      </c>
      <c r="K225" s="169">
        <f>Pasākumu_līmenis!I163</f>
        <v>0</v>
      </c>
      <c r="L225" s="169">
        <f>Pasākumu_līmenis!J163</f>
        <v>9741588.3200000003</v>
      </c>
      <c r="M225" s="170">
        <f t="shared" si="229"/>
        <v>0.96370694829229597</v>
      </c>
      <c r="N225" s="170">
        <f t="shared" si="230"/>
        <v>0</v>
      </c>
      <c r="O225" s="170">
        <f t="shared" si="231"/>
        <v>0</v>
      </c>
      <c r="P225" s="169">
        <f>Pasākumu_līmenis!N163</f>
        <v>37</v>
      </c>
      <c r="Q225" s="169">
        <v>9741588.3200000003</v>
      </c>
      <c r="R225" s="170">
        <v>0.96370694829229597</v>
      </c>
      <c r="S225" s="169">
        <f>Pasākumu_līmenis!Q163</f>
        <v>9741588.3200000003</v>
      </c>
      <c r="T225" s="170">
        <f t="shared" si="232"/>
        <v>0.96370694829229597</v>
      </c>
      <c r="U225" s="170">
        <f t="shared" si="233"/>
        <v>0</v>
      </c>
      <c r="V225" s="170">
        <f t="shared" si="234"/>
        <v>0</v>
      </c>
      <c r="W225" s="169">
        <f>Pasākumu_līmenis!U163</f>
        <v>37</v>
      </c>
      <c r="X225" s="169">
        <v>9741588.3200000003</v>
      </c>
      <c r="Y225" s="170">
        <v>0.96370694829229597</v>
      </c>
      <c r="Z225" s="169">
        <f>Pasākumu_līmenis!X163</f>
        <v>9741588.3200000003</v>
      </c>
      <c r="AA225" s="170">
        <f t="shared" si="235"/>
        <v>0.96370694829229597</v>
      </c>
      <c r="AB225" s="170">
        <f t="shared" si="236"/>
        <v>0</v>
      </c>
      <c r="AC225" s="170">
        <f t="shared" si="237"/>
        <v>0</v>
      </c>
      <c r="AD225" s="169">
        <f>Pasākumu_līmenis!AB163</f>
        <v>37</v>
      </c>
      <c r="AE225" s="169">
        <v>9741588.3200000003</v>
      </c>
      <c r="AF225" s="170">
        <v>0.96370694829229597</v>
      </c>
      <c r="AG225" s="169">
        <f>Pasākumu_līmenis!AE163</f>
        <v>9741588.3200000003</v>
      </c>
      <c r="AH225" s="170">
        <f t="shared" si="238"/>
        <v>0.96370694829229597</v>
      </c>
      <c r="AI225" s="170">
        <f t="shared" si="239"/>
        <v>0</v>
      </c>
      <c r="AJ225" s="170">
        <f t="shared" si="240"/>
        <v>0</v>
      </c>
      <c r="AK225" s="169">
        <v>9741588.3200000003</v>
      </c>
      <c r="AL225" s="170">
        <v>0.96370694829229597</v>
      </c>
    </row>
    <row r="226" spans="1:38" ht="59.25" customHeight="1" x14ac:dyDescent="0.3">
      <c r="A226" s="263" t="s">
        <v>1515</v>
      </c>
      <c r="B226" s="254" t="str">
        <f>VLOOKUP(A226,saīsinājumi_LV_ENG!A:G,5,FALSE)</f>
        <v>Atveseļošanas pasākumi veselības nozarē (ERAF)</v>
      </c>
      <c r="C226" s="10"/>
      <c r="D226" s="10"/>
      <c r="E226" s="42" t="str">
        <f>Pasākumu_līmenis!D164</f>
        <v>ReactEU ERAF</v>
      </c>
      <c r="F226" s="42" t="str">
        <f>Pasākumu_līmenis!E164</f>
        <v>VM</v>
      </c>
      <c r="G226" s="278"/>
      <c r="H226" s="169">
        <f>Pasākumu_līmenis!F164</f>
        <v>51573785</v>
      </c>
      <c r="I226" s="169">
        <f>Pasākumu_līmenis!G164</f>
        <v>0</v>
      </c>
      <c r="J226" s="169">
        <f>Pasākumu_līmenis!H164</f>
        <v>51573785</v>
      </c>
      <c r="K226" s="169">
        <f>Pasākumu_līmenis!I164</f>
        <v>0</v>
      </c>
      <c r="L226" s="169">
        <f>Pasākumu_līmenis!J164</f>
        <v>49678760.5</v>
      </c>
      <c r="M226" s="170">
        <f t="shared" ref="M226:M228" si="241">L226/$H226</f>
        <v>0.96325605149980753</v>
      </c>
      <c r="N226" s="170">
        <f t="shared" ref="N226" si="242">M226-R226</f>
        <v>0</v>
      </c>
      <c r="O226" s="170">
        <f t="shared" ref="O226:O228" si="243">IFERROR(((L226-Q226)/Q226),0)</f>
        <v>0</v>
      </c>
      <c r="P226" s="169">
        <f>Pasākumu_līmenis!N164</f>
        <v>1</v>
      </c>
      <c r="Q226" s="169">
        <v>49678760.5</v>
      </c>
      <c r="R226" s="170">
        <v>0.96325605149980753</v>
      </c>
      <c r="S226" s="169">
        <f>Pasākumu_līmenis!Q164</f>
        <v>49678760.5</v>
      </c>
      <c r="T226" s="170">
        <f t="shared" ref="T226:T228" si="244">S226/$H226</f>
        <v>0.96325605149980753</v>
      </c>
      <c r="U226" s="170">
        <f t="shared" ref="U226:U228" si="245">T226-Y226</f>
        <v>0</v>
      </c>
      <c r="V226" s="170">
        <f t="shared" ref="V226:V228" si="246">IFERROR(((S226-X226)/X226),0)</f>
        <v>0</v>
      </c>
      <c r="W226" s="169">
        <f>Pasākumu_līmenis!U164</f>
        <v>1</v>
      </c>
      <c r="X226" s="169">
        <v>49678760.5</v>
      </c>
      <c r="Y226" s="170">
        <v>0.96325605149980753</v>
      </c>
      <c r="Z226" s="169">
        <f>Pasākumu_līmenis!X164</f>
        <v>49678760.5</v>
      </c>
      <c r="AA226" s="170">
        <f t="shared" ref="AA226:AA228" si="247">Z226/$H226</f>
        <v>0.96325605149980753</v>
      </c>
      <c r="AB226" s="170">
        <f t="shared" ref="AB226:AB228" si="248">AA226-AF226</f>
        <v>0</v>
      </c>
      <c r="AC226" s="170">
        <f t="shared" ref="AC226:AC228" si="249">IFERROR(((Z226-AE226)/AE226),0)</f>
        <v>0</v>
      </c>
      <c r="AD226" s="169">
        <f>Pasākumu_līmenis!AB164</f>
        <v>1</v>
      </c>
      <c r="AE226" s="169">
        <v>49678760.5</v>
      </c>
      <c r="AF226" s="170">
        <v>0.96325605149980753</v>
      </c>
      <c r="AG226" s="169">
        <f>Pasākumu_līmenis!AE164</f>
        <v>46399851.5</v>
      </c>
      <c r="AH226" s="170">
        <f t="shared" ref="AH226:AH228" si="250">AG226/$H226</f>
        <v>0.89967900358680286</v>
      </c>
      <c r="AI226" s="170">
        <f t="shared" ref="AI226:AI228" si="251">AH226-AL226</f>
        <v>0</v>
      </c>
      <c r="AJ226" s="170">
        <f t="shared" ref="AJ226:AJ228" si="252">IFERROR(((AG226-AK226)/AK226),0)</f>
        <v>0</v>
      </c>
      <c r="AK226" s="169">
        <v>46399851.5</v>
      </c>
      <c r="AL226" s="170">
        <v>0.89967900358680286</v>
      </c>
    </row>
    <row r="227" spans="1:38" ht="59.25" customHeight="1" x14ac:dyDescent="0.3">
      <c r="A227" s="263" t="s">
        <v>1516</v>
      </c>
      <c r="B227" s="254" t="str">
        <f>VLOOKUP(A227,saīsinājumi_LV_ENG!A:G,5,FALSE)</f>
        <v>Atveseļošanas pasākumi ekonomikas nozarē – nodarbināto apmācības (ERAF)</v>
      </c>
      <c r="C227" s="10"/>
      <c r="D227" s="10"/>
      <c r="E227" s="42" t="str">
        <f>Pasākumu_līmenis!D165</f>
        <v>ReactEU ERAF</v>
      </c>
      <c r="F227" s="42" t="str">
        <f>Pasākumu_līmenis!E165</f>
        <v>EM</v>
      </c>
      <c r="G227" s="278"/>
      <c r="H227" s="169">
        <f>Pasākumu_līmenis!F165</f>
        <v>10714708</v>
      </c>
      <c r="I227" s="169">
        <f>Pasākumu_līmenis!G165</f>
        <v>0</v>
      </c>
      <c r="J227" s="169">
        <f>Pasākumu_līmenis!H165</f>
        <v>10714708</v>
      </c>
      <c r="K227" s="169">
        <f>Pasākumu_līmenis!I165</f>
        <v>0</v>
      </c>
      <c r="L227" s="169">
        <f>Pasākumu_līmenis!J165</f>
        <v>1821682.11</v>
      </c>
      <c r="M227" s="170">
        <f t="shared" ref="M227" si="253">L227/$H227</f>
        <v>0.17001696266477817</v>
      </c>
      <c r="N227" s="170">
        <f t="shared" ref="N227" si="254">M227-R227</f>
        <v>0</v>
      </c>
      <c r="O227" s="170">
        <f t="shared" ref="O227" si="255">IFERROR(((L227-Q227)/Q227),0)</f>
        <v>0</v>
      </c>
      <c r="P227" s="169">
        <f>Pasākumu_līmenis!N165</f>
        <v>0</v>
      </c>
      <c r="Q227" s="169">
        <v>1821682.11</v>
      </c>
      <c r="R227" s="170">
        <v>0.17001696266477817</v>
      </c>
      <c r="S227" s="169">
        <f>Pasākumu_līmenis!Q165</f>
        <v>1821682.11</v>
      </c>
      <c r="T227" s="170">
        <f t="shared" ref="T227" si="256">S227/$H227</f>
        <v>0.17001696266477817</v>
      </c>
      <c r="U227" s="170">
        <f t="shared" ref="U227" si="257">T227-Y227</f>
        <v>0</v>
      </c>
      <c r="V227" s="170">
        <f t="shared" ref="V227" si="258">IFERROR(((S227-X227)/X227),0)</f>
        <v>0</v>
      </c>
      <c r="W227" s="169">
        <f>Pasākumu_līmenis!U165</f>
        <v>0</v>
      </c>
      <c r="X227" s="169">
        <v>1821682.11</v>
      </c>
      <c r="Y227" s="170">
        <v>0.17001696266477817</v>
      </c>
      <c r="Z227" s="169">
        <f>Pasākumu_līmenis!X165</f>
        <v>1821682.11</v>
      </c>
      <c r="AA227" s="170">
        <f t="shared" ref="AA227" si="259">Z227/$H227</f>
        <v>0.17001696266477817</v>
      </c>
      <c r="AB227" s="170">
        <f t="shared" ref="AB227" si="260">AA227-AF227</f>
        <v>0</v>
      </c>
      <c r="AC227" s="170">
        <f t="shared" ref="AC227" si="261">IFERROR(((Z227-AE227)/AE227),0)</f>
        <v>0</v>
      </c>
      <c r="AD227" s="169">
        <f>Pasākumu_līmenis!AB165</f>
        <v>0</v>
      </c>
      <c r="AE227" s="169">
        <v>1821682.11</v>
      </c>
      <c r="AF227" s="170">
        <v>0.17001696266477817</v>
      </c>
      <c r="AG227" s="169">
        <f>Pasākumu_līmenis!AE165</f>
        <v>3397061.36</v>
      </c>
      <c r="AH227" s="170">
        <f t="shared" ref="AH227" si="262">AG227/$H227</f>
        <v>0.3170465644047416</v>
      </c>
      <c r="AI227" s="170">
        <f t="shared" ref="AI227" si="263">AH227-AL227</f>
        <v>0</v>
      </c>
      <c r="AJ227" s="170">
        <f t="shared" ref="AJ227" si="264">IFERROR(((AG227-AK227)/AK227),0)</f>
        <v>0</v>
      </c>
      <c r="AK227" s="169">
        <v>3397061.36</v>
      </c>
      <c r="AL227" s="170">
        <v>0.3170465644047416</v>
      </c>
    </row>
    <row r="228" spans="1:38" ht="59.25" customHeight="1" x14ac:dyDescent="0.3">
      <c r="A228" s="247" t="s">
        <v>1500</v>
      </c>
      <c r="B228" s="248" t="str">
        <f>VLOOKUP(A228,saīsinājumi_LV_ENG!A:G,5,FALSE)</f>
        <v>Pasākumi Covid-19 pandēmijas seku mazināšanai (ESF)</v>
      </c>
      <c r="C228" s="8"/>
      <c r="D228" s="225"/>
      <c r="E228" s="66"/>
      <c r="F228" s="66"/>
      <c r="G228" s="280"/>
      <c r="H228" s="226">
        <f>SUM(H229:H232)</f>
        <v>22489087</v>
      </c>
      <c r="I228" s="226">
        <f t="shared" ref="I228:K228" si="265">SUM(I229:I232)</f>
        <v>0</v>
      </c>
      <c r="J228" s="226">
        <f t="shared" si="265"/>
        <v>22489087</v>
      </c>
      <c r="K228" s="226">
        <f t="shared" si="265"/>
        <v>0</v>
      </c>
      <c r="L228" s="226">
        <f>SUM(L229:L232)</f>
        <v>21467834.219999999</v>
      </c>
      <c r="M228" s="227">
        <f t="shared" si="241"/>
        <v>0.95458896219308498</v>
      </c>
      <c r="N228" s="227">
        <f>M228-R228</f>
        <v>0</v>
      </c>
      <c r="O228" s="227">
        <f t="shared" si="243"/>
        <v>0</v>
      </c>
      <c r="P228" s="226">
        <f>SUM(P229:P232)</f>
        <v>4</v>
      </c>
      <c r="Q228" s="175">
        <v>21467834.219999999</v>
      </c>
      <c r="R228" s="176">
        <v>0.95458896219308498</v>
      </c>
      <c r="S228" s="226">
        <f>SUM(S229:S232)</f>
        <v>21467834.219999999</v>
      </c>
      <c r="T228" s="227">
        <f t="shared" si="244"/>
        <v>0.95458896219308498</v>
      </c>
      <c r="U228" s="227">
        <f t="shared" si="245"/>
        <v>0</v>
      </c>
      <c r="V228" s="227">
        <f t="shared" si="246"/>
        <v>0</v>
      </c>
      <c r="W228" s="226">
        <f>SUM(W229:W232)</f>
        <v>4</v>
      </c>
      <c r="X228" s="226">
        <v>21467834.219999999</v>
      </c>
      <c r="Y228" s="227">
        <v>0.95458896219308498</v>
      </c>
      <c r="Z228" s="226">
        <f>SUM(Z229:Z232)</f>
        <v>21467834.219999999</v>
      </c>
      <c r="AA228" s="227">
        <f t="shared" si="247"/>
        <v>0.95458896219308498</v>
      </c>
      <c r="AB228" s="227">
        <f t="shared" si="248"/>
        <v>0</v>
      </c>
      <c r="AC228" s="227">
        <f t="shared" si="249"/>
        <v>0</v>
      </c>
      <c r="AD228" s="226">
        <f>SUM(AD229:AD232)</f>
        <v>4</v>
      </c>
      <c r="AE228" s="175">
        <v>21467834.219999999</v>
      </c>
      <c r="AF228" s="176">
        <v>0.95458896219308498</v>
      </c>
      <c r="AG228" s="226">
        <f>SUM(AG229:AG232)</f>
        <v>21128869.52</v>
      </c>
      <c r="AH228" s="227">
        <f t="shared" si="250"/>
        <v>0.93951655396237288</v>
      </c>
      <c r="AI228" s="227">
        <f t="shared" si="251"/>
        <v>0</v>
      </c>
      <c r="AJ228" s="227">
        <f t="shared" si="252"/>
        <v>0</v>
      </c>
      <c r="AK228" s="226">
        <v>21128869.52</v>
      </c>
      <c r="AL228" s="227">
        <v>0.93951655396237288</v>
      </c>
    </row>
    <row r="229" spans="1:38" ht="59.25" customHeight="1" x14ac:dyDescent="0.3">
      <c r="A229" s="263" t="s">
        <v>1390</v>
      </c>
      <c r="B229" s="254" t="str">
        <f>VLOOKUP(A229,saīsinājumi_LV_ENG!A:G,5,FALSE)</f>
        <v>Efektīvas pārvaldības nodrošināšana augstskolās</v>
      </c>
      <c r="C229" s="10"/>
      <c r="D229" s="10"/>
      <c r="E229" s="42" t="str">
        <f>Pasākumu_līmenis!D167</f>
        <v>ReactEU ESF</v>
      </c>
      <c r="F229" s="42" t="str">
        <f>Pasākumu_līmenis!E167</f>
        <v>IZM</v>
      </c>
      <c r="G229" s="278"/>
      <c r="H229" s="169">
        <f>Pasākumu_līmenis!F167</f>
        <v>5627882</v>
      </c>
      <c r="I229" s="169">
        <f>Pasākumu_līmenis!G167</f>
        <v>0</v>
      </c>
      <c r="J229" s="169">
        <f>Pasākumu_līmenis!H167</f>
        <v>5627882</v>
      </c>
      <c r="K229" s="169">
        <f>Pasākumu_līmenis!I167</f>
        <v>0</v>
      </c>
      <c r="L229" s="169">
        <f>Pasākumu_līmenis!J167</f>
        <v>4874489.05</v>
      </c>
      <c r="M229" s="170">
        <f t="shared" ref="M229:M231" si="266">L229/$H229</f>
        <v>0.8661320635365134</v>
      </c>
      <c r="N229" s="170">
        <f t="shared" ref="N229:N231" si="267">M229-R229</f>
        <v>0</v>
      </c>
      <c r="O229" s="170">
        <f t="shared" ref="O229:O231" si="268">IFERROR(((L229-Q229)/Q229),0)</f>
        <v>0</v>
      </c>
      <c r="P229" s="169">
        <f>Pasākumu_līmenis!N167</f>
        <v>4</v>
      </c>
      <c r="Q229" s="169">
        <v>4874489.05</v>
      </c>
      <c r="R229" s="170">
        <v>0.8661320635365134</v>
      </c>
      <c r="S229" s="169">
        <f>Pasākumu_līmenis!Q167</f>
        <v>4874489.05</v>
      </c>
      <c r="T229" s="170">
        <f t="shared" ref="T229:T231" si="269">S229/$H229</f>
        <v>0.8661320635365134</v>
      </c>
      <c r="U229" s="170">
        <f t="shared" ref="U229:U231" si="270">T229-Y229</f>
        <v>0</v>
      </c>
      <c r="V229" s="170">
        <f t="shared" ref="V229:V231" si="271">IFERROR(((S229-X229)/X229),0)</f>
        <v>0</v>
      </c>
      <c r="W229" s="169">
        <f>Pasākumu_līmenis!U167</f>
        <v>4</v>
      </c>
      <c r="X229" s="169">
        <v>4874489.05</v>
      </c>
      <c r="Y229" s="170">
        <v>0.8661320635365134</v>
      </c>
      <c r="Z229" s="169">
        <f>Pasākumu_līmenis!X167</f>
        <v>4874489.05</v>
      </c>
      <c r="AA229" s="170">
        <f t="shared" ref="AA229:AA231" si="272">Z229/$H229</f>
        <v>0.8661320635365134</v>
      </c>
      <c r="AB229" s="170">
        <f t="shared" ref="AB229:AB231" si="273">AA229-AF229</f>
        <v>0</v>
      </c>
      <c r="AC229" s="170">
        <f t="shared" ref="AC229:AC231" si="274">IFERROR(((Z229-AE229)/AE229),0)</f>
        <v>0</v>
      </c>
      <c r="AD229" s="169">
        <f>Pasākumu_līmenis!AB167</f>
        <v>4</v>
      </c>
      <c r="AE229" s="169">
        <v>4874489.05</v>
      </c>
      <c r="AF229" s="170">
        <v>0.8661320635365134</v>
      </c>
      <c r="AG229" s="169">
        <f>Pasākumu_līmenis!AE167</f>
        <v>4535524.3499999996</v>
      </c>
      <c r="AH229" s="170">
        <f t="shared" ref="AH229:AH231" si="275">AG229/$H229</f>
        <v>0.80590253136082091</v>
      </c>
      <c r="AI229" s="170">
        <f t="shared" ref="AI229:AI231" si="276">AH229-AL229</f>
        <v>0</v>
      </c>
      <c r="AJ229" s="170">
        <f t="shared" ref="AJ229:AJ231" si="277">IFERROR(((AG229-AK229)/AK229),0)</f>
        <v>0</v>
      </c>
      <c r="AK229" s="169">
        <v>4535524.3499999996</v>
      </c>
      <c r="AL229" s="170">
        <v>0.80590253136082091</v>
      </c>
    </row>
    <row r="230" spans="1:38" ht="59.25" customHeight="1" x14ac:dyDescent="0.3">
      <c r="A230" s="263" t="s">
        <v>1391</v>
      </c>
      <c r="B230" s="254" t="str">
        <f>VLOOKUP(A230,saīsinājumi_LV_ENG!A:G,5,FALSE)</f>
        <v>Atbalsts NEET jauniešiem</v>
      </c>
      <c r="C230" s="10"/>
      <c r="D230" s="10"/>
      <c r="E230" s="42" t="str">
        <f>Pasākumu_līmenis!D168</f>
        <v>ReactEU ESF</v>
      </c>
      <c r="F230" s="42" t="str">
        <f>Pasākumu_līmenis!E168</f>
        <v>IZM</v>
      </c>
      <c r="G230" s="278"/>
      <c r="H230" s="169">
        <f>Pasākumu_līmenis!F168</f>
        <v>1074024</v>
      </c>
      <c r="I230" s="169">
        <f>Pasākumu_līmenis!G168</f>
        <v>0</v>
      </c>
      <c r="J230" s="169">
        <f>Pasākumu_līmenis!H168</f>
        <v>1074024</v>
      </c>
      <c r="K230" s="169">
        <f>Pasākumu_līmenis!I168</f>
        <v>0</v>
      </c>
      <c r="L230" s="169">
        <f>Pasākumu_līmenis!J168</f>
        <v>1063173.68</v>
      </c>
      <c r="M230" s="170">
        <f t="shared" si="266"/>
        <v>0.989897506945841</v>
      </c>
      <c r="N230" s="170">
        <f t="shared" si="267"/>
        <v>0</v>
      </c>
      <c r="O230" s="170">
        <f t="shared" si="268"/>
        <v>0</v>
      </c>
      <c r="P230" s="169">
        <f>Pasākumu_līmenis!N168</f>
        <v>0</v>
      </c>
      <c r="Q230" s="169">
        <v>1063173.68</v>
      </c>
      <c r="R230" s="170">
        <v>0.989897506945841</v>
      </c>
      <c r="S230" s="169">
        <f>Pasākumu_līmenis!Q168</f>
        <v>1063173.68</v>
      </c>
      <c r="T230" s="170">
        <f t="shared" si="269"/>
        <v>0.989897506945841</v>
      </c>
      <c r="U230" s="170">
        <f t="shared" si="270"/>
        <v>0</v>
      </c>
      <c r="V230" s="170">
        <f t="shared" si="271"/>
        <v>0</v>
      </c>
      <c r="W230" s="169">
        <f>Pasākumu_līmenis!U168</f>
        <v>0</v>
      </c>
      <c r="X230" s="169">
        <v>1063173.68</v>
      </c>
      <c r="Y230" s="170">
        <v>0.989897506945841</v>
      </c>
      <c r="Z230" s="169">
        <f>Pasākumu_līmenis!X168</f>
        <v>1063173.68</v>
      </c>
      <c r="AA230" s="170">
        <f t="shared" si="272"/>
        <v>0.989897506945841</v>
      </c>
      <c r="AB230" s="170">
        <f t="shared" si="273"/>
        <v>0</v>
      </c>
      <c r="AC230" s="170">
        <f t="shared" si="274"/>
        <v>0</v>
      </c>
      <c r="AD230" s="169">
        <f>Pasākumu_līmenis!AB168</f>
        <v>0</v>
      </c>
      <c r="AE230" s="169">
        <v>1063173.68</v>
      </c>
      <c r="AF230" s="170">
        <v>0.989897506945841</v>
      </c>
      <c r="AG230" s="169">
        <f>Pasākumu_līmenis!AE168</f>
        <v>1063173.68</v>
      </c>
      <c r="AH230" s="170">
        <f t="shared" si="275"/>
        <v>0.989897506945841</v>
      </c>
      <c r="AI230" s="170">
        <f t="shared" si="276"/>
        <v>0</v>
      </c>
      <c r="AJ230" s="170">
        <f t="shared" si="277"/>
        <v>0</v>
      </c>
      <c r="AK230" s="169">
        <v>1063173.68</v>
      </c>
      <c r="AL230" s="170">
        <v>0.989897506945841</v>
      </c>
    </row>
    <row r="231" spans="1:38" ht="59.25" customHeight="1" x14ac:dyDescent="0.3">
      <c r="A231" s="263" t="s">
        <v>1520</v>
      </c>
      <c r="B231" s="254" t="str">
        <f>VLOOKUP(A231,saīsinājumi_LV_ENG!A:G,5,FALSE)</f>
        <v>Atveseļošanas pasākumi labklājības jomā (ESF)</v>
      </c>
      <c r="C231" s="10"/>
      <c r="D231" s="10"/>
      <c r="E231" s="42" t="str">
        <f>Pasākumu_līmenis!D169</f>
        <v>ReactEU ESF</v>
      </c>
      <c r="F231" s="42" t="str">
        <f>Pasākumu_līmenis!E169</f>
        <v>LM</v>
      </c>
      <c r="G231" s="278"/>
      <c r="H231" s="169">
        <f>Pasākumu_līmenis!F169</f>
        <v>11527850</v>
      </c>
      <c r="I231" s="169">
        <f>Pasākumu_līmenis!G169</f>
        <v>0</v>
      </c>
      <c r="J231" s="169">
        <f>Pasākumu_līmenis!H169</f>
        <v>11527850</v>
      </c>
      <c r="K231" s="169">
        <f>Pasākumu_līmenis!I169</f>
        <v>0</v>
      </c>
      <c r="L231" s="169">
        <f>Pasākumu_līmenis!J169</f>
        <v>11270840.49</v>
      </c>
      <c r="M231" s="170">
        <f t="shared" si="266"/>
        <v>0.97770533880992549</v>
      </c>
      <c r="N231" s="170">
        <f t="shared" si="267"/>
        <v>0</v>
      </c>
      <c r="O231" s="170">
        <f t="shared" si="268"/>
        <v>0</v>
      </c>
      <c r="P231" s="169">
        <f>Pasākumu_līmenis!N169</f>
        <v>0</v>
      </c>
      <c r="Q231" s="169">
        <v>11270840.49</v>
      </c>
      <c r="R231" s="170">
        <v>0.97770533880992549</v>
      </c>
      <c r="S231" s="169">
        <f>Pasākumu_līmenis!Q169</f>
        <v>11270840.49</v>
      </c>
      <c r="T231" s="170">
        <f t="shared" si="269"/>
        <v>0.97770533880992549</v>
      </c>
      <c r="U231" s="170">
        <f t="shared" si="270"/>
        <v>0</v>
      </c>
      <c r="V231" s="170">
        <f t="shared" si="271"/>
        <v>0</v>
      </c>
      <c r="W231" s="169">
        <f>Pasākumu_līmenis!U169</f>
        <v>0</v>
      </c>
      <c r="X231" s="169">
        <v>11270840.49</v>
      </c>
      <c r="Y231" s="170">
        <v>0.97770533880992549</v>
      </c>
      <c r="Z231" s="169">
        <f>Pasākumu_līmenis!X169</f>
        <v>11270840.49</v>
      </c>
      <c r="AA231" s="170">
        <f t="shared" si="272"/>
        <v>0.97770533880992549</v>
      </c>
      <c r="AB231" s="170">
        <f t="shared" si="273"/>
        <v>0</v>
      </c>
      <c r="AC231" s="170">
        <f t="shared" si="274"/>
        <v>0</v>
      </c>
      <c r="AD231" s="169">
        <f>Pasākumu_līmenis!AB169</f>
        <v>0</v>
      </c>
      <c r="AE231" s="169">
        <v>11270840.49</v>
      </c>
      <c r="AF231" s="170">
        <v>0.97770533880992549</v>
      </c>
      <c r="AG231" s="169">
        <f>Pasākumu_līmenis!AE169</f>
        <v>11270840.49</v>
      </c>
      <c r="AH231" s="170">
        <f t="shared" si="275"/>
        <v>0.97770533880992549</v>
      </c>
      <c r="AI231" s="170">
        <f t="shared" si="276"/>
        <v>0</v>
      </c>
      <c r="AJ231" s="170">
        <f t="shared" si="277"/>
        <v>0</v>
      </c>
      <c r="AK231" s="169">
        <v>11270840.49</v>
      </c>
      <c r="AL231" s="170">
        <v>0.97770533880992549</v>
      </c>
    </row>
    <row r="232" spans="1:38" ht="59.25" customHeight="1" x14ac:dyDescent="0.3">
      <c r="A232" s="263" t="s">
        <v>1521</v>
      </c>
      <c r="B232" s="254" t="str">
        <f>VLOOKUP(A232,saīsinājumi_LV_ENG!A:G,5,FALSE)</f>
        <v>Atveseļošanas pasākumi veselības nozarē (ESF)</v>
      </c>
      <c r="C232" s="10"/>
      <c r="D232" s="10"/>
      <c r="E232" s="42" t="str">
        <f>Pasākumu_līmenis!D170</f>
        <v>ReactEU ESF</v>
      </c>
      <c r="F232" s="42" t="str">
        <f>Pasākumu_līmenis!E170</f>
        <v>VM</v>
      </c>
      <c r="G232" s="278"/>
      <c r="H232" s="169">
        <f>Pasākumu_līmenis!F170</f>
        <v>4259331</v>
      </c>
      <c r="I232" s="169">
        <f>Pasākumu_līmenis!G170</f>
        <v>0</v>
      </c>
      <c r="J232" s="169">
        <f>Pasākumu_līmenis!H170</f>
        <v>4259331</v>
      </c>
      <c r="K232" s="169">
        <f>Pasākumu_līmenis!I170</f>
        <v>0</v>
      </c>
      <c r="L232" s="169">
        <f>Pasākumu_līmenis!J170</f>
        <v>4259331</v>
      </c>
      <c r="M232" s="170">
        <f>IFERROR(L232/$H232,0)</f>
        <v>1</v>
      </c>
      <c r="N232" s="170">
        <f t="shared" ref="N232:N234" si="278">M232-R232</f>
        <v>0</v>
      </c>
      <c r="O232" s="170">
        <f t="shared" ref="O232:O234" si="279">IFERROR(((L232-Q232)/Q232),0)</f>
        <v>0</v>
      </c>
      <c r="P232" s="169">
        <f>Pasākumu_līmenis!N170</f>
        <v>0</v>
      </c>
      <c r="Q232" s="169">
        <v>4259331</v>
      </c>
      <c r="R232" s="170">
        <v>1</v>
      </c>
      <c r="S232" s="169">
        <f>Pasākumu_līmenis!Q170</f>
        <v>4259331</v>
      </c>
      <c r="T232" s="170">
        <f>IFERROR(S232/$H232,0)</f>
        <v>1</v>
      </c>
      <c r="U232" s="170">
        <f t="shared" ref="U232:U234" si="280">T232-Y232</f>
        <v>0</v>
      </c>
      <c r="V232" s="170">
        <f t="shared" ref="V232:V234" si="281">IFERROR(((S232-X232)/X232),0)</f>
        <v>0</v>
      </c>
      <c r="W232" s="169">
        <f>Pasākumu_līmenis!U170</f>
        <v>0</v>
      </c>
      <c r="X232" s="169">
        <v>4259331</v>
      </c>
      <c r="Y232" s="170">
        <v>1</v>
      </c>
      <c r="Z232" s="169">
        <f>Pasākumu_līmenis!X170</f>
        <v>4259331</v>
      </c>
      <c r="AA232" s="170">
        <f>IFERROR(Z232/$H232,0)</f>
        <v>1</v>
      </c>
      <c r="AB232" s="170">
        <f t="shared" ref="AB232" si="282">AA232-AF232</f>
        <v>0</v>
      </c>
      <c r="AC232" s="170">
        <f t="shared" ref="AC232" si="283">IFERROR(((Z232-AE232)/AE232),0)</f>
        <v>0</v>
      </c>
      <c r="AD232" s="169">
        <f>Pasākumu_līmenis!AB170</f>
        <v>0</v>
      </c>
      <c r="AE232" s="169">
        <v>4259331</v>
      </c>
      <c r="AF232" s="170">
        <v>1</v>
      </c>
      <c r="AG232" s="169">
        <f>Pasākumu_līmenis!AE170</f>
        <v>4259331</v>
      </c>
      <c r="AH232" s="170">
        <f>IFERROR(AG232/$H232,0)</f>
        <v>1</v>
      </c>
      <c r="AI232" s="170">
        <f t="shared" ref="AI232" si="284">AH232-AL232</f>
        <v>0</v>
      </c>
      <c r="AJ232" s="170">
        <f t="shared" ref="AJ232" si="285">IFERROR(((AG232-AK232)/AK232),0)</f>
        <v>0</v>
      </c>
      <c r="AK232" s="169">
        <v>4259331</v>
      </c>
      <c r="AL232" s="170">
        <v>1</v>
      </c>
    </row>
    <row r="233" spans="1:38" ht="76.5" customHeight="1" x14ac:dyDescent="0.3">
      <c r="A233" s="247" t="s">
        <v>1602</v>
      </c>
      <c r="B233" s="248" t="s">
        <v>1603</v>
      </c>
      <c r="C233" s="8"/>
      <c r="D233" s="225"/>
      <c r="E233" s="66"/>
      <c r="F233" s="66"/>
      <c r="G233" s="280">
        <f t="shared" ref="G233:L233" si="286">G234</f>
        <v>60000000</v>
      </c>
      <c r="H233" s="226">
        <f t="shared" si="286"/>
        <v>0</v>
      </c>
      <c r="I233" s="226">
        <f t="shared" si="286"/>
        <v>60000000</v>
      </c>
      <c r="J233" s="226">
        <f t="shared" si="286"/>
        <v>60000000</v>
      </c>
      <c r="K233" s="226">
        <f t="shared" si="286"/>
        <v>1</v>
      </c>
      <c r="L233" s="226">
        <f t="shared" si="286"/>
        <v>60000000</v>
      </c>
      <c r="M233" s="227">
        <f t="shared" ref="M233:M234" si="287">IFERROR(L233/$H233,0)</f>
        <v>0</v>
      </c>
      <c r="N233" s="227">
        <f t="shared" si="278"/>
        <v>0</v>
      </c>
      <c r="O233" s="227">
        <f t="shared" si="279"/>
        <v>0</v>
      </c>
      <c r="P233" s="226">
        <f>P234</f>
        <v>1</v>
      </c>
      <c r="Q233" s="175">
        <v>60000000</v>
      </c>
      <c r="R233" s="176">
        <v>0</v>
      </c>
      <c r="S233" s="226">
        <f>S234</f>
        <v>60000000</v>
      </c>
      <c r="T233" s="227">
        <f t="shared" ref="T233:T234" si="288">IFERROR(S233/$H233,0)</f>
        <v>0</v>
      </c>
      <c r="U233" s="227">
        <f t="shared" si="280"/>
        <v>0</v>
      </c>
      <c r="V233" s="227">
        <f t="shared" si="281"/>
        <v>0</v>
      </c>
      <c r="W233" s="226">
        <f>W234</f>
        <v>1</v>
      </c>
      <c r="X233" s="226">
        <v>60000000</v>
      </c>
      <c r="Y233" s="227">
        <v>0</v>
      </c>
      <c r="Z233" s="226">
        <f>Z234</f>
        <v>60000000</v>
      </c>
      <c r="AA233" s="227">
        <f t="shared" ref="AA233:AA234" si="289">IFERROR(Z233/$H233,0)</f>
        <v>0</v>
      </c>
      <c r="AB233" s="227">
        <f t="shared" ref="AB233:AB234" si="290">AA233-AF233</f>
        <v>0</v>
      </c>
      <c r="AC233" s="227">
        <f t="shared" ref="AC233:AC234" si="291">IFERROR(((Z233-AE233)/AE233),0)</f>
        <v>0</v>
      </c>
      <c r="AD233" s="226">
        <f>AD234</f>
        <v>1</v>
      </c>
      <c r="AE233" s="175">
        <v>60000000</v>
      </c>
      <c r="AF233" s="176">
        <v>0</v>
      </c>
      <c r="AG233" s="226">
        <f>AG234</f>
        <v>60000000</v>
      </c>
      <c r="AH233" s="227">
        <f t="shared" ref="AH233:AH234" si="292">IFERROR(AG233/$H233,0)</f>
        <v>0</v>
      </c>
      <c r="AI233" s="227">
        <f t="shared" ref="AI233:AI234" si="293">AH233-AL233</f>
        <v>0</v>
      </c>
      <c r="AJ233" s="227">
        <f t="shared" ref="AJ233:AJ234" si="294">IFERROR(((AG233-AK233)/AK233),0)</f>
        <v>0</v>
      </c>
      <c r="AK233" s="226">
        <v>60000000</v>
      </c>
      <c r="AL233" s="227">
        <v>0</v>
      </c>
    </row>
    <row r="234" spans="1:38" ht="59.25" customHeight="1" x14ac:dyDescent="0.3">
      <c r="A234" s="263" t="str">
        <f>Pasākumu_līmenis!A172</f>
        <v>15.1.1</v>
      </c>
      <c r="B234" s="254" t="str">
        <f>Pasākumu_līmenis!B172</f>
        <v>Atbalsta pasākumi centralizētās siltumapgādes jomā</v>
      </c>
      <c r="C234" s="10"/>
      <c r="D234" s="10"/>
      <c r="E234" s="42" t="str">
        <f>Pasākumu_līmenis!D172</f>
        <v>KF</v>
      </c>
      <c r="F234" s="42" t="str">
        <f>Pasākumu_līmenis!E172</f>
        <v>EM</v>
      </c>
      <c r="G234" s="278">
        <f>Pasākumu_līmenis!G172</f>
        <v>60000000</v>
      </c>
      <c r="H234" s="169">
        <f>Pasākumu_līmenis!F172</f>
        <v>0</v>
      </c>
      <c r="I234" s="169">
        <f>Pasākumu_līmenis!G172</f>
        <v>60000000</v>
      </c>
      <c r="J234" s="169">
        <f>Pasākumu_līmenis!H172</f>
        <v>60000000</v>
      </c>
      <c r="K234" s="169">
        <f>Pasākumu_līmenis!K172</f>
        <v>1</v>
      </c>
      <c r="L234" s="169">
        <f>Pasākumu_līmenis!J172</f>
        <v>60000000</v>
      </c>
      <c r="M234" s="170">
        <f t="shared" si="287"/>
        <v>0</v>
      </c>
      <c r="N234" s="170">
        <f t="shared" si="278"/>
        <v>0</v>
      </c>
      <c r="O234" s="170">
        <f t="shared" si="279"/>
        <v>0</v>
      </c>
      <c r="P234" s="169">
        <f>Pasākumu_līmenis!N172</f>
        <v>1</v>
      </c>
      <c r="Q234" s="169">
        <v>60000000</v>
      </c>
      <c r="R234" s="170">
        <v>0</v>
      </c>
      <c r="S234" s="169">
        <f>Pasākumu_līmenis!Q172</f>
        <v>60000000</v>
      </c>
      <c r="T234" s="170">
        <f t="shared" si="288"/>
        <v>0</v>
      </c>
      <c r="U234" s="170">
        <f t="shared" si="280"/>
        <v>0</v>
      </c>
      <c r="V234" s="170">
        <f t="shared" si="281"/>
        <v>0</v>
      </c>
      <c r="W234" s="169">
        <f>Pasākumu_līmenis!U172</f>
        <v>1</v>
      </c>
      <c r="X234" s="169">
        <v>60000000</v>
      </c>
      <c r="Y234" s="170">
        <v>0</v>
      </c>
      <c r="Z234" s="169">
        <f>Pasākumu_līmenis!X172</f>
        <v>60000000</v>
      </c>
      <c r="AA234" s="170">
        <f t="shared" si="289"/>
        <v>0</v>
      </c>
      <c r="AB234" s="170">
        <f t="shared" si="290"/>
        <v>0</v>
      </c>
      <c r="AC234" s="170">
        <f t="shared" si="291"/>
        <v>0</v>
      </c>
      <c r="AD234" s="169">
        <f>Pasākumu_līmenis!AB172</f>
        <v>1</v>
      </c>
      <c r="AE234" s="169">
        <v>60000000</v>
      </c>
      <c r="AF234" s="170">
        <v>0</v>
      </c>
      <c r="AG234" s="169">
        <f>Pasākumu_līmenis!AE172</f>
        <v>60000000</v>
      </c>
      <c r="AH234" s="170">
        <f t="shared" si="292"/>
        <v>0</v>
      </c>
      <c r="AI234" s="170">
        <f t="shared" si="293"/>
        <v>0</v>
      </c>
      <c r="AJ234" s="170">
        <f t="shared" si="294"/>
        <v>0</v>
      </c>
      <c r="AK234" s="169">
        <v>60000000</v>
      </c>
      <c r="AL234" s="170">
        <v>0</v>
      </c>
    </row>
    <row r="235" spans="1:38" ht="59.25" customHeight="1" x14ac:dyDescent="0.3">
      <c r="A235" s="247" t="s">
        <v>1282</v>
      </c>
      <c r="B235" s="248" t="s">
        <v>1281</v>
      </c>
      <c r="C235" s="8" t="s">
        <v>1282</v>
      </c>
      <c r="D235" s="225">
        <v>4</v>
      </c>
      <c r="E235" s="66" t="s">
        <v>1283</v>
      </c>
      <c r="F235" s="66" t="s">
        <v>1282</v>
      </c>
      <c r="G235" s="280" t="s">
        <v>1282</v>
      </c>
      <c r="H235" s="226">
        <f>SUM(Pasākumu_līmenis!F175:F178)</f>
        <v>9238922</v>
      </c>
      <c r="I235" s="226">
        <f>SUM(Pasākumu_līmenis!G175:G178)</f>
        <v>-7399760</v>
      </c>
      <c r="J235" s="226">
        <f>H235+I235</f>
        <v>1839162</v>
      </c>
      <c r="K235" s="226" t="s">
        <v>1282</v>
      </c>
      <c r="L235" s="226" t="s">
        <v>1282</v>
      </c>
      <c r="M235" s="227" t="s">
        <v>1282</v>
      </c>
      <c r="N235" s="227" t="s">
        <v>1282</v>
      </c>
      <c r="O235" s="227" t="s">
        <v>1282</v>
      </c>
      <c r="P235" s="226" t="s">
        <v>1282</v>
      </c>
      <c r="Q235" s="175" t="s">
        <v>1282</v>
      </c>
      <c r="R235" s="176" t="s">
        <v>1282</v>
      </c>
      <c r="S235" s="226" t="s">
        <v>1282</v>
      </c>
      <c r="T235" s="227" t="s">
        <v>1282</v>
      </c>
      <c r="U235" s="227" t="s">
        <v>1282</v>
      </c>
      <c r="V235" s="227" t="s">
        <v>1282</v>
      </c>
      <c r="W235" s="226" t="s">
        <v>1282</v>
      </c>
      <c r="X235" s="175" t="s">
        <v>1282</v>
      </c>
      <c r="Y235" s="176" t="s">
        <v>1282</v>
      </c>
      <c r="Z235" s="226" t="s">
        <v>1282</v>
      </c>
      <c r="AA235" s="227" t="s">
        <v>1282</v>
      </c>
      <c r="AB235" s="227" t="s">
        <v>1282</v>
      </c>
      <c r="AC235" s="227" t="s">
        <v>1282</v>
      </c>
      <c r="AD235" s="226" t="s">
        <v>1282</v>
      </c>
      <c r="AE235" s="175" t="s">
        <v>1282</v>
      </c>
      <c r="AF235" s="176" t="s">
        <v>1282</v>
      </c>
      <c r="AG235" s="226" t="s">
        <v>1282</v>
      </c>
      <c r="AH235" s="227" t="s">
        <v>1282</v>
      </c>
      <c r="AI235" s="227" t="s">
        <v>1282</v>
      </c>
      <c r="AJ235" s="227" t="s">
        <v>1282</v>
      </c>
      <c r="AK235" s="35" t="s">
        <v>1282</v>
      </c>
      <c r="AL235" s="31" t="s">
        <v>1282</v>
      </c>
    </row>
    <row r="236" spans="1:38" ht="59.25" customHeight="1" x14ac:dyDescent="0.3">
      <c r="A236" s="247" t="s">
        <v>1282</v>
      </c>
      <c r="B236" s="248" t="s">
        <v>1352</v>
      </c>
      <c r="C236" s="8"/>
      <c r="D236" s="225"/>
      <c r="E236" s="66" t="s">
        <v>1375</v>
      </c>
      <c r="F236" s="66" t="s">
        <v>1282</v>
      </c>
      <c r="G236" s="280"/>
      <c r="H236" s="226">
        <f>Pasākumu_līmenis!F179</f>
        <v>2524642</v>
      </c>
      <c r="I236" s="226">
        <f>Pasākumu_līmenis!G179</f>
        <v>0</v>
      </c>
      <c r="J236" s="226">
        <f>H236</f>
        <v>2524642</v>
      </c>
      <c r="K236" s="226">
        <v>0</v>
      </c>
      <c r="L236" s="226" t="s">
        <v>1282</v>
      </c>
      <c r="M236" s="226" t="s">
        <v>1282</v>
      </c>
      <c r="N236" s="226" t="s">
        <v>1282</v>
      </c>
      <c r="O236" s="226" t="s">
        <v>1282</v>
      </c>
      <c r="P236" s="226" t="s">
        <v>1282</v>
      </c>
      <c r="Q236" s="226" t="s">
        <v>1282</v>
      </c>
      <c r="R236" s="226" t="s">
        <v>1282</v>
      </c>
      <c r="S236" s="226" t="s">
        <v>1282</v>
      </c>
      <c r="T236" s="226" t="s">
        <v>1282</v>
      </c>
      <c r="U236" s="226" t="s">
        <v>1282</v>
      </c>
      <c r="V236" s="226" t="s">
        <v>1282</v>
      </c>
      <c r="W236" s="226" t="s">
        <v>1282</v>
      </c>
      <c r="X236" s="226" t="s">
        <v>1282</v>
      </c>
      <c r="Y236" s="226" t="s">
        <v>1282</v>
      </c>
      <c r="Z236" s="226" t="s">
        <v>1282</v>
      </c>
      <c r="AA236" s="226" t="s">
        <v>1282</v>
      </c>
      <c r="AB236" s="226" t="s">
        <v>1282</v>
      </c>
      <c r="AC236" s="226" t="s">
        <v>1282</v>
      </c>
      <c r="AD236" s="226" t="s">
        <v>1282</v>
      </c>
      <c r="AE236" s="226" t="s">
        <v>1282</v>
      </c>
      <c r="AF236" s="226" t="s">
        <v>1282</v>
      </c>
      <c r="AG236" s="226" t="s">
        <v>1282</v>
      </c>
      <c r="AH236" s="226" t="s">
        <v>1282</v>
      </c>
      <c r="AI236" s="226" t="s">
        <v>1282</v>
      </c>
      <c r="AJ236" s="226" t="s">
        <v>1282</v>
      </c>
      <c r="AK236" s="35" t="s">
        <v>1282</v>
      </c>
      <c r="AL236" s="31" t="s">
        <v>1282</v>
      </c>
    </row>
    <row r="237" spans="1:38" ht="59.25" customHeight="1" x14ac:dyDescent="0.3">
      <c r="A237" s="247" t="s">
        <v>1282</v>
      </c>
      <c r="B237" s="248" t="s">
        <v>1352</v>
      </c>
      <c r="C237" s="8"/>
      <c r="D237" s="225">
        <v>6</v>
      </c>
      <c r="E237" s="66" t="s">
        <v>1525</v>
      </c>
      <c r="F237" s="66" t="s">
        <v>1282</v>
      </c>
      <c r="G237" s="280"/>
      <c r="H237" s="226">
        <f>Pasākumu_līmenis!F180</f>
        <v>0</v>
      </c>
      <c r="I237" s="226">
        <f>Pasākumu_līmenis!G180</f>
        <v>0</v>
      </c>
      <c r="J237" s="226">
        <f>H237</f>
        <v>0</v>
      </c>
      <c r="K237" s="226">
        <v>0</v>
      </c>
      <c r="L237" s="226" t="s">
        <v>1282</v>
      </c>
      <c r="M237" s="226" t="s">
        <v>1282</v>
      </c>
      <c r="N237" s="226" t="s">
        <v>1282</v>
      </c>
      <c r="O237" s="226" t="s">
        <v>1282</v>
      </c>
      <c r="P237" s="226" t="s">
        <v>1282</v>
      </c>
      <c r="Q237" s="226" t="s">
        <v>1282</v>
      </c>
      <c r="R237" s="226" t="s">
        <v>1282</v>
      </c>
      <c r="S237" s="226" t="s">
        <v>1282</v>
      </c>
      <c r="T237" s="226" t="s">
        <v>1282</v>
      </c>
      <c r="U237" s="226" t="s">
        <v>1282</v>
      </c>
      <c r="V237" s="226" t="s">
        <v>1282</v>
      </c>
      <c r="W237" s="226" t="s">
        <v>1282</v>
      </c>
      <c r="X237" s="226" t="s">
        <v>1282</v>
      </c>
      <c r="Y237" s="226" t="s">
        <v>1282</v>
      </c>
      <c r="Z237" s="226" t="s">
        <v>1282</v>
      </c>
      <c r="AA237" s="226" t="s">
        <v>1282</v>
      </c>
      <c r="AB237" s="226" t="s">
        <v>1282</v>
      </c>
      <c r="AC237" s="226" t="s">
        <v>1282</v>
      </c>
      <c r="AD237" s="226" t="s">
        <v>1282</v>
      </c>
      <c r="AE237" s="226" t="s">
        <v>1282</v>
      </c>
      <c r="AF237" s="226" t="s">
        <v>1282</v>
      </c>
      <c r="AG237" s="226" t="s">
        <v>1282</v>
      </c>
      <c r="AH237" s="226" t="s">
        <v>1282</v>
      </c>
      <c r="AI237" s="226" t="s">
        <v>1282</v>
      </c>
      <c r="AJ237" s="226" t="s">
        <v>1282</v>
      </c>
      <c r="AK237" s="35" t="s">
        <v>1282</v>
      </c>
      <c r="AL237" s="31" t="s">
        <v>1282</v>
      </c>
    </row>
    <row r="238" spans="1:38" x14ac:dyDescent="0.3">
      <c r="A238" s="134"/>
      <c r="B238" s="134"/>
      <c r="C238" s="135"/>
      <c r="D238" s="135"/>
      <c r="E238" s="135"/>
      <c r="F238" s="135"/>
      <c r="G238" s="135"/>
      <c r="H238" s="135"/>
      <c r="I238" s="135"/>
      <c r="J238" s="135"/>
      <c r="K238" s="135"/>
      <c r="L238" s="135"/>
      <c r="M238" s="135"/>
      <c r="N238" s="135"/>
      <c r="O238" s="135"/>
      <c r="P238" s="135"/>
      <c r="Q238" s="136"/>
      <c r="R238" s="135"/>
      <c r="S238" s="135"/>
      <c r="T238" s="135"/>
    </row>
    <row r="239" spans="1:38" x14ac:dyDescent="0.3">
      <c r="A239" s="506" t="s">
        <v>461</v>
      </c>
      <c r="B239" s="506"/>
      <c r="C239" s="506"/>
      <c r="D239" s="506"/>
      <c r="E239" s="506"/>
      <c r="F239" s="506"/>
      <c r="G239" s="506"/>
      <c r="H239" s="506"/>
      <c r="I239" s="506"/>
      <c r="J239" s="506"/>
      <c r="K239" s="506"/>
      <c r="L239" s="506"/>
      <c r="M239" s="506"/>
      <c r="N239" s="506"/>
      <c r="O239" s="506"/>
      <c r="P239" s="506"/>
      <c r="Q239" s="506"/>
      <c r="R239" s="506"/>
      <c r="S239" s="506"/>
      <c r="T239" s="506"/>
      <c r="U239" s="506"/>
      <c r="V239" s="506"/>
      <c r="W239" s="506"/>
      <c r="X239" s="506"/>
      <c r="Y239" s="506"/>
      <c r="Z239" s="506"/>
      <c r="AA239" s="506"/>
      <c r="AB239" s="506"/>
      <c r="AC239" s="506"/>
    </row>
    <row r="240" spans="1:38" x14ac:dyDescent="0.3">
      <c r="A240" s="506"/>
      <c r="B240" s="506"/>
      <c r="C240" s="506"/>
      <c r="D240" s="506"/>
      <c r="E240" s="506"/>
      <c r="F240" s="506"/>
      <c r="G240" s="506"/>
      <c r="H240" s="506"/>
      <c r="I240" s="506"/>
      <c r="J240" s="506"/>
      <c r="K240" s="506"/>
      <c r="L240" s="506"/>
      <c r="M240" s="506"/>
      <c r="N240" s="506"/>
      <c r="O240" s="506"/>
      <c r="P240" s="506"/>
      <c r="Q240" s="506"/>
      <c r="R240" s="506"/>
      <c r="S240" s="506"/>
      <c r="T240" s="506"/>
      <c r="U240" s="506"/>
      <c r="V240" s="506"/>
      <c r="W240" s="506"/>
      <c r="X240" s="506"/>
      <c r="Y240" s="506"/>
      <c r="Z240" s="506"/>
      <c r="AA240" s="506"/>
      <c r="AB240" s="506"/>
      <c r="AC240" s="506"/>
    </row>
    <row r="241" spans="1:38" x14ac:dyDescent="0.3">
      <c r="A241" s="506"/>
      <c r="B241" s="506"/>
      <c r="C241" s="506"/>
      <c r="D241" s="506"/>
      <c r="E241" s="506"/>
      <c r="F241" s="506"/>
      <c r="G241" s="506"/>
      <c r="H241" s="506"/>
      <c r="I241" s="506"/>
      <c r="J241" s="506"/>
      <c r="K241" s="506"/>
      <c r="L241" s="506"/>
      <c r="M241" s="506"/>
      <c r="N241" s="506"/>
      <c r="O241" s="506"/>
      <c r="P241" s="506"/>
      <c r="Q241" s="506"/>
      <c r="R241" s="506"/>
      <c r="S241" s="506"/>
      <c r="T241" s="506"/>
      <c r="U241" s="506"/>
      <c r="V241" s="506"/>
      <c r="W241" s="506"/>
      <c r="X241" s="506"/>
      <c r="Y241" s="506"/>
      <c r="Z241" s="506"/>
      <c r="AA241" s="506"/>
      <c r="AB241" s="506"/>
      <c r="AC241" s="506"/>
    </row>
    <row r="242" spans="1:38" x14ac:dyDescent="0.3">
      <c r="A242" s="506"/>
      <c r="B242" s="506"/>
      <c r="C242" s="506"/>
      <c r="D242" s="506"/>
      <c r="E242" s="506"/>
      <c r="F242" s="506"/>
      <c r="G242" s="506"/>
      <c r="H242" s="506"/>
      <c r="I242" s="506"/>
      <c r="J242" s="506"/>
      <c r="K242" s="506"/>
      <c r="L242" s="506"/>
      <c r="M242" s="506"/>
      <c r="N242" s="506"/>
      <c r="O242" s="506"/>
      <c r="P242" s="506"/>
      <c r="Q242" s="506"/>
      <c r="R242" s="506"/>
      <c r="S242" s="506"/>
      <c r="T242" s="506"/>
      <c r="U242" s="506"/>
      <c r="V242" s="506"/>
      <c r="W242" s="506"/>
      <c r="X242" s="506"/>
      <c r="Y242" s="506"/>
      <c r="Z242" s="506"/>
      <c r="AA242" s="506"/>
      <c r="AB242" s="506"/>
      <c r="AC242" s="506"/>
    </row>
    <row r="243" spans="1:38" ht="16.5" customHeight="1" x14ac:dyDescent="0.3">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c r="AB243" s="137"/>
      <c r="AC243" s="137"/>
    </row>
    <row r="244" spans="1:38" x14ac:dyDescent="0.3">
      <c r="C244" s="135"/>
      <c r="D244" s="135"/>
      <c r="E244" s="135"/>
      <c r="F244" s="135"/>
      <c r="G244" s="135"/>
      <c r="H244" s="135"/>
      <c r="I244" s="135"/>
      <c r="J244" s="135"/>
      <c r="K244" s="135"/>
      <c r="L244" s="135"/>
      <c r="M244" s="135"/>
      <c r="N244" s="135"/>
      <c r="O244" s="135"/>
      <c r="P244" s="135"/>
      <c r="Q244" s="136"/>
      <c r="R244" s="135"/>
      <c r="S244" s="135"/>
      <c r="T244" s="135"/>
      <c r="X244" s="1"/>
      <c r="Y244" s="53"/>
      <c r="Z244" s="23"/>
      <c r="AF244" s="53"/>
      <c r="AK244" s="55"/>
      <c r="AL244" s="53"/>
    </row>
    <row r="245" spans="1:38" x14ac:dyDescent="0.3">
      <c r="A245" s="293" t="s">
        <v>1289</v>
      </c>
      <c r="B245" s="294"/>
      <c r="C245" s="294"/>
      <c r="D245" s="294"/>
      <c r="E245" s="294"/>
      <c r="F245" s="294"/>
      <c r="G245" s="294"/>
      <c r="H245" s="294"/>
      <c r="I245" s="294"/>
      <c r="J245" s="294"/>
      <c r="K245" s="294"/>
      <c r="L245" s="294"/>
      <c r="M245" s="135"/>
      <c r="N245" s="135"/>
      <c r="O245" s="135"/>
      <c r="P245" s="135"/>
      <c r="Q245" s="136"/>
      <c r="S245" s="135"/>
      <c r="T245" s="135"/>
    </row>
    <row r="246" spans="1:38" x14ac:dyDescent="0.3">
      <c r="A246" s="293" t="s">
        <v>1290</v>
      </c>
      <c r="B246" s="294"/>
      <c r="C246" s="294"/>
      <c r="D246" s="294"/>
      <c r="E246" s="294"/>
      <c r="F246" s="294"/>
      <c r="G246" s="294"/>
      <c r="H246" s="294"/>
      <c r="I246" s="294"/>
      <c r="J246" s="294"/>
      <c r="K246" s="294"/>
      <c r="L246" s="294"/>
      <c r="M246" s="292"/>
      <c r="N246" s="292"/>
      <c r="O246" s="292"/>
      <c r="P246" s="292"/>
      <c r="Q246" s="292"/>
      <c r="S246" s="292"/>
      <c r="T246" s="292"/>
      <c r="U246" s="292"/>
      <c r="V246" s="292"/>
      <c r="W246" s="292"/>
      <c r="X246" s="292"/>
      <c r="Y246" s="292"/>
      <c r="Z246" s="292"/>
      <c r="AA246" s="292"/>
      <c r="AB246" s="292"/>
      <c r="AC246" s="292"/>
      <c r="AD246" s="292"/>
      <c r="AE246" s="292"/>
      <c r="AF246" s="292"/>
      <c r="AG246" s="292"/>
      <c r="AH246" s="292"/>
      <c r="AI246" s="292"/>
      <c r="AJ246" s="292"/>
    </row>
    <row r="247" spans="1:38" x14ac:dyDescent="0.3">
      <c r="A247" s="17" t="s">
        <v>1291</v>
      </c>
      <c r="C247" s="17"/>
      <c r="D247" s="17"/>
      <c r="E247" s="17"/>
      <c r="F247" s="17"/>
      <c r="G247" s="17"/>
      <c r="H247" s="17"/>
      <c r="I247" s="17"/>
      <c r="J247" s="17"/>
      <c r="K247" s="17"/>
      <c r="L247" s="17"/>
      <c r="M247" s="17"/>
      <c r="N247" s="17"/>
      <c r="O247" s="17"/>
      <c r="P247" s="17"/>
      <c r="Q247" s="17"/>
      <c r="S247" s="17"/>
      <c r="T247" s="17"/>
      <c r="U247" s="17"/>
      <c r="V247" s="17"/>
      <c r="W247" s="17"/>
      <c r="X247" s="17"/>
      <c r="Y247" s="17"/>
      <c r="Z247" s="17"/>
      <c r="AA247" s="17"/>
      <c r="AB247" s="17"/>
      <c r="AC247" s="17"/>
      <c r="AD247" s="17"/>
      <c r="AE247" s="17"/>
      <c r="AF247" s="17"/>
      <c r="AG247" s="17"/>
      <c r="AH247" s="17"/>
      <c r="AI247" s="17"/>
      <c r="AJ247" s="17"/>
    </row>
    <row r="248" spans="1:38" ht="18.75" customHeight="1" x14ac:dyDescent="0.3">
      <c r="A248" s="17" t="s">
        <v>1313</v>
      </c>
      <c r="B248" s="305"/>
      <c r="C248" s="305"/>
      <c r="D248" s="305"/>
      <c r="E248" s="305"/>
      <c r="F248" s="305"/>
      <c r="G248" s="305"/>
      <c r="H248" s="305"/>
      <c r="I248" s="305"/>
      <c r="J248" s="305"/>
      <c r="K248" s="305"/>
      <c r="L248" s="305"/>
      <c r="M248" s="305"/>
      <c r="N248" s="305"/>
      <c r="O248" s="305"/>
      <c r="P248" s="305"/>
      <c r="Q248" s="306"/>
      <c r="R248" s="305"/>
      <c r="S248" s="135"/>
      <c r="T248" s="135"/>
    </row>
    <row r="249" spans="1:38" x14ac:dyDescent="0.3">
      <c r="A249" s="134" t="s">
        <v>1347</v>
      </c>
    </row>
    <row r="250" spans="1:38" x14ac:dyDescent="0.3">
      <c r="A250" s="17" t="s">
        <v>1553</v>
      </c>
    </row>
    <row r="251" spans="1:38" x14ac:dyDescent="0.3">
      <c r="A251" s="17" t="s">
        <v>1579</v>
      </c>
    </row>
  </sheetData>
  <autoFilter ref="A15:AL362" xr:uid="{00000000-0009-0000-0000-000001000000}"/>
  <sortState xmlns:xlrd2="http://schemas.microsoft.com/office/spreadsheetml/2017/richdata2" ref="A53:B54">
    <sortCondition ref="A53"/>
  </sortState>
  <mergeCells count="8">
    <mergeCell ref="D1:AJ1"/>
    <mergeCell ref="A239:AC242"/>
    <mergeCell ref="A3:F3"/>
    <mergeCell ref="AG3:AL3"/>
    <mergeCell ref="S3:Y3"/>
    <mergeCell ref="Z3:AF3"/>
    <mergeCell ref="L3:R3"/>
    <mergeCell ref="H3:K3"/>
  </mergeCells>
  <phoneticPr fontId="80" type="noConversion"/>
  <pageMargins left="0.25" right="0.25" top="0.75" bottom="0.75" header="0.3" footer="0.3"/>
  <pageSetup paperSize="9" scale="30"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tint="0.59999389629810485"/>
    <pageSetUpPr fitToPage="1"/>
  </sheetPr>
  <dimension ref="A1:AA62"/>
  <sheetViews>
    <sheetView zoomScale="70" zoomScaleNormal="70" workbookViewId="0">
      <selection activeCell="G48" sqref="G48"/>
    </sheetView>
  </sheetViews>
  <sheetFormatPr defaultRowHeight="15" x14ac:dyDescent="0.25"/>
  <cols>
    <col min="2" max="2" width="64" customWidth="1"/>
    <col min="3" max="3" width="21.5703125" customWidth="1"/>
    <col min="4" max="4" width="19.5703125" customWidth="1"/>
    <col min="5" max="5" width="21.5703125" customWidth="1"/>
    <col min="6" max="6" width="21.5703125" hidden="1" customWidth="1"/>
    <col min="7" max="7" width="21.5703125" customWidth="1"/>
    <col min="8" max="8" width="19.5703125" style="106" customWidth="1"/>
    <col min="9" max="9" width="16.42578125" style="106" customWidth="1"/>
    <col min="10" max="10" width="14" style="106" customWidth="1"/>
    <col min="11" max="11" width="10.5703125" customWidth="1"/>
    <col min="12" max="12" width="24.42578125" customWidth="1"/>
    <col min="13" max="13" width="19.5703125" style="106" customWidth="1"/>
    <col min="14" max="14" width="16.5703125" style="106" customWidth="1"/>
    <col min="15" max="15" width="15.42578125" style="106" customWidth="1"/>
    <col min="16" max="16" width="10" customWidth="1"/>
    <col min="17" max="17" width="20.5703125" customWidth="1"/>
    <col min="18" max="18" width="13.42578125" style="106" customWidth="1"/>
    <col min="19" max="19" width="15.5703125" style="106" customWidth="1"/>
    <col min="20" max="20" width="12.5703125" style="106" customWidth="1"/>
    <col min="21" max="21" width="9.42578125" customWidth="1"/>
    <col min="22" max="22" width="22.42578125" bestFit="1" customWidth="1"/>
    <col min="23" max="23" width="12.5703125" style="106" customWidth="1"/>
    <col min="24" max="25" width="15.5703125" style="106" customWidth="1"/>
  </cols>
  <sheetData>
    <row r="1" spans="1:25" ht="25.5" x14ac:dyDescent="0.25">
      <c r="A1" s="265" t="str">
        <f>Pasākumu_līmenis!A2</f>
        <v>Sagatavots 08.04.2025.</v>
      </c>
      <c r="B1" s="141"/>
      <c r="C1" s="505" t="str">
        <f>Pasākumu_līmenis!A1</f>
        <v>2014.-2020. gada plānošanas perioda ES fondu ieviešanas statuss (ES fondu daļa, EUR) uz 31.03.2025.</v>
      </c>
      <c r="D1" s="505"/>
      <c r="E1" s="505"/>
      <c r="F1" s="505"/>
      <c r="G1" s="505"/>
      <c r="H1" s="505"/>
      <c r="I1" s="505"/>
      <c r="J1" s="505"/>
      <c r="K1" s="505"/>
      <c r="L1" s="505"/>
      <c r="M1" s="505"/>
      <c r="N1" s="505"/>
      <c r="O1" s="505"/>
      <c r="P1" s="505"/>
      <c r="Q1" s="505"/>
      <c r="R1" s="505"/>
      <c r="S1" s="505"/>
      <c r="T1" s="505"/>
      <c r="U1" s="505"/>
      <c r="V1" s="505"/>
      <c r="W1" s="505"/>
      <c r="X1" s="505"/>
      <c r="Y1" s="505"/>
    </row>
    <row r="3" spans="1:25" ht="18.75" x14ac:dyDescent="0.3">
      <c r="A3" s="519" t="s">
        <v>154</v>
      </c>
      <c r="B3" s="519"/>
      <c r="C3" s="520" t="s">
        <v>156</v>
      </c>
      <c r="D3" s="521"/>
      <c r="E3" s="521"/>
      <c r="F3" s="522"/>
      <c r="G3" s="520" t="s">
        <v>615</v>
      </c>
      <c r="H3" s="521"/>
      <c r="I3" s="521"/>
      <c r="J3" s="521"/>
      <c r="K3" s="522"/>
      <c r="L3" s="520" t="s">
        <v>413</v>
      </c>
      <c r="M3" s="521"/>
      <c r="N3" s="521"/>
      <c r="O3" s="521"/>
      <c r="P3" s="522"/>
      <c r="Q3" s="520" t="s">
        <v>414</v>
      </c>
      <c r="R3" s="521"/>
      <c r="S3" s="521"/>
      <c r="T3" s="521"/>
      <c r="U3" s="522"/>
      <c r="V3" s="519" t="s">
        <v>155</v>
      </c>
      <c r="W3" s="519"/>
      <c r="X3" s="519"/>
      <c r="Y3" s="519"/>
    </row>
    <row r="4" spans="1:25" ht="118.5" customHeight="1" x14ac:dyDescent="0.25">
      <c r="A4" s="26" t="s">
        <v>3</v>
      </c>
      <c r="B4" s="66" t="s">
        <v>157</v>
      </c>
      <c r="C4" s="66" t="s">
        <v>419</v>
      </c>
      <c r="D4" s="12" t="s">
        <v>158</v>
      </c>
      <c r="E4" s="12" t="s">
        <v>409</v>
      </c>
      <c r="F4" s="12" t="str">
        <f>Pasākumu_līmenis!I4</f>
        <v>Snieguma rezerve atbilstoši MK noteikumiem,
ES fondu finansējums (pēdējo reizi aktualizēta 08.06.2020)</v>
      </c>
      <c r="G4" s="12" t="s">
        <v>406</v>
      </c>
      <c r="H4" s="104" t="s">
        <v>407</v>
      </c>
      <c r="I4" s="104" t="s">
        <v>426</v>
      </c>
      <c r="J4" s="104" t="s">
        <v>460</v>
      </c>
      <c r="K4" s="12" t="s">
        <v>412</v>
      </c>
      <c r="L4" s="12" t="s">
        <v>406</v>
      </c>
      <c r="M4" s="104" t="s">
        <v>407</v>
      </c>
      <c r="N4" s="104" t="s">
        <v>426</v>
      </c>
      <c r="O4" s="104" t="s">
        <v>460</v>
      </c>
      <c r="P4" s="12" t="s">
        <v>412</v>
      </c>
      <c r="Q4" s="12" t="s">
        <v>406</v>
      </c>
      <c r="R4" s="104" t="s">
        <v>407</v>
      </c>
      <c r="S4" s="104" t="s">
        <v>426</v>
      </c>
      <c r="T4" s="104" t="s">
        <v>460</v>
      </c>
      <c r="U4" s="12" t="s">
        <v>412</v>
      </c>
      <c r="V4" s="12" t="s">
        <v>410</v>
      </c>
      <c r="W4" s="104" t="s">
        <v>408</v>
      </c>
      <c r="X4" s="104" t="s">
        <v>426</v>
      </c>
      <c r="Y4" s="104" t="s">
        <v>460</v>
      </c>
    </row>
    <row r="5" spans="1:25" ht="17.25" customHeight="1" x14ac:dyDescent="0.3">
      <c r="A5" s="2" t="s">
        <v>0</v>
      </c>
      <c r="B5" s="2" t="s">
        <v>4</v>
      </c>
      <c r="C5" s="129" t="s">
        <v>12</v>
      </c>
      <c r="D5" s="130" t="s">
        <v>10</v>
      </c>
      <c r="E5" s="130" t="s">
        <v>427</v>
      </c>
      <c r="F5" s="130" t="s">
        <v>614</v>
      </c>
      <c r="G5" s="130" t="s">
        <v>18</v>
      </c>
      <c r="H5" s="105" t="s">
        <v>373</v>
      </c>
      <c r="I5" s="105" t="s">
        <v>22</v>
      </c>
      <c r="J5" s="105" t="s">
        <v>23</v>
      </c>
      <c r="K5" s="88" t="s">
        <v>24</v>
      </c>
      <c r="L5" s="88">
        <v>4</v>
      </c>
      <c r="M5" s="105" t="s">
        <v>374</v>
      </c>
      <c r="N5" s="105" t="s">
        <v>32</v>
      </c>
      <c r="O5" s="105" t="s">
        <v>45</v>
      </c>
      <c r="P5" s="88" t="s">
        <v>47</v>
      </c>
      <c r="Q5" s="88">
        <v>5</v>
      </c>
      <c r="R5" s="105" t="s">
        <v>375</v>
      </c>
      <c r="S5" s="105" t="s">
        <v>53</v>
      </c>
      <c r="T5" s="105" t="s">
        <v>54</v>
      </c>
      <c r="U5" s="88" t="s">
        <v>55</v>
      </c>
      <c r="V5" s="88" t="s">
        <v>71</v>
      </c>
      <c r="W5" s="105" t="s">
        <v>376</v>
      </c>
      <c r="X5" s="105" t="s">
        <v>73</v>
      </c>
      <c r="Y5" s="105" t="s">
        <v>74</v>
      </c>
    </row>
    <row r="6" spans="1:25" ht="33.75" customHeight="1" x14ac:dyDescent="0.3">
      <c r="A6" s="3"/>
      <c r="B6" s="122" t="s">
        <v>227</v>
      </c>
      <c r="C6" s="123">
        <f>Fin_progress!H6</f>
        <v>4640676789</v>
      </c>
      <c r="D6" s="123">
        <f>Fin_progress!I6</f>
        <v>216793929</v>
      </c>
      <c r="E6" s="123">
        <f>Fin_progress!J6</f>
        <v>4857470718</v>
      </c>
      <c r="F6" s="123">
        <f>Fin_progress!K6</f>
        <v>190574922.68716913</v>
      </c>
      <c r="G6" s="123">
        <f>Fin_progress!L6</f>
        <v>4535667326.1599998</v>
      </c>
      <c r="H6" s="124">
        <f>Fin_progress!M6</f>
        <v>0.97737195077043315</v>
      </c>
      <c r="I6" s="124">
        <f>Fin_progress!N6</f>
        <v>-6.698178400116106E-3</v>
      </c>
      <c r="J6" s="124">
        <f>Fin_progress!O6</f>
        <v>-6.8066067666963945E-3</v>
      </c>
      <c r="K6" s="123">
        <f>Fin_progress!P6</f>
        <v>2452</v>
      </c>
      <c r="L6" s="123">
        <f>Fin_progress!S6</f>
        <v>4535667326.1599998</v>
      </c>
      <c r="M6" s="124">
        <f>Fin_progress!T6</f>
        <v>0.97737195077043315</v>
      </c>
      <c r="N6" s="124">
        <f>Fin_progress!U6</f>
        <v>-6.698178400116106E-3</v>
      </c>
      <c r="O6" s="124">
        <f>Fin_progress!V6</f>
        <v>-6.8066067666963945E-3</v>
      </c>
      <c r="P6" s="123">
        <f>Fin_progress!W6</f>
        <v>2452</v>
      </c>
      <c r="Q6" s="123">
        <f>Fin_progress!Z6</f>
        <v>4535667326.1599998</v>
      </c>
      <c r="R6" s="124">
        <f>Fin_progress!AA6</f>
        <v>0.97737195077043315</v>
      </c>
      <c r="S6" s="124">
        <f>Fin_progress!AB6</f>
        <v>-6.698178400116106E-3</v>
      </c>
      <c r="T6" s="124">
        <f>Fin_progress!AC6</f>
        <v>-6.8066067666963945E-3</v>
      </c>
      <c r="U6" s="123">
        <f>Fin_progress!AD6</f>
        <v>2452</v>
      </c>
      <c r="V6" s="123">
        <f>Fin_progress!AG6</f>
        <v>4510201350.6800003</v>
      </c>
      <c r="W6" s="124">
        <f>Fin_progress!AH6</f>
        <v>0.9718843943992671</v>
      </c>
      <c r="X6" s="124">
        <f>Fin_progress!AI6</f>
        <v>5.941206477755312E-5</v>
      </c>
      <c r="Y6" s="124">
        <f>Fin_progress!AJ6</f>
        <v>6.113453127619494E-5</v>
      </c>
    </row>
    <row r="7" spans="1:25" ht="4.5" customHeight="1" x14ac:dyDescent="0.3">
      <c r="A7" s="117"/>
      <c r="B7" s="119"/>
      <c r="C7" s="189"/>
      <c r="D7" s="189"/>
      <c r="E7" s="189"/>
      <c r="F7" s="189"/>
      <c r="G7" s="189"/>
      <c r="H7" s="190"/>
      <c r="I7" s="190"/>
      <c r="J7" s="190"/>
      <c r="K7" s="190"/>
      <c r="L7" s="190"/>
      <c r="M7" s="190"/>
      <c r="N7" s="190"/>
      <c r="O7" s="190"/>
      <c r="P7" s="190"/>
      <c r="Q7" s="190"/>
      <c r="R7" s="190"/>
      <c r="S7" s="190"/>
      <c r="T7" s="190"/>
      <c r="U7" s="190"/>
      <c r="V7" s="190"/>
      <c r="W7" s="190"/>
      <c r="X7" s="190"/>
      <c r="Y7" s="190"/>
    </row>
    <row r="8" spans="1:25" ht="20.25" x14ac:dyDescent="0.3">
      <c r="A8" s="3"/>
      <c r="B8" s="4" t="s">
        <v>231</v>
      </c>
      <c r="C8" s="181">
        <f>Fin_progress!H8</f>
        <v>675925610</v>
      </c>
      <c r="D8" s="181">
        <f>Fin_progress!I8</f>
        <v>1589796</v>
      </c>
      <c r="E8" s="181">
        <f>Fin_progress!J8</f>
        <v>677515406</v>
      </c>
      <c r="F8" s="181">
        <f>Fin_progress!K8</f>
        <v>18276798.709648199</v>
      </c>
      <c r="G8" s="181">
        <f>Fin_progress!L8</f>
        <v>667741575.72000027</v>
      </c>
      <c r="H8" s="182">
        <f>Fin_progress!M8</f>
        <v>0.98789210800875005</v>
      </c>
      <c r="I8" s="182">
        <f>Fin_progress!N8</f>
        <v>0</v>
      </c>
      <c r="J8" s="182">
        <f>Fin_progress!O8</f>
        <v>0</v>
      </c>
      <c r="K8" s="181">
        <f>Fin_progress!P8</f>
        <v>325</v>
      </c>
      <c r="L8" s="181">
        <f>Fin_progress!S8</f>
        <v>667741575.72000027</v>
      </c>
      <c r="M8" s="182">
        <f>Fin_progress!T8</f>
        <v>0.98789210800875005</v>
      </c>
      <c r="N8" s="182">
        <f>Fin_progress!U8</f>
        <v>0</v>
      </c>
      <c r="O8" s="182">
        <f>Fin_progress!V8</f>
        <v>0</v>
      </c>
      <c r="P8" s="181">
        <f>Fin_progress!W8</f>
        <v>325</v>
      </c>
      <c r="Q8" s="181">
        <f>Fin_progress!Z8</f>
        <v>667741575.72000027</v>
      </c>
      <c r="R8" s="182">
        <f>Fin_progress!AA8</f>
        <v>0.98789210800875005</v>
      </c>
      <c r="S8" s="182">
        <f>Fin_progress!AB8</f>
        <v>0</v>
      </c>
      <c r="T8" s="182">
        <f>Fin_progress!AC8</f>
        <v>0</v>
      </c>
      <c r="U8" s="181">
        <f>Fin_progress!AD8</f>
        <v>325</v>
      </c>
      <c r="V8" s="181">
        <f>Fin_progress!AG8</f>
        <v>666918626.21000016</v>
      </c>
      <c r="W8" s="182">
        <f>Fin_progress!AH8</f>
        <v>0.98667459309612515</v>
      </c>
      <c r="X8" s="182">
        <f>Fin_progress!AI8</f>
        <v>0</v>
      </c>
      <c r="Y8" s="182">
        <f>Fin_progress!AJ8</f>
        <v>0</v>
      </c>
    </row>
    <row r="9" spans="1:25" ht="20.25" x14ac:dyDescent="0.3">
      <c r="A9" s="3"/>
      <c r="B9" s="16" t="s">
        <v>232</v>
      </c>
      <c r="C9" s="181">
        <f>Fin_progress!H9</f>
        <v>29010639</v>
      </c>
      <c r="D9" s="181">
        <f>Fin_progress!I9</f>
        <v>0</v>
      </c>
      <c r="E9" s="181">
        <f>Fin_progress!J9</f>
        <v>29010639</v>
      </c>
      <c r="F9" s="181">
        <f>Fin_progress!K9</f>
        <v>0</v>
      </c>
      <c r="G9" s="181">
        <f>Fin_progress!L9</f>
        <v>28810403.620000001</v>
      </c>
      <c r="H9" s="182">
        <f>Fin_progress!M9</f>
        <v>0.99309786385608401</v>
      </c>
      <c r="I9" s="182">
        <f>Fin_progress!N9</f>
        <v>0</v>
      </c>
      <c r="J9" s="182">
        <f>Fin_progress!O9</f>
        <v>0</v>
      </c>
      <c r="K9" s="181">
        <f>Fin_progress!P9</f>
        <v>2</v>
      </c>
      <c r="L9" s="181">
        <f>Fin_progress!S9</f>
        <v>28810403.620000001</v>
      </c>
      <c r="M9" s="182">
        <f>Fin_progress!T9</f>
        <v>0.99309786385608401</v>
      </c>
      <c r="N9" s="182">
        <f>Fin_progress!U9</f>
        <v>0</v>
      </c>
      <c r="O9" s="182">
        <f>Fin_progress!V9</f>
        <v>0</v>
      </c>
      <c r="P9" s="181">
        <f>Fin_progress!W9</f>
        <v>2</v>
      </c>
      <c r="Q9" s="181">
        <f>Fin_progress!Z9</f>
        <v>28810403.620000001</v>
      </c>
      <c r="R9" s="182">
        <f>Fin_progress!AA9</f>
        <v>0.99309786385608401</v>
      </c>
      <c r="S9" s="182">
        <f>Fin_progress!AB9</f>
        <v>0</v>
      </c>
      <c r="T9" s="182">
        <f>Fin_progress!AC9</f>
        <v>0</v>
      </c>
      <c r="U9" s="181">
        <f>Fin_progress!AD9</f>
        <v>2</v>
      </c>
      <c r="V9" s="181">
        <f>Fin_progress!AG9</f>
        <v>28810403.620000001</v>
      </c>
      <c r="W9" s="182">
        <f>Fin_progress!AH9</f>
        <v>0.99309786385608401</v>
      </c>
      <c r="X9" s="182">
        <f>Fin_progress!AI9</f>
        <v>0</v>
      </c>
      <c r="Y9" s="182">
        <f>Fin_progress!AJ9</f>
        <v>0</v>
      </c>
    </row>
    <row r="10" spans="1:25" ht="20.25" x14ac:dyDescent="0.3">
      <c r="A10" s="3"/>
      <c r="B10" s="4" t="s">
        <v>229</v>
      </c>
      <c r="C10" s="181">
        <f>Fin_progress!H10</f>
        <v>2465883158</v>
      </c>
      <c r="D10" s="181">
        <f>Fin_progress!I10</f>
        <v>27390925</v>
      </c>
      <c r="E10" s="181">
        <f>Fin_progress!J10</f>
        <v>2493274083</v>
      </c>
      <c r="F10" s="181">
        <f>Fin_progress!K10</f>
        <v>104744861.36031561</v>
      </c>
      <c r="G10" s="181">
        <f>Fin_progress!L10</f>
        <v>2353252208.1399999</v>
      </c>
      <c r="H10" s="182">
        <f>Fin_progress!M10</f>
        <v>0.95432429574183408</v>
      </c>
      <c r="I10" s="182">
        <f>Fin_progress!N10</f>
        <v>-1.2605658515957852E-2</v>
      </c>
      <c r="J10" s="182">
        <f>Fin_progress!O10</f>
        <v>-1.3036785612494398E-2</v>
      </c>
      <c r="K10" s="181">
        <f>Fin_progress!P10</f>
        <v>1601</v>
      </c>
      <c r="L10" s="181">
        <f>Fin_progress!S10</f>
        <v>2353252208.1399999</v>
      </c>
      <c r="M10" s="182">
        <f>Fin_progress!T10</f>
        <v>0.95432429574183408</v>
      </c>
      <c r="N10" s="182">
        <f>Fin_progress!U10</f>
        <v>-1.2605658515957852E-2</v>
      </c>
      <c r="O10" s="182">
        <f>Fin_progress!V10</f>
        <v>-1.3036785612494398E-2</v>
      </c>
      <c r="P10" s="181">
        <f>Fin_progress!W10</f>
        <v>1601</v>
      </c>
      <c r="Q10" s="181">
        <f>Fin_progress!Z10</f>
        <v>2353252208.1399999</v>
      </c>
      <c r="R10" s="182">
        <f>Fin_progress!AA10</f>
        <v>0.95432429574183408</v>
      </c>
      <c r="S10" s="182">
        <f>Fin_progress!AB10</f>
        <v>-1.2605658515957852E-2</v>
      </c>
      <c r="T10" s="182">
        <f>Fin_progress!AC10</f>
        <v>-1.3036785612494398E-2</v>
      </c>
      <c r="U10" s="181">
        <f>Fin_progress!AD10</f>
        <v>1601</v>
      </c>
      <c r="V10" s="181">
        <f>Fin_progress!AG10</f>
        <v>2328229938.21</v>
      </c>
      <c r="W10" s="182">
        <f>Fin_progress!AH10</f>
        <v>0.94417690905450435</v>
      </c>
      <c r="X10" s="182">
        <f>Fin_progress!AI10</f>
        <v>1.1606883686743341E-4</v>
      </c>
      <c r="Y10" s="182">
        <f>Fin_progress!AJ10</f>
        <v>1.2294635252604825E-4</v>
      </c>
    </row>
    <row r="11" spans="1:25" ht="20.25" x14ac:dyDescent="0.3">
      <c r="A11" s="3"/>
      <c r="B11" s="4" t="s">
        <v>230</v>
      </c>
      <c r="C11" s="181">
        <f>Fin_progress!H11</f>
        <v>1238174873</v>
      </c>
      <c r="D11" s="181">
        <f>Fin_progress!I11</f>
        <v>195212967</v>
      </c>
      <c r="E11" s="181">
        <f>Fin_progress!J11</f>
        <v>1433387840</v>
      </c>
      <c r="F11" s="181">
        <f>Fin_progress!K11</f>
        <v>67553262.617205307</v>
      </c>
      <c r="G11" s="181">
        <f>Fin_progress!L11</f>
        <v>1291746455.01</v>
      </c>
      <c r="H11" s="182">
        <f>Fin_progress!M11</f>
        <v>1.0432665717728549</v>
      </c>
      <c r="I11" s="182">
        <f>Fin_progress!N11</f>
        <v>0</v>
      </c>
      <c r="J11" s="182">
        <f>Fin_progress!O11</f>
        <v>0</v>
      </c>
      <c r="K11" s="181">
        <f>Fin_progress!P11</f>
        <v>394</v>
      </c>
      <c r="L11" s="181">
        <f>Fin_progress!S11</f>
        <v>1291746455.01</v>
      </c>
      <c r="M11" s="182">
        <f>Fin_progress!T11</f>
        <v>1.0432665717728549</v>
      </c>
      <c r="N11" s="182">
        <f>Fin_progress!U11</f>
        <v>0</v>
      </c>
      <c r="O11" s="182">
        <f>Fin_progress!V11</f>
        <v>0</v>
      </c>
      <c r="P11" s="181">
        <f>Fin_progress!W11</f>
        <v>394</v>
      </c>
      <c r="Q11" s="181">
        <f>Fin_progress!Z11</f>
        <v>1291746455.01</v>
      </c>
      <c r="R11" s="182">
        <f>Fin_progress!AA11</f>
        <v>1.0432665717728549</v>
      </c>
      <c r="S11" s="182">
        <f>Fin_progress!AB11</f>
        <v>0</v>
      </c>
      <c r="T11" s="182">
        <f>Fin_progress!AC11</f>
        <v>0</v>
      </c>
      <c r="U11" s="181">
        <f>Fin_progress!AD11</f>
        <v>394</v>
      </c>
      <c r="V11" s="181">
        <f>Fin_progress!AG11</f>
        <v>1294530264.4199998</v>
      </c>
      <c r="W11" s="182">
        <f>Fin_progress!AH11</f>
        <v>1.0455148886065304</v>
      </c>
      <c r="X11" s="182">
        <f>Fin_progress!AI11</f>
        <v>-8.4802237785286394E-6</v>
      </c>
      <c r="Y11" s="182">
        <f>Fin_progress!AJ11</f>
        <v>-8.1109844421966675E-6</v>
      </c>
    </row>
    <row r="12" spans="1:25" ht="20.25" x14ac:dyDescent="0.3">
      <c r="A12" s="3"/>
      <c r="B12" s="4" t="s">
        <v>1348</v>
      </c>
      <c r="C12" s="181">
        <f>Fin_progress!H12</f>
        <v>199954500</v>
      </c>
      <c r="D12" s="181">
        <f>Fin_progress!I12</f>
        <v>1</v>
      </c>
      <c r="E12" s="181">
        <f>C12+D12</f>
        <v>199954501</v>
      </c>
      <c r="F12" s="181">
        <v>0</v>
      </c>
      <c r="G12" s="181">
        <v>0</v>
      </c>
      <c r="H12" s="181">
        <v>0</v>
      </c>
      <c r="I12" s="181">
        <v>0</v>
      </c>
      <c r="J12" s="181">
        <v>0</v>
      </c>
      <c r="K12" s="181">
        <v>0</v>
      </c>
      <c r="L12" s="181">
        <v>0</v>
      </c>
      <c r="M12" s="181">
        <v>0</v>
      </c>
      <c r="N12" s="181">
        <v>0</v>
      </c>
      <c r="O12" s="181">
        <v>0</v>
      </c>
      <c r="P12" s="181">
        <v>0</v>
      </c>
      <c r="Q12" s="181">
        <v>0</v>
      </c>
      <c r="R12" s="181">
        <v>0</v>
      </c>
      <c r="S12" s="181">
        <v>0</v>
      </c>
      <c r="T12" s="181">
        <v>0</v>
      </c>
      <c r="U12" s="181">
        <v>0</v>
      </c>
      <c r="V12" s="181">
        <v>0</v>
      </c>
      <c r="W12" s="181">
        <v>0</v>
      </c>
      <c r="X12" s="181">
        <v>0</v>
      </c>
      <c r="Y12" s="181">
        <v>0</v>
      </c>
    </row>
    <row r="13" spans="1:25" ht="20.25" x14ac:dyDescent="0.3">
      <c r="A13" s="3"/>
      <c r="B13" s="4" t="s">
        <v>1349</v>
      </c>
      <c r="C13" s="181">
        <f>Fin_progress!H13</f>
        <v>22489087</v>
      </c>
      <c r="D13" s="181">
        <f>Fin_progress!I13</f>
        <v>0</v>
      </c>
      <c r="E13" s="181">
        <f>C13</f>
        <v>22489087</v>
      </c>
      <c r="F13" s="181">
        <v>0</v>
      </c>
      <c r="G13" s="181">
        <v>0</v>
      </c>
      <c r="H13" s="181">
        <v>0</v>
      </c>
      <c r="I13" s="181">
        <v>0</v>
      </c>
      <c r="J13" s="181">
        <v>0</v>
      </c>
      <c r="K13" s="181">
        <v>0</v>
      </c>
      <c r="L13" s="181">
        <v>0</v>
      </c>
      <c r="M13" s="181">
        <v>0</v>
      </c>
      <c r="N13" s="181">
        <v>0</v>
      </c>
      <c r="O13" s="181">
        <v>0</v>
      </c>
      <c r="P13" s="181">
        <v>0</v>
      </c>
      <c r="Q13" s="181">
        <v>0</v>
      </c>
      <c r="R13" s="181">
        <v>0</v>
      </c>
      <c r="S13" s="181">
        <v>0</v>
      </c>
      <c r="T13" s="181">
        <v>0</v>
      </c>
      <c r="U13" s="181">
        <v>0</v>
      </c>
      <c r="V13" s="181">
        <v>0</v>
      </c>
      <c r="W13" s="181">
        <v>0</v>
      </c>
      <c r="X13" s="181">
        <v>0</v>
      </c>
      <c r="Y13" s="181">
        <v>0</v>
      </c>
    </row>
    <row r="14" spans="1:25" ht="5.25" customHeight="1" x14ac:dyDescent="0.3">
      <c r="A14" s="117"/>
      <c r="B14" s="118"/>
      <c r="C14" s="189"/>
      <c r="D14" s="189"/>
      <c r="E14" s="189"/>
      <c r="F14" s="189"/>
      <c r="G14" s="189"/>
      <c r="H14" s="190"/>
      <c r="I14" s="190"/>
      <c r="J14" s="190"/>
      <c r="K14" s="190"/>
      <c r="L14" s="190"/>
      <c r="M14" s="190"/>
      <c r="N14" s="190"/>
      <c r="O14" s="190"/>
      <c r="P14" s="190"/>
      <c r="Q14" s="190"/>
      <c r="R14" s="190"/>
      <c r="S14" s="190"/>
      <c r="T14" s="190"/>
      <c r="U14" s="190"/>
      <c r="V14" s="190"/>
      <c r="W14" s="190"/>
      <c r="X14" s="190"/>
      <c r="Y14" s="190"/>
    </row>
    <row r="15" spans="1:25" ht="45" customHeight="1" x14ac:dyDescent="0.25">
      <c r="A15" s="242" t="s">
        <v>0</v>
      </c>
      <c r="B15" s="243" t="s">
        <v>1</v>
      </c>
      <c r="C15" s="191">
        <f>Fin_progress!H15</f>
        <v>448221139</v>
      </c>
      <c r="D15" s="191">
        <f>Fin_progress!I15</f>
        <v>2927032</v>
      </c>
      <c r="E15" s="191">
        <f>Fin_progress!J15</f>
        <v>451148171</v>
      </c>
      <c r="F15" s="191">
        <f>Fin_progress!K15</f>
        <v>13053849.871961923</v>
      </c>
      <c r="G15" s="191">
        <f>Fin_progress!L15</f>
        <v>419955774.01999998</v>
      </c>
      <c r="H15" s="192">
        <f>Fin_progress!M15</f>
        <v>0.93693879533869995</v>
      </c>
      <c r="I15" s="192">
        <f>Fin_progress!N15</f>
        <v>-1.1557176668546165E-2</v>
      </c>
      <c r="J15" s="192">
        <f>Fin_progress!O15</f>
        <v>-1.2184739850911954E-2</v>
      </c>
      <c r="K15" s="191">
        <f>Fin_progress!P15</f>
        <v>330</v>
      </c>
      <c r="L15" s="191">
        <f>Fin_progress!S15</f>
        <v>419955774.01999998</v>
      </c>
      <c r="M15" s="192">
        <f>Fin_progress!T15</f>
        <v>0.93693879533869995</v>
      </c>
      <c r="N15" s="192">
        <f>Fin_progress!U15</f>
        <v>-1.1557176668546165E-2</v>
      </c>
      <c r="O15" s="192">
        <f>Fin_progress!V15</f>
        <v>-1.2184739850911954E-2</v>
      </c>
      <c r="P15" s="191">
        <f>Fin_progress!W15</f>
        <v>330</v>
      </c>
      <c r="Q15" s="191">
        <f>Fin_progress!Z15</f>
        <v>419955774.01999998</v>
      </c>
      <c r="R15" s="192">
        <f>Fin_progress!AA15</f>
        <v>0.93693879533869995</v>
      </c>
      <c r="S15" s="192">
        <f>Fin_progress!AB15</f>
        <v>-1.1557176668546165E-2</v>
      </c>
      <c r="T15" s="192">
        <f>Fin_progress!AC15</f>
        <v>-1.2184739850911954E-2</v>
      </c>
      <c r="U15" s="191">
        <f>Fin_progress!AD15</f>
        <v>330</v>
      </c>
      <c r="V15" s="191">
        <f>Fin_progress!AG15</f>
        <v>407819159.95000005</v>
      </c>
      <c r="W15" s="192">
        <f>Fin_progress!AH15</f>
        <v>0.90986150465786053</v>
      </c>
      <c r="X15" s="192">
        <f>Fin_progress!AI15</f>
        <v>4.4105249127945889E-4</v>
      </c>
      <c r="Y15" s="192">
        <f>Fin_progress!AJ15</f>
        <v>4.8498193572479832E-4</v>
      </c>
    </row>
    <row r="16" spans="1:25" ht="45" customHeight="1" x14ac:dyDescent="0.25">
      <c r="A16" s="244" t="s">
        <v>12</v>
      </c>
      <c r="B16" s="245" t="s">
        <v>13</v>
      </c>
      <c r="C16" s="169">
        <f>Fin_progress!H32</f>
        <v>171083829</v>
      </c>
      <c r="D16" s="169">
        <f>Fin_progress!I32</f>
        <v>0</v>
      </c>
      <c r="E16" s="169">
        <f>Fin_progress!J32</f>
        <v>171083829</v>
      </c>
      <c r="F16" s="169">
        <f>Fin_progress!K32</f>
        <v>7856779.6605614899</v>
      </c>
      <c r="G16" s="169">
        <f>Fin_progress!L32</f>
        <v>165233954.75</v>
      </c>
      <c r="H16" s="170">
        <f>Fin_progress!M32</f>
        <v>0.96580697144672856</v>
      </c>
      <c r="I16" s="170">
        <f>Fin_progress!N32</f>
        <v>5.1742552476996551E-4</v>
      </c>
      <c r="J16" s="170">
        <f>Fin_progress!O32</f>
        <v>5.3603141871364597E-4</v>
      </c>
      <c r="K16" s="169">
        <f>Fin_progress!P32</f>
        <v>59</v>
      </c>
      <c r="L16" s="169">
        <f>Fin_progress!S32</f>
        <v>165233954.75</v>
      </c>
      <c r="M16" s="170">
        <f>Fin_progress!T32</f>
        <v>0.96580697144672856</v>
      </c>
      <c r="N16" s="170">
        <f>Fin_progress!U32</f>
        <v>5.1742552476996551E-4</v>
      </c>
      <c r="O16" s="169">
        <f>Fin_progress!V32</f>
        <v>5.3603141871364597E-4</v>
      </c>
      <c r="P16" s="169">
        <f>Fin_progress!W32</f>
        <v>59</v>
      </c>
      <c r="Q16" s="169">
        <f>Fin_progress!Z32</f>
        <v>165233954.75</v>
      </c>
      <c r="R16" s="170">
        <f>Fin_progress!AA32</f>
        <v>0.96580697144672856</v>
      </c>
      <c r="S16" s="170">
        <f>Fin_progress!AB32</f>
        <v>5.1742552476996551E-4</v>
      </c>
      <c r="T16" s="170">
        <f>Fin_progress!AC32</f>
        <v>5.3603141871364597E-4</v>
      </c>
      <c r="U16" s="169">
        <f>Fin_progress!AD32</f>
        <v>59</v>
      </c>
      <c r="V16" s="169">
        <f>Fin_progress!AG32</f>
        <v>165233206.75</v>
      </c>
      <c r="W16" s="170">
        <f>Fin_progress!AH32</f>
        <v>0.96580259932106149</v>
      </c>
      <c r="X16" s="170">
        <f>Fin_progress!AI32</f>
        <v>5.1742552476996551E-4</v>
      </c>
      <c r="Y16" s="170">
        <f>Fin_progress!AJ32</f>
        <v>5.3603384659380797E-4</v>
      </c>
    </row>
    <row r="17" spans="1:25" ht="45" customHeight="1" x14ac:dyDescent="0.25">
      <c r="A17" s="242" t="s">
        <v>18</v>
      </c>
      <c r="B17" s="243" t="s">
        <v>19</v>
      </c>
      <c r="C17" s="191">
        <f>Fin_progress!H39</f>
        <v>370305153</v>
      </c>
      <c r="D17" s="191">
        <f>Fin_progress!I39</f>
        <v>290005</v>
      </c>
      <c r="E17" s="191">
        <f>Fin_progress!J39</f>
        <v>370595158</v>
      </c>
      <c r="F17" s="191">
        <f>Fin_progress!K39</f>
        <v>16979226.728510205</v>
      </c>
      <c r="G17" s="191">
        <f>Fin_progress!L39</f>
        <v>354668846.10000002</v>
      </c>
      <c r="H17" s="192">
        <f>Fin_progress!M39</f>
        <v>0.95777453601894658</v>
      </c>
      <c r="I17" s="192">
        <f>Fin_progress!N39</f>
        <v>0</v>
      </c>
      <c r="J17" s="192">
        <f>Fin_progress!O39</f>
        <v>0</v>
      </c>
      <c r="K17" s="191">
        <f>Fin_progress!P39</f>
        <v>178</v>
      </c>
      <c r="L17" s="191">
        <f>Fin_progress!S39</f>
        <v>354668846.10000002</v>
      </c>
      <c r="M17" s="192">
        <f>Fin_progress!T39</f>
        <v>0.95777453601894658</v>
      </c>
      <c r="N17" s="192">
        <f>Fin_progress!U39</f>
        <v>0</v>
      </c>
      <c r="O17" s="192">
        <f>Fin_progress!V39</f>
        <v>0</v>
      </c>
      <c r="P17" s="191">
        <f>Fin_progress!W39</f>
        <v>178</v>
      </c>
      <c r="Q17" s="191">
        <f>Fin_progress!Z39</f>
        <v>354668846.10000002</v>
      </c>
      <c r="R17" s="192">
        <f>Fin_progress!AA39</f>
        <v>0.95777453601894658</v>
      </c>
      <c r="S17" s="192">
        <f>Fin_progress!AB39</f>
        <v>0</v>
      </c>
      <c r="T17" s="192">
        <f>Fin_progress!AC39</f>
        <v>0</v>
      </c>
      <c r="U17" s="191">
        <f>Fin_progress!AD39</f>
        <v>178</v>
      </c>
      <c r="V17" s="191">
        <f>Fin_progress!AG39</f>
        <v>347391382.50999999</v>
      </c>
      <c r="W17" s="192">
        <f>Fin_progress!AH39</f>
        <v>0.93812192375837666</v>
      </c>
      <c r="X17" s="192">
        <f>Fin_progress!AI39</f>
        <v>0</v>
      </c>
      <c r="Y17" s="192">
        <f>Fin_progress!AJ39</f>
        <v>0</v>
      </c>
    </row>
    <row r="18" spans="1:25" ht="45" customHeight="1" x14ac:dyDescent="0.25">
      <c r="A18" s="244" t="s">
        <v>29</v>
      </c>
      <c r="B18" s="245" t="s">
        <v>30</v>
      </c>
      <c r="C18" s="171">
        <f>Fin_progress!H64</f>
        <v>645831597</v>
      </c>
      <c r="D18" s="171">
        <f>Fin_progress!I64</f>
        <v>61392669</v>
      </c>
      <c r="E18" s="171">
        <f>Fin_progress!J64</f>
        <v>707224266</v>
      </c>
      <c r="F18" s="171">
        <f>Fin_progress!K64</f>
        <v>15543636.724113045</v>
      </c>
      <c r="G18" s="171">
        <f>Fin_progress!L64</f>
        <v>638120163.53999996</v>
      </c>
      <c r="H18" s="172">
        <f>Fin_progress!M64</f>
        <v>0.9880596838311706</v>
      </c>
      <c r="I18" s="172">
        <f>Fin_progress!N64</f>
        <v>0</v>
      </c>
      <c r="J18" s="172">
        <f>Fin_progress!O64</f>
        <v>0</v>
      </c>
      <c r="K18" s="171">
        <f>Fin_progress!P64</f>
        <v>504</v>
      </c>
      <c r="L18" s="171">
        <f>Fin_progress!S64</f>
        <v>638120163.53999996</v>
      </c>
      <c r="M18" s="172">
        <f>Fin_progress!T64</f>
        <v>0.9880596838311706</v>
      </c>
      <c r="N18" s="172">
        <f>Fin_progress!U64</f>
        <v>0</v>
      </c>
      <c r="O18" s="172">
        <f>Fin_progress!V64</f>
        <v>0</v>
      </c>
      <c r="P18" s="171">
        <f>Fin_progress!W64</f>
        <v>504</v>
      </c>
      <c r="Q18" s="171">
        <f>Fin_progress!Z64</f>
        <v>638120163.53999996</v>
      </c>
      <c r="R18" s="172">
        <f>Fin_progress!AA64</f>
        <v>0.9880596838311706</v>
      </c>
      <c r="S18" s="172">
        <f>Fin_progress!AB64</f>
        <v>0</v>
      </c>
      <c r="T18" s="172">
        <f>Fin_progress!AC64</f>
        <v>0</v>
      </c>
      <c r="U18" s="171">
        <f>Fin_progress!AD64</f>
        <v>504</v>
      </c>
      <c r="V18" s="171">
        <f>Fin_progress!AG64</f>
        <v>638731991.71000004</v>
      </c>
      <c r="W18" s="172">
        <f>Fin_progress!AH64</f>
        <v>0.98900703322200578</v>
      </c>
      <c r="X18" s="172">
        <f>Fin_progress!AI64</f>
        <v>-1.625810822625251E-5</v>
      </c>
      <c r="Y18" s="172">
        <f>Fin_progress!AJ64</f>
        <v>-1.6438549393966387E-5</v>
      </c>
    </row>
    <row r="19" spans="1:25" ht="45" customHeight="1" x14ac:dyDescent="0.25">
      <c r="A19" s="242" t="s">
        <v>51</v>
      </c>
      <c r="B19" s="243" t="s">
        <v>367</v>
      </c>
      <c r="C19" s="191">
        <f>Fin_progress!H80</f>
        <v>581390235</v>
      </c>
      <c r="D19" s="191">
        <f>Fin_progress!I80</f>
        <v>78662967</v>
      </c>
      <c r="E19" s="191">
        <f>Fin_progress!J80</f>
        <v>660053202</v>
      </c>
      <c r="F19" s="191">
        <f>Fin_progress!K80</f>
        <v>21646183.946061909</v>
      </c>
      <c r="G19" s="191">
        <f>Fin_progress!L80</f>
        <v>622630364.61000001</v>
      </c>
      <c r="H19" s="192">
        <f>Fin_progress!M80</f>
        <v>1.0709336468473709</v>
      </c>
      <c r="I19" s="192">
        <f>Fin_progress!N80</f>
        <v>0</v>
      </c>
      <c r="J19" s="192">
        <f>Fin_progress!O80</f>
        <v>0</v>
      </c>
      <c r="K19" s="191">
        <f>Fin_progress!P80</f>
        <v>273</v>
      </c>
      <c r="L19" s="191">
        <f>Fin_progress!S80</f>
        <v>622630364.61000001</v>
      </c>
      <c r="M19" s="192">
        <f>Fin_progress!T80</f>
        <v>1.0709336468473709</v>
      </c>
      <c r="N19" s="192">
        <f>Fin_progress!U80</f>
        <v>0</v>
      </c>
      <c r="O19" s="192">
        <f>Fin_progress!V80</f>
        <v>0</v>
      </c>
      <c r="P19" s="191">
        <f>Fin_progress!W80</f>
        <v>273</v>
      </c>
      <c r="Q19" s="191">
        <f>Fin_progress!Z80</f>
        <v>622630364.61000001</v>
      </c>
      <c r="R19" s="192">
        <f>Fin_progress!AA80</f>
        <v>1.0709336468473709</v>
      </c>
      <c r="S19" s="192">
        <f>Fin_progress!AB80</f>
        <v>0</v>
      </c>
      <c r="T19" s="192">
        <f>Fin_progress!AC80</f>
        <v>0</v>
      </c>
      <c r="U19" s="191">
        <f>Fin_progress!AD80</f>
        <v>273</v>
      </c>
      <c r="V19" s="191">
        <f>Fin_progress!AG80</f>
        <v>619092896.13999999</v>
      </c>
      <c r="W19" s="192">
        <f>Fin_progress!AH80</f>
        <v>1.0648491475609321</v>
      </c>
      <c r="X19" s="192">
        <f>Fin_progress!AI80</f>
        <v>0</v>
      </c>
      <c r="Y19" s="192">
        <f>Fin_progress!AJ80</f>
        <v>0</v>
      </c>
    </row>
    <row r="20" spans="1:25" ht="45" customHeight="1" x14ac:dyDescent="0.25">
      <c r="A20" s="244" t="s">
        <v>71</v>
      </c>
      <c r="B20" s="246" t="s">
        <v>75</v>
      </c>
      <c r="C20" s="169">
        <f>Fin_progress!H106</f>
        <v>886835593</v>
      </c>
      <c r="D20" s="169">
        <f>Fin_progress!I106</f>
        <v>0</v>
      </c>
      <c r="E20" s="169">
        <f>Fin_progress!J106</f>
        <v>886835593</v>
      </c>
      <c r="F20" s="169">
        <f>Fin_progress!K106</f>
        <v>69622402.513883501</v>
      </c>
      <c r="G20" s="169">
        <f>Fin_progress!L106</f>
        <v>801894815.95999992</v>
      </c>
      <c r="H20" s="170">
        <f>Fin_progress!M106</f>
        <v>0.90422037894006801</v>
      </c>
      <c r="I20" s="170">
        <f>Fin_progress!N106</f>
        <v>0</v>
      </c>
      <c r="J20" s="170">
        <f>Fin_progress!O106</f>
        <v>0</v>
      </c>
      <c r="K20" s="169">
        <f>Fin_progress!P106</f>
        <v>89</v>
      </c>
      <c r="L20" s="169">
        <f>Fin_progress!S106</f>
        <v>801894815.95999992</v>
      </c>
      <c r="M20" s="170">
        <f>Fin_progress!T106</f>
        <v>0.90422037894006801</v>
      </c>
      <c r="N20" s="170">
        <f>Fin_progress!U106</f>
        <v>0</v>
      </c>
      <c r="O20" s="170">
        <f>Fin_progress!V106</f>
        <v>0</v>
      </c>
      <c r="P20" s="169">
        <f>Fin_progress!W106</f>
        <v>89</v>
      </c>
      <c r="Q20" s="169">
        <f>Fin_progress!Z106</f>
        <v>801894815.95999992</v>
      </c>
      <c r="R20" s="170">
        <f>Fin_progress!AA106</f>
        <v>0.90422037894006801</v>
      </c>
      <c r="S20" s="170">
        <f>Fin_progress!AB106</f>
        <v>0</v>
      </c>
      <c r="T20" s="170">
        <f>Fin_progress!AC106</f>
        <v>0</v>
      </c>
      <c r="U20" s="169">
        <f>Fin_progress!AD106</f>
        <v>89</v>
      </c>
      <c r="V20" s="169">
        <f>Fin_progress!AG106</f>
        <v>803075614.45999992</v>
      </c>
      <c r="W20" s="170">
        <f>Fin_progress!AH106</f>
        <v>0.90555185290133022</v>
      </c>
      <c r="X20" s="170">
        <f>Fin_progress!AI106</f>
        <v>0</v>
      </c>
      <c r="Y20" s="170">
        <f>Fin_progress!AJ106</f>
        <v>0</v>
      </c>
    </row>
    <row r="21" spans="1:25" ht="45" customHeight="1" x14ac:dyDescent="0.25">
      <c r="A21" s="242" t="s">
        <v>86</v>
      </c>
      <c r="B21" s="243" t="s">
        <v>617</v>
      </c>
      <c r="C21" s="191">
        <f>Fin_progress!H126</f>
        <v>163481471</v>
      </c>
      <c r="D21" s="191">
        <f>Fin_progress!I126</f>
        <v>0</v>
      </c>
      <c r="E21" s="191">
        <f>Fin_progress!J126</f>
        <v>163481471</v>
      </c>
      <c r="F21" s="191">
        <f>Fin_progress!K126</f>
        <v>6973974</v>
      </c>
      <c r="G21" s="191">
        <f>Fin_progress!L126</f>
        <v>162109868.37</v>
      </c>
      <c r="H21" s="192">
        <f>Fin_progress!M126</f>
        <v>0.99161004227812466</v>
      </c>
      <c r="I21" s="192">
        <f>Fin_progress!N126</f>
        <v>0</v>
      </c>
      <c r="J21" s="192">
        <f>Fin_progress!O126</f>
        <v>0</v>
      </c>
      <c r="K21" s="191">
        <f>Fin_progress!P126</f>
        <v>7</v>
      </c>
      <c r="L21" s="191">
        <f>Fin_progress!S126</f>
        <v>162109868.37</v>
      </c>
      <c r="M21" s="192">
        <f>Fin_progress!T126</f>
        <v>0.99161004227812466</v>
      </c>
      <c r="N21" s="192">
        <f>Fin_progress!U126</f>
        <v>0</v>
      </c>
      <c r="O21" s="192">
        <f>Fin_progress!V126</f>
        <v>0</v>
      </c>
      <c r="P21" s="191">
        <f>Fin_progress!W126</f>
        <v>7</v>
      </c>
      <c r="Q21" s="191">
        <f>Fin_progress!Z126</f>
        <v>162109868.37</v>
      </c>
      <c r="R21" s="192">
        <f>Fin_progress!AA126</f>
        <v>0.99161004227812466</v>
      </c>
      <c r="S21" s="192">
        <f>Fin_progress!AB126</f>
        <v>0</v>
      </c>
      <c r="T21" s="192">
        <f>Fin_progress!AC126</f>
        <v>0</v>
      </c>
      <c r="U21" s="191">
        <f>Fin_progress!AD126</f>
        <v>7</v>
      </c>
      <c r="V21" s="191">
        <f>Fin_progress!AG126</f>
        <v>162109868.37</v>
      </c>
      <c r="W21" s="192">
        <f>Fin_progress!AH126</f>
        <v>0.99161004227812466</v>
      </c>
      <c r="X21" s="192">
        <f>Fin_progress!AI126</f>
        <v>0</v>
      </c>
      <c r="Y21" s="192">
        <f>Fin_progress!AJ126</f>
        <v>0</v>
      </c>
    </row>
    <row r="22" spans="1:25" ht="45" customHeight="1" x14ac:dyDescent="0.25">
      <c r="A22" s="244" t="s">
        <v>97</v>
      </c>
      <c r="B22" s="245" t="s">
        <v>98</v>
      </c>
      <c r="C22" s="171">
        <f>Fin_progress!H142</f>
        <v>523940298</v>
      </c>
      <c r="D22" s="171">
        <f>Fin_progress!I142</f>
        <v>5607771</v>
      </c>
      <c r="E22" s="171">
        <f>Fin_progress!J142</f>
        <v>529548069</v>
      </c>
      <c r="F22" s="171">
        <f>Fin_progress!K142</f>
        <v>23439111.242077023</v>
      </c>
      <c r="G22" s="171">
        <f>Fin_progress!L142</f>
        <v>519738662.79000002</v>
      </c>
      <c r="H22" s="172">
        <f>Fin_progress!M142</f>
        <v>0.99198069851462356</v>
      </c>
      <c r="I22" s="172">
        <f>Fin_progress!N142</f>
        <v>0</v>
      </c>
      <c r="J22" s="172">
        <f>Fin_progress!O142</f>
        <v>0</v>
      </c>
      <c r="K22" s="171">
        <f>Fin_progress!P142</f>
        <v>188</v>
      </c>
      <c r="L22" s="171">
        <f>Fin_progress!S142</f>
        <v>519738662.79000002</v>
      </c>
      <c r="M22" s="172">
        <f>Fin_progress!T142</f>
        <v>0.99198069851462356</v>
      </c>
      <c r="N22" s="172">
        <f>Fin_progress!U142</f>
        <v>0</v>
      </c>
      <c r="O22" s="172">
        <f>Fin_progress!V142</f>
        <v>0</v>
      </c>
      <c r="P22" s="171">
        <f>Fin_progress!W142</f>
        <v>188</v>
      </c>
      <c r="Q22" s="171">
        <f>Fin_progress!Z142</f>
        <v>519738662.79000002</v>
      </c>
      <c r="R22" s="172">
        <f>Fin_progress!AA142</f>
        <v>0.99198069851462356</v>
      </c>
      <c r="S22" s="172">
        <f>Fin_progress!AB142</f>
        <v>0</v>
      </c>
      <c r="T22" s="172">
        <f>Fin_progress!AC142</f>
        <v>0</v>
      </c>
      <c r="U22" s="171">
        <f>Fin_progress!AD142</f>
        <v>188</v>
      </c>
      <c r="V22" s="171">
        <f>Fin_progress!AG142</f>
        <v>516311028.60000002</v>
      </c>
      <c r="W22" s="172">
        <f>Fin_progress!AH142</f>
        <v>0.98543866652532242</v>
      </c>
      <c r="X22" s="172">
        <f>Fin_progress!AI142</f>
        <v>0</v>
      </c>
      <c r="Y22" s="172">
        <f>Fin_progress!AJ142</f>
        <v>0</v>
      </c>
    </row>
    <row r="23" spans="1:25" ht="45" customHeight="1" x14ac:dyDescent="0.25">
      <c r="A23" s="242" t="s">
        <v>127</v>
      </c>
      <c r="B23" s="243" t="s">
        <v>130</v>
      </c>
      <c r="C23" s="191">
        <f>Fin_progress!H172</f>
        <v>516095086</v>
      </c>
      <c r="D23" s="191">
        <f>Fin_progress!I172</f>
        <v>15313244</v>
      </c>
      <c r="E23" s="191">
        <f>Fin_progress!J172</f>
        <v>531408330</v>
      </c>
      <c r="F23" s="191">
        <f>Fin_progress!K172</f>
        <v>15459758</v>
      </c>
      <c r="G23" s="191">
        <f>Fin_progress!L172</f>
        <v>496391786.76999998</v>
      </c>
      <c r="H23" s="192">
        <f>Fin_progress!M172</f>
        <v>0.96182234676421619</v>
      </c>
      <c r="I23" s="192">
        <f>Fin_progress!N172</f>
        <v>-5.0363651941456311E-2</v>
      </c>
      <c r="J23" s="192">
        <f>Fin_progress!O172</f>
        <v>-4.9757309433106744E-2</v>
      </c>
      <c r="K23" s="191">
        <f>Fin_progress!P172</f>
        <v>611</v>
      </c>
      <c r="L23" s="191">
        <f>Fin_progress!S172</f>
        <v>496391786.76999998</v>
      </c>
      <c r="M23" s="192">
        <f>Fin_progress!T172</f>
        <v>0.96182234676421619</v>
      </c>
      <c r="N23" s="192">
        <f>Fin_progress!U172</f>
        <v>-5.0363651941456311E-2</v>
      </c>
      <c r="O23" s="192">
        <f>Fin_progress!V172</f>
        <v>-4.9757309433106744E-2</v>
      </c>
      <c r="P23" s="191">
        <f>Fin_progress!W172</f>
        <v>611</v>
      </c>
      <c r="Q23" s="191">
        <f>Fin_progress!Z172</f>
        <v>496391786.76999998</v>
      </c>
      <c r="R23" s="192">
        <f>Fin_progress!AA172</f>
        <v>0.96182234676421619</v>
      </c>
      <c r="S23" s="192">
        <f>Fin_progress!AB172</f>
        <v>-5.0363651941456311E-2</v>
      </c>
      <c r="T23" s="192">
        <f>Fin_progress!AC172</f>
        <v>-4.9757309433106744E-2</v>
      </c>
      <c r="U23" s="191">
        <f>Fin_progress!AD172</f>
        <v>611</v>
      </c>
      <c r="V23" s="191">
        <f>Fin_progress!AG172</f>
        <v>497917843.66999996</v>
      </c>
      <c r="W23" s="192">
        <f>Fin_progress!AH172</f>
        <v>0.96477927648782136</v>
      </c>
      <c r="X23" s="192">
        <f>Fin_progress!AI172</f>
        <v>0</v>
      </c>
      <c r="Y23" s="192">
        <f>Fin_progress!AJ172</f>
        <v>0</v>
      </c>
    </row>
    <row r="24" spans="1:25" ht="45" customHeight="1" x14ac:dyDescent="0.25">
      <c r="A24" s="244" t="s">
        <v>141</v>
      </c>
      <c r="B24" s="245" t="s">
        <v>142</v>
      </c>
      <c r="C24" s="171">
        <f>Fin_progress!H207</f>
        <v>21420040</v>
      </c>
      <c r="D24" s="171">
        <f>Fin_progress!I207</f>
        <v>0</v>
      </c>
      <c r="E24" s="171">
        <f>Fin_progress!J207</f>
        <v>21420040</v>
      </c>
      <c r="F24" s="171">
        <f>Fin_progress!K207</f>
        <v>0</v>
      </c>
      <c r="G24" s="171">
        <f>Fin_progress!L207</f>
        <v>20958161.16</v>
      </c>
      <c r="H24" s="172">
        <f>Fin_progress!M207</f>
        <v>0.97843706921182216</v>
      </c>
      <c r="I24" s="172">
        <f>Fin_progress!N207</f>
        <v>0</v>
      </c>
      <c r="J24" s="172">
        <f>Fin_progress!O207</f>
        <v>0</v>
      </c>
      <c r="K24" s="171">
        <f>Fin_progress!P207</f>
        <v>44</v>
      </c>
      <c r="L24" s="171">
        <f>Fin_progress!S207</f>
        <v>20958161.16</v>
      </c>
      <c r="M24" s="172">
        <f>Fin_progress!T207</f>
        <v>0.97843706921182216</v>
      </c>
      <c r="N24" s="172">
        <f>Fin_progress!U207</f>
        <v>0</v>
      </c>
      <c r="O24" s="172">
        <f>Fin_progress!V207</f>
        <v>0</v>
      </c>
      <c r="P24" s="171">
        <f>Fin_progress!W207</f>
        <v>44</v>
      </c>
      <c r="Q24" s="171">
        <f>Fin_progress!Z207</f>
        <v>20958161.16</v>
      </c>
      <c r="R24" s="172">
        <f>Fin_progress!AA207</f>
        <v>0.97843706921182216</v>
      </c>
      <c r="S24" s="172">
        <f>Fin_progress!AB207</f>
        <v>0</v>
      </c>
      <c r="T24" s="172">
        <f>Fin_progress!AC207</f>
        <v>0</v>
      </c>
      <c r="U24" s="171">
        <f>Fin_progress!AD207</f>
        <v>44</v>
      </c>
      <c r="V24" s="171">
        <f>Fin_progress!AG207</f>
        <v>20958105.09</v>
      </c>
      <c r="W24" s="172">
        <f>Fin_progress!AH207</f>
        <v>0.97843445156965159</v>
      </c>
      <c r="X24" s="172">
        <f>Fin_progress!AI207</f>
        <v>0</v>
      </c>
      <c r="Y24" s="172">
        <f>Fin_progress!AJ207</f>
        <v>0</v>
      </c>
    </row>
    <row r="25" spans="1:25" ht="45" customHeight="1" x14ac:dyDescent="0.25">
      <c r="A25" s="242" t="s">
        <v>144</v>
      </c>
      <c r="B25" s="243" t="s">
        <v>146</v>
      </c>
      <c r="C25" s="191">
        <f>Fin_progress!H211</f>
        <v>39180553</v>
      </c>
      <c r="D25" s="191">
        <f>Fin_progress!I211</f>
        <v>0</v>
      </c>
      <c r="E25" s="191">
        <f>Fin_progress!J211</f>
        <v>39180553</v>
      </c>
      <c r="F25" s="191">
        <f>Fin_progress!K211</f>
        <v>0</v>
      </c>
      <c r="G25" s="191">
        <f>Fin_progress!L211</f>
        <v>39151081.200000003</v>
      </c>
      <c r="H25" s="192">
        <f>Fin_progress!M211</f>
        <v>0.99924779520084883</v>
      </c>
      <c r="I25" s="192">
        <f>Fin_progress!N211</f>
        <v>0</v>
      </c>
      <c r="J25" s="192">
        <f>Fin_progress!O211</f>
        <v>0</v>
      </c>
      <c r="K25" s="191">
        <f>Fin_progress!P211</f>
        <v>31</v>
      </c>
      <c r="L25" s="191">
        <f>Fin_progress!S211</f>
        <v>39151081.200000003</v>
      </c>
      <c r="M25" s="192">
        <f>Fin_progress!T211</f>
        <v>0.99924779520084883</v>
      </c>
      <c r="N25" s="192">
        <f>Fin_progress!U211</f>
        <v>0</v>
      </c>
      <c r="O25" s="192">
        <f>Fin_progress!V211</f>
        <v>0</v>
      </c>
      <c r="P25" s="191">
        <f>Fin_progress!W211</f>
        <v>31</v>
      </c>
      <c r="Q25" s="191">
        <f>Fin_progress!Z211</f>
        <v>39151081.200000003</v>
      </c>
      <c r="R25" s="192">
        <f>Fin_progress!AA211</f>
        <v>0.99924779520084883</v>
      </c>
      <c r="S25" s="192">
        <f>Fin_progress!AB211</f>
        <v>0</v>
      </c>
      <c r="T25" s="192">
        <f>Fin_progress!AC211</f>
        <v>0</v>
      </c>
      <c r="U25" s="191">
        <f>Fin_progress!AD211</f>
        <v>31</v>
      </c>
      <c r="V25" s="191">
        <f>Fin_progress!AG211</f>
        <v>39150971.990000002</v>
      </c>
      <c r="W25" s="192">
        <f>Fin_progress!AH211</f>
        <v>0.99924500784866421</v>
      </c>
      <c r="X25" s="192">
        <f>Fin_progress!AI211</f>
        <v>0</v>
      </c>
      <c r="Y25" s="192">
        <f>Fin_progress!AJ211</f>
        <v>0</v>
      </c>
    </row>
    <row r="26" spans="1:25" ht="45" customHeight="1" x14ac:dyDescent="0.25">
      <c r="A26" s="244" t="s">
        <v>145</v>
      </c>
      <c r="B26" s="245" t="s">
        <v>147</v>
      </c>
      <c r="C26" s="171">
        <f>Fin_progress!H213</f>
        <v>40715710</v>
      </c>
      <c r="D26" s="171">
        <f>Fin_progress!I213</f>
        <v>0</v>
      </c>
      <c r="E26" s="171">
        <f>Fin_progress!J213</f>
        <v>40715710</v>
      </c>
      <c r="F26" s="171">
        <f>Fin_progress!K213</f>
        <v>0</v>
      </c>
      <c r="G26" s="171">
        <f>Fin_progress!L213</f>
        <v>40697163.219999999</v>
      </c>
      <c r="H26" s="172">
        <f>Fin_progress!M213</f>
        <v>0.99954448098780546</v>
      </c>
      <c r="I26" s="172">
        <f>Fin_progress!N213</f>
        <v>0</v>
      </c>
      <c r="J26" s="172">
        <f>Fin_progress!O213</f>
        <v>0</v>
      </c>
      <c r="K26" s="171">
        <f>Fin_progress!P213</f>
        <v>7</v>
      </c>
      <c r="L26" s="171">
        <f>Fin_progress!S213</f>
        <v>40697163.219999999</v>
      </c>
      <c r="M26" s="172">
        <f>Fin_progress!T213</f>
        <v>0.99954448098780546</v>
      </c>
      <c r="N26" s="172">
        <f>Fin_progress!U213</f>
        <v>0</v>
      </c>
      <c r="O26" s="172">
        <f>Fin_progress!V213</f>
        <v>0</v>
      </c>
      <c r="P26" s="171">
        <f>Fin_progress!W213</f>
        <v>7</v>
      </c>
      <c r="Q26" s="171">
        <f>Fin_progress!Z213</f>
        <v>40697163.219999999</v>
      </c>
      <c r="R26" s="172">
        <f>Fin_progress!AA213</f>
        <v>0.99954448098780546</v>
      </c>
      <c r="S26" s="172">
        <f>Fin_progress!AB213</f>
        <v>0</v>
      </c>
      <c r="T26" s="172">
        <f>Fin_progress!AC213</f>
        <v>0</v>
      </c>
      <c r="U26" s="171">
        <f>Fin_progress!AD213</f>
        <v>7</v>
      </c>
      <c r="V26" s="171">
        <f>Fin_progress!AG213</f>
        <v>40697163.219999999</v>
      </c>
      <c r="W26" s="172">
        <f>Fin_progress!AH213</f>
        <v>0.99954448098780546</v>
      </c>
      <c r="X26" s="172">
        <f>Fin_progress!AI213</f>
        <v>0</v>
      </c>
      <c r="Y26" s="172">
        <f>Fin_progress!AJ213</f>
        <v>0</v>
      </c>
    </row>
    <row r="27" spans="1:25" ht="45" customHeight="1" x14ac:dyDescent="0.25">
      <c r="A27" s="242" t="s">
        <v>1376</v>
      </c>
      <c r="B27" s="243" t="str">
        <f>Fin_progress!B215</f>
        <v>Pasākumi Covid-19 pandēmijas seku mazināšanai (ERAF)</v>
      </c>
      <c r="C27" s="191">
        <f>Fin_progress!H215</f>
        <v>197923434</v>
      </c>
      <c r="D27" s="191">
        <f>Fin_progress!I215</f>
        <v>1</v>
      </c>
      <c r="E27" s="191">
        <f>Fin_progress!J215</f>
        <v>197923435</v>
      </c>
      <c r="F27" s="191">
        <f>Fin_progress!K214</f>
        <v>0</v>
      </c>
      <c r="G27" s="191">
        <f>Fin_progress!L215</f>
        <v>172648849.45000002</v>
      </c>
      <c r="H27" s="192">
        <f>Fin_progress!M215</f>
        <v>0.87230120234272013</v>
      </c>
      <c r="I27" s="192">
        <f>Fin_progress!N215</f>
        <v>0</v>
      </c>
      <c r="J27" s="192">
        <f>Fin_progress!O215</f>
        <v>0</v>
      </c>
      <c r="K27" s="191">
        <f>Fin_progress!P215</f>
        <v>126</v>
      </c>
      <c r="L27" s="191">
        <f>Fin_progress!S215</f>
        <v>172648849.45000002</v>
      </c>
      <c r="M27" s="192">
        <f>Fin_progress!T215</f>
        <v>0.87230120234272013</v>
      </c>
      <c r="N27" s="192">
        <f>Fin_progress!U215</f>
        <v>0</v>
      </c>
      <c r="O27" s="192">
        <f>Fin_progress!V215</f>
        <v>0</v>
      </c>
      <c r="P27" s="191">
        <f>Fin_progress!W215</f>
        <v>126</v>
      </c>
      <c r="Q27" s="191">
        <f>Fin_progress!Z215</f>
        <v>172648849.45000002</v>
      </c>
      <c r="R27" s="192">
        <f>Fin_progress!AA215</f>
        <v>0.87230120234272013</v>
      </c>
      <c r="S27" s="192">
        <f>Fin_progress!AB215</f>
        <v>0</v>
      </c>
      <c r="T27" s="192">
        <f>Fin_progress!AC215</f>
        <v>0</v>
      </c>
      <c r="U27" s="191">
        <f>Fin_progress!AD215</f>
        <v>126</v>
      </c>
      <c r="V27" s="191">
        <f>Fin_progress!AG215</f>
        <v>170583248.70000002</v>
      </c>
      <c r="W27" s="192">
        <f>Fin_progress!AH215</f>
        <v>0.86186483961267579</v>
      </c>
      <c r="X27" s="192">
        <f>Fin_progress!AI215</f>
        <v>0</v>
      </c>
      <c r="Y27" s="192">
        <f>Fin_progress!AJ215</f>
        <v>0</v>
      </c>
    </row>
    <row r="28" spans="1:25" ht="45" customHeight="1" x14ac:dyDescent="0.25">
      <c r="A28" s="244" t="s">
        <v>1500</v>
      </c>
      <c r="B28" s="245" t="str">
        <f>Fin_progress!B228</f>
        <v>Pasākumi Covid-19 pandēmijas seku mazināšanai (ESF)</v>
      </c>
      <c r="C28" s="171">
        <f>Fin_progress!H228</f>
        <v>22489087</v>
      </c>
      <c r="D28" s="171">
        <f>Fin_progress!I228</f>
        <v>0</v>
      </c>
      <c r="E28" s="171">
        <f>Fin_progress!J228</f>
        <v>22489087</v>
      </c>
      <c r="F28" s="171">
        <f>Fin_progress!K215</f>
        <v>0</v>
      </c>
      <c r="G28" s="171">
        <f>Fin_progress!L228</f>
        <v>21467834.219999999</v>
      </c>
      <c r="H28" s="172">
        <f>Fin_progress!M228</f>
        <v>0.95458896219308498</v>
      </c>
      <c r="I28" s="172">
        <f>Fin_progress!N228</f>
        <v>0</v>
      </c>
      <c r="J28" s="172">
        <f>Fin_progress!O228</f>
        <v>0</v>
      </c>
      <c r="K28" s="171">
        <f>Fin_progress!P228</f>
        <v>4</v>
      </c>
      <c r="L28" s="171">
        <f>Fin_progress!S228</f>
        <v>21467834.219999999</v>
      </c>
      <c r="M28" s="172">
        <f>Fin_progress!T228</f>
        <v>0.95458896219308498</v>
      </c>
      <c r="N28" s="172">
        <f>Fin_progress!U228</f>
        <v>0</v>
      </c>
      <c r="O28" s="172">
        <f>Fin_progress!V228</f>
        <v>0</v>
      </c>
      <c r="P28" s="171">
        <f>Fin_progress!W228</f>
        <v>4</v>
      </c>
      <c r="Q28" s="171">
        <f>Fin_progress!Z228</f>
        <v>21467834.219999999</v>
      </c>
      <c r="R28" s="172">
        <f>Fin_progress!AA228</f>
        <v>0.95458896219308498</v>
      </c>
      <c r="S28" s="172">
        <f>Fin_progress!AB228</f>
        <v>0</v>
      </c>
      <c r="T28" s="172">
        <f>Fin_progress!AC228</f>
        <v>0</v>
      </c>
      <c r="U28" s="171">
        <f>Fin_progress!AD228</f>
        <v>4</v>
      </c>
      <c r="V28" s="171">
        <f>Fin_progress!AG228</f>
        <v>21128869.52</v>
      </c>
      <c r="W28" s="172">
        <f>Fin_progress!AH228</f>
        <v>0.93951655396237288</v>
      </c>
      <c r="X28" s="172">
        <f>Fin_progress!AI228</f>
        <v>0</v>
      </c>
      <c r="Y28" s="172">
        <f>Fin_progress!AJ228</f>
        <v>0</v>
      </c>
    </row>
    <row r="29" spans="1:25" ht="45" customHeight="1" x14ac:dyDescent="0.25">
      <c r="A29" s="242" t="s">
        <v>1602</v>
      </c>
      <c r="B29" s="243" t="str">
        <f>Fin_progress!B233</f>
        <v>Pasākumi Krievijas Federācijas militārās agresijas seku mazināšanai (enerģētika)</v>
      </c>
      <c r="C29" s="191">
        <f>Fin_progress!H233</f>
        <v>0</v>
      </c>
      <c r="D29" s="191">
        <f>Fin_progress!I233</f>
        <v>60000000</v>
      </c>
      <c r="E29" s="191">
        <f>Fin_progress!J233</f>
        <v>60000000</v>
      </c>
      <c r="F29" s="191"/>
      <c r="G29" s="191">
        <f>Fin_progress!L233</f>
        <v>60000000</v>
      </c>
      <c r="H29" s="192">
        <f>Fin_progress!M233</f>
        <v>0</v>
      </c>
      <c r="I29" s="192">
        <f>Fin_progress!N233</f>
        <v>0</v>
      </c>
      <c r="J29" s="192">
        <f>Fin_progress!O233</f>
        <v>0</v>
      </c>
      <c r="K29" s="191">
        <f>Fin_progress!P233</f>
        <v>1</v>
      </c>
      <c r="L29" s="191">
        <f>Fin_progress!S233</f>
        <v>60000000</v>
      </c>
      <c r="M29" s="192">
        <f>Fin_progress!T233</f>
        <v>0</v>
      </c>
      <c r="N29" s="192">
        <f>Fin_progress!U233</f>
        <v>0</v>
      </c>
      <c r="O29" s="192">
        <f>Fin_progress!V233</f>
        <v>0</v>
      </c>
      <c r="P29" s="191">
        <f>Fin_progress!W233</f>
        <v>1</v>
      </c>
      <c r="Q29" s="191">
        <f>Fin_progress!Z233</f>
        <v>60000000</v>
      </c>
      <c r="R29" s="192">
        <f>Fin_progress!AA233</f>
        <v>0</v>
      </c>
      <c r="S29" s="192">
        <f>Fin_progress!AB233</f>
        <v>0</v>
      </c>
      <c r="T29" s="192">
        <f>Fin_progress!AC233</f>
        <v>0</v>
      </c>
      <c r="U29" s="191">
        <f>Fin_progress!AD233</f>
        <v>1</v>
      </c>
      <c r="V29" s="191">
        <f>Fin_progress!AG233</f>
        <v>60000000</v>
      </c>
      <c r="W29" s="192">
        <f>Fin_progress!AH233</f>
        <v>0</v>
      </c>
      <c r="X29" s="192">
        <f>Fin_progress!AI233</f>
        <v>0</v>
      </c>
      <c r="Y29" s="192">
        <f>Fin_progress!AJ233</f>
        <v>0</v>
      </c>
    </row>
    <row r="30" spans="1:25" ht="45" customHeight="1" x14ac:dyDescent="0.25">
      <c r="A30" s="244" t="s">
        <v>1282</v>
      </c>
      <c r="B30" s="245" t="s">
        <v>1281</v>
      </c>
      <c r="C30" s="171">
        <f>Fin_progress!H235</f>
        <v>9238922</v>
      </c>
      <c r="D30" s="171">
        <f>Fin_progress!I235</f>
        <v>-7399760</v>
      </c>
      <c r="E30" s="171">
        <f>Fin_progress!J235</f>
        <v>1839162</v>
      </c>
      <c r="F30" s="171" t="s">
        <v>1282</v>
      </c>
      <c r="G30" s="171" t="s">
        <v>1282</v>
      </c>
      <c r="H30" s="172" t="s">
        <v>1282</v>
      </c>
      <c r="I30" s="172" t="s">
        <v>1282</v>
      </c>
      <c r="J30" s="172" t="s">
        <v>1282</v>
      </c>
      <c r="K30" s="171" t="s">
        <v>1282</v>
      </c>
      <c r="L30" s="171" t="s">
        <v>1282</v>
      </c>
      <c r="M30" s="172" t="s">
        <v>1282</v>
      </c>
      <c r="N30" s="172" t="s">
        <v>1282</v>
      </c>
      <c r="O30" s="172" t="s">
        <v>1282</v>
      </c>
      <c r="P30" s="171" t="s">
        <v>1282</v>
      </c>
      <c r="Q30" s="171" t="s">
        <v>1282</v>
      </c>
      <c r="R30" s="172" t="s">
        <v>1282</v>
      </c>
      <c r="S30" s="172" t="s">
        <v>1282</v>
      </c>
      <c r="T30" s="172" t="s">
        <v>1282</v>
      </c>
      <c r="U30" s="171" t="s">
        <v>1282</v>
      </c>
      <c r="V30" s="171" t="s">
        <v>1282</v>
      </c>
      <c r="W30" s="172" t="s">
        <v>1282</v>
      </c>
      <c r="X30" s="172" t="s">
        <v>1282</v>
      </c>
      <c r="Y30" s="172" t="s">
        <v>1282</v>
      </c>
    </row>
    <row r="31" spans="1:25" ht="45" customHeight="1" x14ac:dyDescent="0.25">
      <c r="A31" s="242" t="s">
        <v>1282</v>
      </c>
      <c r="B31" s="243" t="s">
        <v>1350</v>
      </c>
      <c r="C31" s="191">
        <f>Pasākumu_līmenis!F179</f>
        <v>2524642</v>
      </c>
      <c r="D31" s="191">
        <v>0</v>
      </c>
      <c r="E31" s="191">
        <f>C31+D31</f>
        <v>2524642</v>
      </c>
      <c r="F31" s="191">
        <v>0</v>
      </c>
      <c r="G31" s="191" t="s">
        <v>1282</v>
      </c>
      <c r="H31" s="192" t="s">
        <v>1282</v>
      </c>
      <c r="I31" s="192" t="s">
        <v>1282</v>
      </c>
      <c r="J31" s="192" t="s">
        <v>1282</v>
      </c>
      <c r="K31" s="191" t="s">
        <v>1282</v>
      </c>
      <c r="L31" s="191" t="s">
        <v>1282</v>
      </c>
      <c r="M31" s="192" t="s">
        <v>1282</v>
      </c>
      <c r="N31" s="192" t="s">
        <v>1282</v>
      </c>
      <c r="O31" s="192" t="s">
        <v>1282</v>
      </c>
      <c r="P31" s="191" t="s">
        <v>1282</v>
      </c>
      <c r="Q31" s="191" t="s">
        <v>1282</v>
      </c>
      <c r="R31" s="192" t="s">
        <v>1282</v>
      </c>
      <c r="S31" s="192" t="s">
        <v>1282</v>
      </c>
      <c r="T31" s="192" t="s">
        <v>1282</v>
      </c>
      <c r="U31" s="191" t="s">
        <v>1282</v>
      </c>
      <c r="V31" s="191" t="s">
        <v>1282</v>
      </c>
      <c r="W31" s="192" t="s">
        <v>1282</v>
      </c>
      <c r="X31" s="192" t="s">
        <v>1282</v>
      </c>
      <c r="Y31" s="192" t="s">
        <v>1282</v>
      </c>
    </row>
    <row r="32" spans="1:25" ht="45" customHeight="1" x14ac:dyDescent="0.25">
      <c r="A32" s="244" t="s">
        <v>1282</v>
      </c>
      <c r="B32" s="245" t="s">
        <v>1351</v>
      </c>
      <c r="C32" s="171">
        <f>Pasākumu_līmenis!F180</f>
        <v>0</v>
      </c>
      <c r="D32" s="171">
        <v>0</v>
      </c>
      <c r="E32" s="171">
        <f>C32+D32</f>
        <v>0</v>
      </c>
      <c r="F32" s="171">
        <v>0</v>
      </c>
      <c r="G32" s="171" t="s">
        <v>1282</v>
      </c>
      <c r="H32" s="172" t="s">
        <v>1282</v>
      </c>
      <c r="I32" s="172" t="s">
        <v>1282</v>
      </c>
      <c r="J32" s="172" t="s">
        <v>1282</v>
      </c>
      <c r="K32" s="171" t="s">
        <v>1282</v>
      </c>
      <c r="L32" s="171" t="s">
        <v>1282</v>
      </c>
      <c r="M32" s="172" t="s">
        <v>1282</v>
      </c>
      <c r="N32" s="172" t="s">
        <v>1282</v>
      </c>
      <c r="O32" s="172" t="s">
        <v>1282</v>
      </c>
      <c r="P32" s="171" t="s">
        <v>1282</v>
      </c>
      <c r="Q32" s="171" t="s">
        <v>1282</v>
      </c>
      <c r="R32" s="172" t="s">
        <v>1282</v>
      </c>
      <c r="S32" s="172" t="s">
        <v>1282</v>
      </c>
      <c r="T32" s="172" t="s">
        <v>1282</v>
      </c>
      <c r="U32" s="171" t="s">
        <v>1282</v>
      </c>
      <c r="V32" s="171" t="s">
        <v>1282</v>
      </c>
      <c r="W32" s="172" t="s">
        <v>1282</v>
      </c>
      <c r="X32" s="172" t="s">
        <v>1282</v>
      </c>
      <c r="Y32" s="172" t="s">
        <v>1282</v>
      </c>
    </row>
    <row r="33" spans="1:27" ht="6" customHeight="1" x14ac:dyDescent="0.25">
      <c r="A33" s="120"/>
      <c r="B33" s="120"/>
      <c r="C33" s="120"/>
      <c r="D33" s="120"/>
      <c r="E33" s="120"/>
      <c r="F33" s="120"/>
      <c r="G33" s="120"/>
      <c r="H33" s="121"/>
      <c r="I33" s="121"/>
      <c r="J33" s="121"/>
      <c r="K33" s="120"/>
      <c r="L33" s="120"/>
      <c r="M33" s="121"/>
      <c r="N33" s="121"/>
      <c r="O33" s="121"/>
      <c r="P33" s="120"/>
      <c r="Q33" s="120"/>
      <c r="R33" s="121"/>
      <c r="S33" s="121"/>
      <c r="T33" s="121"/>
      <c r="U33" s="120"/>
      <c r="V33" s="120"/>
      <c r="W33" s="121"/>
      <c r="X33" s="121"/>
      <c r="Y33" s="121"/>
    </row>
    <row r="35" spans="1:27" ht="15" customHeight="1" x14ac:dyDescent="0.3">
      <c r="A35" s="506" t="s">
        <v>1256</v>
      </c>
      <c r="B35" s="506"/>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139"/>
      <c r="AA35" s="139"/>
    </row>
    <row r="36" spans="1:27" ht="15" customHeight="1" x14ac:dyDescent="0.3">
      <c r="A36" s="506"/>
      <c r="B36" s="506"/>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139"/>
      <c r="AA36" s="139"/>
    </row>
    <row r="37" spans="1:27" ht="15" customHeight="1" x14ac:dyDescent="0.3">
      <c r="A37" s="506"/>
      <c r="B37" s="506"/>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139"/>
      <c r="AA37" s="139"/>
    </row>
    <row r="38" spans="1:27" ht="48.75" customHeight="1" x14ac:dyDescent="0.3">
      <c r="A38" s="506"/>
      <c r="B38" s="506"/>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139"/>
      <c r="AA38" s="139"/>
    </row>
    <row r="41" spans="1:27" ht="15.75" customHeight="1" x14ac:dyDescent="0.25">
      <c r="A41" s="513"/>
      <c r="B41" s="516" t="s">
        <v>1297</v>
      </c>
      <c r="C41" s="516"/>
      <c r="D41" s="516"/>
      <c r="E41" s="517" t="s">
        <v>1298</v>
      </c>
      <c r="F41" s="517"/>
      <c r="G41" s="517"/>
      <c r="H41" s="312" t="s">
        <v>1299</v>
      </c>
      <c r="I41" s="312" t="s">
        <v>1299</v>
      </c>
    </row>
    <row r="42" spans="1:27" ht="15.75" x14ac:dyDescent="0.25">
      <c r="A42" s="514"/>
      <c r="B42" s="308" t="s">
        <v>1300</v>
      </c>
      <c r="C42" s="308" t="s">
        <v>1301</v>
      </c>
      <c r="D42" s="308" t="s">
        <v>402</v>
      </c>
      <c r="E42" s="309" t="s">
        <v>1300</v>
      </c>
      <c r="F42" s="309"/>
      <c r="G42" s="309" t="s">
        <v>1301</v>
      </c>
      <c r="H42" s="309" t="s">
        <v>402</v>
      </c>
      <c r="I42" s="312"/>
      <c r="K42" s="106"/>
      <c r="M42"/>
      <c r="P42" s="106"/>
      <c r="R42"/>
      <c r="U42" s="106"/>
      <c r="W42"/>
      <c r="Z42" s="106"/>
    </row>
    <row r="43" spans="1:27" ht="15.75" x14ac:dyDescent="0.25">
      <c r="A43" s="515"/>
      <c r="B43" s="310">
        <f>SUM(B44:B55)</f>
        <v>4408500704</v>
      </c>
      <c r="C43" s="310">
        <f t="shared" ref="C43" si="0">SUM(C44:C55)</f>
        <v>164193688</v>
      </c>
      <c r="D43" s="310">
        <f>SUM(D44:D55)</f>
        <v>4572694392</v>
      </c>
      <c r="E43" s="310">
        <f t="shared" ref="E43:G43" si="1">SUM(E44:E55)</f>
        <v>9238922</v>
      </c>
      <c r="F43" s="310">
        <f t="shared" si="1"/>
        <v>0</v>
      </c>
      <c r="G43" s="310">
        <f t="shared" si="1"/>
        <v>-7399760</v>
      </c>
      <c r="H43" s="310">
        <f>G43+E43</f>
        <v>1839162</v>
      </c>
      <c r="I43" s="310">
        <f>B43+E43</f>
        <v>4417739626</v>
      </c>
      <c r="K43" s="106"/>
      <c r="M43"/>
      <c r="P43" s="106"/>
      <c r="R43"/>
      <c r="U43" s="106"/>
      <c r="W43"/>
      <c r="Z43" s="106"/>
    </row>
    <row r="44" spans="1:27" ht="15.75" x14ac:dyDescent="0.25">
      <c r="A44" s="311">
        <v>1</v>
      </c>
      <c r="B44" s="310">
        <f t="shared" ref="B44:B55" si="2">C15</f>
        <v>448221139</v>
      </c>
      <c r="C44" s="310">
        <f t="shared" ref="C44:D44" si="3">D15</f>
        <v>2927032</v>
      </c>
      <c r="D44" s="310">
        <f t="shared" si="3"/>
        <v>451148171</v>
      </c>
      <c r="E44" s="310">
        <v>0</v>
      </c>
      <c r="F44" s="310"/>
      <c r="G44" s="310">
        <v>0</v>
      </c>
      <c r="H44" s="310">
        <f>G44+E44</f>
        <v>0</v>
      </c>
      <c r="I44" s="310">
        <f>B44+E44</f>
        <v>448221139</v>
      </c>
      <c r="K44" s="106"/>
      <c r="M44"/>
      <c r="P44" s="106"/>
      <c r="R44"/>
      <c r="U44" s="106"/>
      <c r="W44"/>
      <c r="Z44" s="106"/>
    </row>
    <row r="45" spans="1:27" ht="15.75" x14ac:dyDescent="0.25">
      <c r="A45" s="311">
        <v>2</v>
      </c>
      <c r="B45" s="310">
        <f t="shared" si="2"/>
        <v>171083829</v>
      </c>
      <c r="C45" s="310">
        <f t="shared" ref="C45:D55" si="4">D16</f>
        <v>0</v>
      </c>
      <c r="D45" s="310">
        <f t="shared" si="4"/>
        <v>171083829</v>
      </c>
      <c r="E45" s="310">
        <v>0</v>
      </c>
      <c r="F45" s="310"/>
      <c r="G45" s="310">
        <v>0</v>
      </c>
      <c r="H45" s="310">
        <f t="shared" ref="H45:H55" si="5">G45+E45</f>
        <v>0</v>
      </c>
      <c r="I45" s="310">
        <f t="shared" ref="I45:I55" si="6">B45+E45</f>
        <v>171083829</v>
      </c>
      <c r="K45" s="106"/>
      <c r="M45"/>
      <c r="P45" s="106"/>
      <c r="R45"/>
      <c r="U45" s="106"/>
      <c r="W45"/>
      <c r="Z45" s="106"/>
    </row>
    <row r="46" spans="1:27" ht="15.75" x14ac:dyDescent="0.25">
      <c r="A46" s="311">
        <v>3</v>
      </c>
      <c r="B46" s="310">
        <f t="shared" si="2"/>
        <v>370305153</v>
      </c>
      <c r="C46" s="310">
        <f t="shared" si="4"/>
        <v>290005</v>
      </c>
      <c r="D46" s="310">
        <f t="shared" si="4"/>
        <v>370595158</v>
      </c>
      <c r="E46" s="310">
        <v>0</v>
      </c>
      <c r="F46" s="310"/>
      <c r="G46" s="310">
        <v>0</v>
      </c>
      <c r="H46" s="310">
        <f t="shared" si="5"/>
        <v>0</v>
      </c>
      <c r="I46" s="310">
        <f t="shared" si="6"/>
        <v>370305153</v>
      </c>
      <c r="K46" s="106"/>
      <c r="M46"/>
      <c r="P46" s="106"/>
      <c r="R46"/>
      <c r="U46" s="106"/>
      <c r="W46"/>
      <c r="Z46" s="106"/>
    </row>
    <row r="47" spans="1:27" ht="15.75" x14ac:dyDescent="0.25">
      <c r="A47" s="311">
        <v>4</v>
      </c>
      <c r="B47" s="310">
        <f t="shared" si="2"/>
        <v>645831597</v>
      </c>
      <c r="C47" s="310">
        <f t="shared" si="4"/>
        <v>61392669</v>
      </c>
      <c r="D47" s="310">
        <f t="shared" si="4"/>
        <v>707224266</v>
      </c>
      <c r="E47" s="310">
        <f>Pasākumu_līmenis!F192</f>
        <v>7399760</v>
      </c>
      <c r="F47" s="310"/>
      <c r="G47" s="310">
        <f>Pasākumu_līmenis!G192</f>
        <v>-7399760</v>
      </c>
      <c r="H47" s="310">
        <f t="shared" si="5"/>
        <v>0</v>
      </c>
      <c r="I47" s="310">
        <f t="shared" si="6"/>
        <v>653231357</v>
      </c>
      <c r="K47" s="106"/>
      <c r="M47"/>
      <c r="P47" s="106"/>
      <c r="R47"/>
      <c r="U47" s="106"/>
      <c r="W47"/>
      <c r="Z47" s="106"/>
    </row>
    <row r="48" spans="1:27" ht="15.75" x14ac:dyDescent="0.25">
      <c r="A48" s="311">
        <v>5</v>
      </c>
      <c r="B48" s="310">
        <f t="shared" si="2"/>
        <v>581390235</v>
      </c>
      <c r="C48" s="310">
        <f t="shared" si="4"/>
        <v>78662967</v>
      </c>
      <c r="D48" s="310">
        <f t="shared" si="4"/>
        <v>660053202</v>
      </c>
      <c r="E48" s="310">
        <f>Pasākumu_līmenis!F191</f>
        <v>1059959</v>
      </c>
      <c r="F48" s="310"/>
      <c r="G48" s="310">
        <v>0</v>
      </c>
      <c r="H48" s="310">
        <f t="shared" si="5"/>
        <v>1059959</v>
      </c>
      <c r="I48" s="310">
        <f t="shared" si="6"/>
        <v>582450194</v>
      </c>
      <c r="K48" s="106"/>
      <c r="M48"/>
      <c r="P48" s="106"/>
      <c r="R48"/>
      <c r="U48" s="106"/>
      <c r="W48"/>
      <c r="Z48" s="106"/>
    </row>
    <row r="49" spans="1:26" ht="15.75" x14ac:dyDescent="0.25">
      <c r="A49" s="311">
        <v>6</v>
      </c>
      <c r="B49" s="310">
        <f t="shared" si="2"/>
        <v>886835593</v>
      </c>
      <c r="C49" s="310">
        <f t="shared" si="4"/>
        <v>0</v>
      </c>
      <c r="D49" s="310">
        <f t="shared" si="4"/>
        <v>886835593</v>
      </c>
      <c r="E49" s="310">
        <v>0</v>
      </c>
      <c r="F49" s="310"/>
      <c r="G49" s="310">
        <v>0</v>
      </c>
      <c r="H49" s="310">
        <f t="shared" si="5"/>
        <v>0</v>
      </c>
      <c r="I49" s="310">
        <f t="shared" si="6"/>
        <v>886835593</v>
      </c>
      <c r="K49" s="106"/>
      <c r="M49"/>
      <c r="P49" s="106"/>
      <c r="R49"/>
      <c r="U49" s="106"/>
      <c r="W49"/>
      <c r="Z49" s="106"/>
    </row>
    <row r="50" spans="1:26" ht="15.75" x14ac:dyDescent="0.25">
      <c r="A50" s="311">
        <v>7</v>
      </c>
      <c r="B50" s="310">
        <f t="shared" si="2"/>
        <v>163481471</v>
      </c>
      <c r="C50" s="310">
        <f t="shared" si="4"/>
        <v>0</v>
      </c>
      <c r="D50" s="310">
        <f t="shared" si="4"/>
        <v>163481471</v>
      </c>
      <c r="E50" s="310">
        <v>0</v>
      </c>
      <c r="F50" s="310"/>
      <c r="G50" s="310">
        <v>0</v>
      </c>
      <c r="H50" s="310">
        <f t="shared" si="5"/>
        <v>0</v>
      </c>
      <c r="I50" s="310">
        <f t="shared" si="6"/>
        <v>163481471</v>
      </c>
      <c r="K50" s="106"/>
      <c r="M50"/>
      <c r="P50" s="106"/>
      <c r="R50"/>
      <c r="U50" s="106"/>
      <c r="W50"/>
      <c r="Z50" s="106"/>
    </row>
    <row r="51" spans="1:26" ht="15.75" x14ac:dyDescent="0.25">
      <c r="A51" s="311">
        <v>8</v>
      </c>
      <c r="B51" s="310">
        <f t="shared" si="2"/>
        <v>523940298</v>
      </c>
      <c r="C51" s="310">
        <f t="shared" si="4"/>
        <v>5607771</v>
      </c>
      <c r="D51" s="310">
        <f t="shared" si="4"/>
        <v>529548069</v>
      </c>
      <c r="E51" s="310">
        <f>Pasākumu_līmenis!F196+Pasākumu_līmenis!F197</f>
        <v>779203</v>
      </c>
      <c r="F51" s="310"/>
      <c r="G51" s="310">
        <v>0</v>
      </c>
      <c r="H51" s="310">
        <f>G51+E51</f>
        <v>779203</v>
      </c>
      <c r="I51" s="310">
        <f t="shared" si="6"/>
        <v>524719501</v>
      </c>
      <c r="K51" s="106"/>
      <c r="M51"/>
      <c r="P51" s="106"/>
      <c r="R51"/>
      <c r="U51" s="106"/>
      <c r="W51"/>
      <c r="Z51" s="106"/>
    </row>
    <row r="52" spans="1:26" ht="15.75" x14ac:dyDescent="0.25">
      <c r="A52" s="311">
        <v>9</v>
      </c>
      <c r="B52" s="310">
        <f t="shared" si="2"/>
        <v>516095086</v>
      </c>
      <c r="C52" s="310">
        <f t="shared" si="4"/>
        <v>15313244</v>
      </c>
      <c r="D52" s="310">
        <f t="shared" si="4"/>
        <v>531408330</v>
      </c>
      <c r="E52" s="310">
        <f>Pasākumu_līmenis!F194</f>
        <v>0</v>
      </c>
      <c r="F52" s="310"/>
      <c r="G52" s="310">
        <v>0</v>
      </c>
      <c r="H52" s="310">
        <f t="shared" si="5"/>
        <v>0</v>
      </c>
      <c r="I52" s="310">
        <f t="shared" si="6"/>
        <v>516095086</v>
      </c>
      <c r="K52" s="106"/>
      <c r="M52"/>
      <c r="P52" s="106"/>
      <c r="R52"/>
      <c r="U52" s="106"/>
      <c r="W52"/>
      <c r="Z52" s="106"/>
    </row>
    <row r="53" spans="1:26" ht="15.75" x14ac:dyDescent="0.25">
      <c r="A53" s="311">
        <v>10</v>
      </c>
      <c r="B53" s="310">
        <f t="shared" si="2"/>
        <v>21420040</v>
      </c>
      <c r="C53" s="310">
        <f t="shared" si="4"/>
        <v>0</v>
      </c>
      <c r="D53" s="310">
        <f t="shared" si="4"/>
        <v>21420040</v>
      </c>
      <c r="E53" s="310">
        <v>0</v>
      </c>
      <c r="F53" s="310"/>
      <c r="G53" s="310">
        <v>0</v>
      </c>
      <c r="H53" s="310">
        <f t="shared" si="5"/>
        <v>0</v>
      </c>
      <c r="I53" s="310">
        <f t="shared" si="6"/>
        <v>21420040</v>
      </c>
      <c r="K53" s="106"/>
      <c r="M53"/>
      <c r="P53" s="106"/>
      <c r="R53"/>
      <c r="U53" s="106"/>
      <c r="W53"/>
      <c r="Z53" s="106"/>
    </row>
    <row r="54" spans="1:26" ht="15.75" x14ac:dyDescent="0.25">
      <c r="A54" s="311">
        <v>11</v>
      </c>
      <c r="B54" s="310">
        <f t="shared" si="2"/>
        <v>39180553</v>
      </c>
      <c r="C54" s="310">
        <f t="shared" si="4"/>
        <v>0</v>
      </c>
      <c r="D54" s="310">
        <f t="shared" si="4"/>
        <v>39180553</v>
      </c>
      <c r="E54" s="310">
        <v>0</v>
      </c>
      <c r="F54" s="310"/>
      <c r="G54" s="310">
        <v>0</v>
      </c>
      <c r="H54" s="310">
        <f t="shared" si="5"/>
        <v>0</v>
      </c>
      <c r="I54" s="310">
        <f t="shared" si="6"/>
        <v>39180553</v>
      </c>
      <c r="K54" s="106"/>
      <c r="M54"/>
      <c r="P54" s="106"/>
      <c r="R54"/>
      <c r="U54" s="106"/>
      <c r="W54"/>
      <c r="Z54" s="106"/>
    </row>
    <row r="55" spans="1:26" ht="15.75" x14ac:dyDescent="0.25">
      <c r="A55" s="311">
        <v>12</v>
      </c>
      <c r="B55" s="310">
        <f t="shared" si="2"/>
        <v>40715710</v>
      </c>
      <c r="C55" s="310">
        <f t="shared" si="4"/>
        <v>0</v>
      </c>
      <c r="D55" s="310">
        <f t="shared" si="4"/>
        <v>40715710</v>
      </c>
      <c r="E55" s="310">
        <v>0</v>
      </c>
      <c r="F55" s="310"/>
      <c r="G55" s="310">
        <v>0</v>
      </c>
      <c r="H55" s="310">
        <f t="shared" si="5"/>
        <v>0</v>
      </c>
      <c r="I55" s="310">
        <f t="shared" si="6"/>
        <v>40715710</v>
      </c>
      <c r="K55" s="106"/>
      <c r="M55"/>
      <c r="P55" s="106"/>
      <c r="R55"/>
      <c r="U55" s="106"/>
      <c r="W55"/>
      <c r="Z55" s="106"/>
    </row>
    <row r="56" spans="1:26" ht="15.75" x14ac:dyDescent="0.25">
      <c r="A56" s="313">
        <v>15</v>
      </c>
      <c r="B56" s="310">
        <f>C29</f>
        <v>0</v>
      </c>
      <c r="C56" s="310">
        <f>D29</f>
        <v>60000000</v>
      </c>
      <c r="D56" s="310">
        <f>B56+C56</f>
        <v>60000000</v>
      </c>
      <c r="E56" s="310">
        <v>0</v>
      </c>
      <c r="F56" s="313"/>
      <c r="G56" s="314">
        <v>0</v>
      </c>
      <c r="H56" s="310">
        <f t="shared" ref="H56" si="7">E56+G56</f>
        <v>0</v>
      </c>
      <c r="I56" s="310">
        <f t="shared" ref="I56" si="8">B56+E56</f>
        <v>0</v>
      </c>
      <c r="K56" s="106"/>
      <c r="M56"/>
      <c r="P56" s="106"/>
      <c r="R56"/>
      <c r="U56" s="106"/>
      <c r="W56"/>
      <c r="Z56" s="106"/>
    </row>
    <row r="57" spans="1:26" ht="15.75" x14ac:dyDescent="0.25">
      <c r="A57" s="518" t="s">
        <v>1302</v>
      </c>
      <c r="B57" s="518"/>
      <c r="C57" s="518"/>
      <c r="D57" s="518"/>
      <c r="E57" s="310">
        <f>C30</f>
        <v>9238922</v>
      </c>
      <c r="F57" s="310"/>
      <c r="G57" s="310">
        <f>D30</f>
        <v>-7399760</v>
      </c>
      <c r="H57" s="310">
        <f>G57+E57</f>
        <v>1839162</v>
      </c>
      <c r="I57" s="310">
        <f>B57+E57</f>
        <v>9238922</v>
      </c>
      <c r="K57" s="106"/>
      <c r="M57"/>
      <c r="P57" s="106"/>
      <c r="R57"/>
      <c r="U57" s="106"/>
      <c r="W57"/>
      <c r="Z57" s="106"/>
    </row>
    <row r="58" spans="1:26" ht="15.75" x14ac:dyDescent="0.25">
      <c r="A58" s="511" t="s">
        <v>1305</v>
      </c>
      <c r="B58" s="511"/>
      <c r="C58" s="511"/>
      <c r="D58" s="512"/>
      <c r="E58" s="380">
        <f>E43-E57</f>
        <v>0</v>
      </c>
      <c r="F58" s="381"/>
      <c r="G58" s="380">
        <f>G43-G57</f>
        <v>0</v>
      </c>
      <c r="H58" s="380">
        <f>H43-H57</f>
        <v>0</v>
      </c>
      <c r="I58" s="310"/>
      <c r="K58" s="106"/>
      <c r="M58"/>
      <c r="P58" s="106"/>
      <c r="R58"/>
      <c r="U58" s="106"/>
      <c r="W58"/>
      <c r="Z58" s="106"/>
    </row>
    <row r="59" spans="1:26" ht="15.75" x14ac:dyDescent="0.25">
      <c r="A59" s="313"/>
      <c r="B59" s="308" t="s">
        <v>1345</v>
      </c>
      <c r="C59" s="308" t="s">
        <v>1301</v>
      </c>
      <c r="D59" s="308" t="s">
        <v>402</v>
      </c>
      <c r="E59" s="309" t="s">
        <v>1345</v>
      </c>
      <c r="F59" s="309" t="s">
        <v>1345</v>
      </c>
      <c r="G59" s="309" t="s">
        <v>1301</v>
      </c>
      <c r="H59" s="309" t="s">
        <v>402</v>
      </c>
      <c r="I59" s="310"/>
    </row>
    <row r="60" spans="1:26" ht="15.75" x14ac:dyDescent="0.25">
      <c r="A60" s="308"/>
      <c r="B60" s="310">
        <f>B61+B62</f>
        <v>220412521</v>
      </c>
      <c r="C60" s="310">
        <f t="shared" ref="C60" si="9">C61+C62</f>
        <v>1</v>
      </c>
      <c r="D60" s="310">
        <f>D61+D62</f>
        <v>220412522</v>
      </c>
      <c r="E60" s="310">
        <f t="shared" ref="E60:I60" si="10">E61+E62</f>
        <v>2524642</v>
      </c>
      <c r="F60" s="310">
        <f t="shared" si="10"/>
        <v>0</v>
      </c>
      <c r="G60" s="310">
        <f t="shared" si="10"/>
        <v>0</v>
      </c>
      <c r="H60" s="310">
        <f t="shared" si="10"/>
        <v>2524642</v>
      </c>
      <c r="I60" s="310">
        <f t="shared" si="10"/>
        <v>222937163</v>
      </c>
    </row>
    <row r="61" spans="1:26" ht="15.75" x14ac:dyDescent="0.25">
      <c r="A61" s="313">
        <v>13</v>
      </c>
      <c r="B61" s="310">
        <f>C27</f>
        <v>197923434</v>
      </c>
      <c r="C61" s="310">
        <f>D27</f>
        <v>1</v>
      </c>
      <c r="D61" s="310">
        <f>B61+C61</f>
        <v>197923435</v>
      </c>
      <c r="E61" s="310">
        <f>SUM(Pasākumu_līmenis!F200:F204)</f>
        <v>2524642</v>
      </c>
      <c r="F61" s="313"/>
      <c r="G61" s="314">
        <f>SUM(Pasākumu_līmenis!G200:FG204)</f>
        <v>0</v>
      </c>
      <c r="H61" s="310">
        <f>E61+G61</f>
        <v>2524642</v>
      </c>
      <c r="I61" s="310">
        <f>B61+E61</f>
        <v>200448076</v>
      </c>
    </row>
    <row r="62" spans="1:26" ht="15.75" x14ac:dyDescent="0.25">
      <c r="A62" s="313">
        <v>14</v>
      </c>
      <c r="B62" s="310">
        <f>C28</f>
        <v>22489087</v>
      </c>
      <c r="C62" s="310">
        <f>D28</f>
        <v>0</v>
      </c>
      <c r="D62" s="310">
        <f>B62+C62</f>
        <v>22489087</v>
      </c>
      <c r="E62" s="310">
        <v>0</v>
      </c>
      <c r="F62" s="313"/>
      <c r="G62" s="314">
        <v>0</v>
      </c>
      <c r="H62" s="310">
        <f t="shared" ref="H62" si="11">E62+G62</f>
        <v>0</v>
      </c>
      <c r="I62" s="310">
        <f t="shared" ref="I62" si="12">B62+E62</f>
        <v>22489087</v>
      </c>
    </row>
  </sheetData>
  <mergeCells count="13">
    <mergeCell ref="C1:Y1"/>
    <mergeCell ref="A35:Y38"/>
    <mergeCell ref="V3:Y3"/>
    <mergeCell ref="A3:B3"/>
    <mergeCell ref="G3:K3"/>
    <mergeCell ref="L3:P3"/>
    <mergeCell ref="Q3:U3"/>
    <mergeCell ref="C3:F3"/>
    <mergeCell ref="A58:D58"/>
    <mergeCell ref="A41:A43"/>
    <mergeCell ref="B41:D41"/>
    <mergeCell ref="E41:G41"/>
    <mergeCell ref="A57:D57"/>
  </mergeCells>
  <pageMargins left="0.23622047244094491" right="0.23622047244094491" top="0.74803149606299213" bottom="0.74803149606299213" header="0.31496062992125984" footer="0.31496062992125984"/>
  <pageSetup paperSize="9" scale="3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fitToPage="1"/>
  </sheetPr>
  <dimension ref="A1:AA85"/>
  <sheetViews>
    <sheetView zoomScale="80" zoomScaleNormal="80" workbookViewId="0">
      <selection activeCell="J70" sqref="J70"/>
    </sheetView>
  </sheetViews>
  <sheetFormatPr defaultRowHeight="15" x14ac:dyDescent="0.25"/>
  <cols>
    <col min="1" max="1" width="38.5703125" customWidth="1"/>
    <col min="2" max="2" width="21.5703125" customWidth="1"/>
    <col min="3" max="4" width="18.42578125" customWidth="1"/>
    <col min="5" max="5" width="21.5703125" hidden="1" customWidth="1"/>
    <col min="6" max="6" width="18.42578125" customWidth="1"/>
    <col min="7" max="7" width="15.5703125" customWidth="1"/>
    <col min="8" max="8" width="19.42578125" customWidth="1"/>
    <col min="9" max="9" width="16.42578125" customWidth="1"/>
    <col min="10" max="10" width="18.5703125" customWidth="1"/>
    <col min="11" max="12" width="17.5703125" customWidth="1"/>
    <col min="13" max="13" width="17.42578125" customWidth="1"/>
    <col min="14" max="14" width="17.5703125" customWidth="1"/>
    <col min="16" max="16" width="14.42578125" bestFit="1" customWidth="1"/>
    <col min="17" max="17" width="12.42578125" bestFit="1" customWidth="1"/>
  </cols>
  <sheetData>
    <row r="1" spans="1:27" ht="28.5" customHeight="1" x14ac:dyDescent="0.25">
      <c r="A1" s="265" t="str">
        <f>Pasākumu_līmenis!A2</f>
        <v>Sagatavots 08.04.2025.</v>
      </c>
      <c r="B1" s="505" t="str">
        <f>Pasākumu_līmenis!A1</f>
        <v>2014.-2020. gada plānošanas perioda ES fondu ieviešanas statuss (ES fondu daļa, EUR) uz 31.03.2025.</v>
      </c>
      <c r="C1" s="505"/>
      <c r="D1" s="505"/>
      <c r="E1" s="505"/>
      <c r="F1" s="505"/>
      <c r="G1" s="505"/>
      <c r="H1" s="505"/>
      <c r="I1" s="505"/>
      <c r="J1" s="505"/>
      <c r="K1" s="505"/>
      <c r="L1" s="505"/>
      <c r="M1" s="505"/>
    </row>
    <row r="2" spans="1:27" ht="12" customHeight="1" x14ac:dyDescent="0.35">
      <c r="A2" s="523"/>
      <c r="B2" s="523"/>
      <c r="C2" s="523"/>
      <c r="D2" s="523"/>
      <c r="E2" s="523"/>
      <c r="F2" s="523"/>
      <c r="G2" s="523"/>
      <c r="H2" s="523"/>
      <c r="I2" s="523"/>
      <c r="J2" s="523"/>
      <c r="K2" s="523"/>
      <c r="L2" s="523"/>
      <c r="M2" s="523"/>
    </row>
    <row r="3" spans="1:27" ht="16.5" customHeight="1" thickBot="1" x14ac:dyDescent="0.35">
      <c r="A3" s="524" t="s">
        <v>420</v>
      </c>
      <c r="B3" s="524"/>
      <c r="C3" s="524"/>
      <c r="D3" s="524"/>
      <c r="E3" s="524"/>
      <c r="F3" s="524"/>
      <c r="G3" s="524"/>
      <c r="H3" s="524"/>
      <c r="I3" s="524"/>
      <c r="J3" s="524"/>
      <c r="K3" s="524"/>
      <c r="L3" s="524"/>
      <c r="M3" s="524"/>
    </row>
    <row r="4" spans="1:27" ht="53.25" customHeight="1" x14ac:dyDescent="0.25">
      <c r="A4" s="531" t="s">
        <v>464</v>
      </c>
      <c r="B4" s="533" t="s">
        <v>156</v>
      </c>
      <c r="C4" s="534"/>
      <c r="D4" s="534"/>
      <c r="E4" s="535"/>
      <c r="F4" s="528" t="s">
        <v>615</v>
      </c>
      <c r="G4" s="528"/>
      <c r="H4" s="529" t="s">
        <v>150</v>
      </c>
      <c r="I4" s="529"/>
      <c r="J4" s="529" t="s">
        <v>151</v>
      </c>
      <c r="K4" s="529"/>
      <c r="L4" s="529" t="s">
        <v>155</v>
      </c>
      <c r="M4" s="530"/>
    </row>
    <row r="5" spans="1:27" ht="78.75" customHeight="1" x14ac:dyDescent="0.25">
      <c r="A5" s="532"/>
      <c r="B5" s="66" t="s">
        <v>419</v>
      </c>
      <c r="C5" s="12" t="s">
        <v>158</v>
      </c>
      <c r="D5" s="12" t="s">
        <v>401</v>
      </c>
      <c r="E5" s="12" t="str">
        <f>Pasākumu_līmenis!I4</f>
        <v>Snieguma rezerve atbilstoši MK noteikumiem,
ES fondu finansējums (pēdējo reizi aktualizēta 08.06.2020)</v>
      </c>
      <c r="F5" s="12" t="s">
        <v>406</v>
      </c>
      <c r="G5" s="12" t="s">
        <v>407</v>
      </c>
      <c r="H5" s="12" t="s">
        <v>406</v>
      </c>
      <c r="I5" s="12" t="s">
        <v>408</v>
      </c>
      <c r="J5" s="12" t="s">
        <v>406</v>
      </c>
      <c r="K5" s="12" t="s">
        <v>160</v>
      </c>
      <c r="L5" s="12" t="s">
        <v>410</v>
      </c>
      <c r="M5" s="56" t="s">
        <v>407</v>
      </c>
    </row>
    <row r="6" spans="1:27" ht="19.5" thickBot="1" x14ac:dyDescent="0.3">
      <c r="A6" s="61" t="s">
        <v>4</v>
      </c>
      <c r="B6" s="131" t="s">
        <v>12</v>
      </c>
      <c r="C6" s="132" t="s">
        <v>10</v>
      </c>
      <c r="D6" s="132" t="s">
        <v>16</v>
      </c>
      <c r="E6" s="132" t="s">
        <v>614</v>
      </c>
      <c r="F6" s="132" t="s">
        <v>18</v>
      </c>
      <c r="G6" s="14" t="s">
        <v>373</v>
      </c>
      <c r="H6" s="14">
        <v>4</v>
      </c>
      <c r="I6" s="14" t="s">
        <v>374</v>
      </c>
      <c r="J6" s="14">
        <v>5</v>
      </c>
      <c r="K6" s="14" t="s">
        <v>375</v>
      </c>
      <c r="L6" s="14" t="s">
        <v>71</v>
      </c>
      <c r="M6" s="15" t="s">
        <v>376</v>
      </c>
    </row>
    <row r="7" spans="1:27" ht="19.5" thickBot="1" x14ac:dyDescent="0.3">
      <c r="A7" s="81" t="s">
        <v>402</v>
      </c>
      <c r="B7" s="75">
        <f>B9+B10+B11+B12+B13+B14+B15+B16+B17+B18+B19+B56+B58+B59</f>
        <v>4640676789</v>
      </c>
      <c r="C7" s="75">
        <f>C9+C10+C11+C12+C13+C14+C15+C16+C17+C18+C19+C56+C58+C59</f>
        <v>216793929</v>
      </c>
      <c r="D7" s="75">
        <f>D9+D10+D11+D12+D13+D14+D15+D16+D17+D18+D19+D56+D58+D59</f>
        <v>4857470718</v>
      </c>
      <c r="E7" s="75">
        <f>E9+E10+E11+E12+E13+E14+E15+E16+E17+E18+E19</f>
        <v>190574922.68716913</v>
      </c>
      <c r="F7" s="75">
        <f>F9+F10+F11+F12+F13+F14+F15+F16+F17+F18+F19</f>
        <v>4535667326.1600008</v>
      </c>
      <c r="G7" s="76">
        <f>F7/$B7</f>
        <v>0.97737195077043337</v>
      </c>
      <c r="H7" s="75">
        <f>H9+H10+H11+H12+H13+H14+H15+H16+H17+H18+H19</f>
        <v>4535667326.1600008</v>
      </c>
      <c r="I7" s="76">
        <f>H7/$B7</f>
        <v>0.97737195077043337</v>
      </c>
      <c r="J7" s="75">
        <f>J9+J10+J11+J12+J13+J14+J15+J16+J17+J18+J19</f>
        <v>4535667326.1600008</v>
      </c>
      <c r="K7" s="76">
        <f>J7/$B7</f>
        <v>0.97737195077043337</v>
      </c>
      <c r="L7" s="75">
        <f>L9+L10+L11+L12+L13+L14+L15+L16+L17+L18+L19</f>
        <v>4510201350.6799994</v>
      </c>
      <c r="M7" s="77">
        <f>L7/$B7</f>
        <v>0.97188439439926688</v>
      </c>
      <c r="N7" s="62"/>
    </row>
    <row r="8" spans="1:27" ht="4.5" customHeight="1" thickBot="1" x14ac:dyDescent="0.35">
      <c r="A8" s="82"/>
      <c r="B8" s="83"/>
      <c r="C8" s="83"/>
      <c r="D8" s="83"/>
      <c r="E8" s="83"/>
      <c r="F8" s="83"/>
      <c r="G8" s="83"/>
      <c r="H8" s="83"/>
      <c r="I8" s="83"/>
      <c r="J8" s="83"/>
      <c r="K8" s="83"/>
      <c r="L8" s="83"/>
      <c r="M8" s="84"/>
    </row>
    <row r="9" spans="1:27" ht="21.75" customHeight="1" x14ac:dyDescent="0.3">
      <c r="A9" s="78" t="s">
        <v>349</v>
      </c>
      <c r="B9" s="193">
        <f>SUM(Pasākumu_līmenis!F20:'Pasākumu_līmenis'!F25)+Pasākumu_līmenis!F31+Pasākumu_līmenis!F32+Pasākumu_līmenis!F33+Pasākumu_līmenis!F34+Pasākumu_līmenis!F35+Pasākumu_līmenis!F36+Pasākumu_līmenis!F38+Pasākumu_līmenis!F39+Pasākumu_līmenis!F40+Pasākumu_līmenis!F41+Pasākumu_līmenis!F48+Pasākumu_līmenis!F49+Pasākumu_līmenis!F50+Pasākumu_līmenis!F52+Pasākumu_līmenis!F155+Pasākumu_līmenis!F37+Pasākumu_līmenis!F154+Pasākumu_līmenis!F165+Pasākumu_līmenis!F156+Pasākumu_līmenis!F157+Pasākumu_līmenis!F172</f>
        <v>834064348</v>
      </c>
      <c r="C9" s="193">
        <f>SUM(Pasākumu_līmenis!G20:'Pasākumu_līmenis'!G25)+Pasākumu_līmenis!G31+Pasākumu_līmenis!G32+Pasākumu_līmenis!G33+Pasākumu_līmenis!G34+Pasākumu_līmenis!G35+Pasākumu_līmenis!G36+Pasākumu_līmenis!G38+Pasākumu_līmenis!G39+Pasākumu_līmenis!G40+Pasākumu_līmenis!G41+Pasākumu_līmenis!G48+Pasākumu_līmenis!G49+Pasākumu_līmenis!G50+Pasākumu_līmenis!G52+Pasākumu_līmenis!G155+Pasākumu_līmenis!G37+Pasākumu_līmenis!G154+Pasākumu_līmenis!G165+Pasākumu_līmenis!G156+Pasākumu_līmenis!G157+Pasākumu_līmenis!G172</f>
        <v>116550001</v>
      </c>
      <c r="D9" s="193">
        <f>B9+C9</f>
        <v>950614349</v>
      </c>
      <c r="E9" s="193">
        <f>SUM(Pasākumu_līmenis!I20:'Pasākumu_līmenis'!I25)+Pasākumu_līmenis!I31+Pasākumu_līmenis!I32+Pasākumu_līmenis!I33+Pasākumu_līmenis!I34+Pasākumu_līmenis!I35+Pasākumu_līmenis!I36+Pasākumu_līmenis!I38+Pasākumu_līmenis!I39+Pasākumu_līmenis!I40+Pasākumu_līmenis!I41+Pasākumu_līmenis!I48+Pasākumu_līmenis!I49+Pasākumu_līmenis!I50+Pasākumu_līmenis!I52</f>
        <v>31792647.43290095</v>
      </c>
      <c r="F9" s="193">
        <f>SUM(Pasākumu_līmenis!J20:'Pasākumu_līmenis'!J25)+SUM(Pasākumu_līmenis!J31:'Pasākumu_līmenis'!J41)+Pasākumu_līmenis!J48+Pasākumu_līmenis!J49+Pasākumu_līmenis!J50+Pasākumu_līmenis!J52+Pasākumu_līmenis!J155+Pasākumu_līmenis!J154+Pasākumu_līmenis!J165+Pasākumu_līmenis!J156+Pasākumu_līmenis!J157+Pasākumu_līmenis!J172</f>
        <v>859785882.42000008</v>
      </c>
      <c r="G9" s="194">
        <f>F9/B9</f>
        <v>1.0308387889755481</v>
      </c>
      <c r="H9" s="193">
        <f>SUM(Pasākumu_līmenis!Q20:'Pasākumu_līmenis'!Q25)+SUM(Pasākumu_līmenis!Q31:'Pasākumu_līmenis'!Q41)+Pasākumu_līmenis!Q48+Pasākumu_līmenis!Q49+Pasākumu_līmenis!Q50+Pasākumu_līmenis!Q52+Pasākumu_līmenis!Q155+Pasākumu_līmenis!Q154+Pasākumu_līmenis!Q165+Pasākumu_līmenis!Q156+Pasākumu_līmenis!Q157+Pasākumu_līmenis!Q172</f>
        <v>859785882.42000008</v>
      </c>
      <c r="I9" s="194">
        <f>H9/B9</f>
        <v>1.0308387889755481</v>
      </c>
      <c r="J9" s="193">
        <f>SUM(Pasākumu_līmenis!X20:'Pasākumu_līmenis'!X25)+SUM(Pasākumu_līmenis!X31:'Pasākumu_līmenis'!X41)+Pasākumu_līmenis!X48+Pasākumu_līmenis!X49+Pasākumu_līmenis!X50+Pasākumu_līmenis!X52+Pasākumu_līmenis!X155+Pasākumu_līmenis!X154+Pasākumu_līmenis!X165+Pasākumu_līmenis!X156+Pasākumu_līmenis!X157+Pasākumu_līmenis!X172</f>
        <v>859785882.42000008</v>
      </c>
      <c r="K9" s="194">
        <f>J9/B9</f>
        <v>1.0308387889755481</v>
      </c>
      <c r="L9" s="193">
        <f>SUM(Pasākumu_līmenis!AE20:'Pasākumu_līmenis'!AE25)+SUM(Pasākumu_līmenis!AE31:'Pasākumu_līmenis'!AE41)+Pasākumu_līmenis!AE48+Pasākumu_līmenis!AE49+Pasākumu_līmenis!AE50+Pasākumu_līmenis!AE52+Pasākumu_līmenis!AE155+Pasākumu_līmenis!AE154+Pasākumu_līmenis!AE165+Pasākumu_līmenis!AE156+Pasākumu_līmenis!AE157+Pasākumu_līmenis!AE172</f>
        <v>845650621.65999985</v>
      </c>
      <c r="M9" s="195">
        <f>L9/B9</f>
        <v>1.0138913426617293</v>
      </c>
      <c r="N9" s="62"/>
      <c r="O9" s="62"/>
      <c r="P9" s="62"/>
      <c r="Q9" s="62"/>
      <c r="R9" s="62"/>
      <c r="S9" s="62"/>
      <c r="U9" s="62"/>
      <c r="V9" s="62"/>
      <c r="W9" s="62"/>
      <c r="X9" s="62"/>
      <c r="Y9" s="62"/>
      <c r="Z9" s="62"/>
      <c r="AA9" s="62"/>
    </row>
    <row r="10" spans="1:27" ht="21.75" customHeight="1" x14ac:dyDescent="0.3">
      <c r="A10" s="68" t="s">
        <v>356</v>
      </c>
      <c r="B10" s="196">
        <f>Pasākumu_līmenis!F146+Pasākumu_līmenis!F147+Pasākumu_līmenis!F150+Pasākumu_līmenis!F152+Pasākumu_līmenis!F148</f>
        <v>101316303</v>
      </c>
      <c r="C10" s="196">
        <f>Pasākumu_līmenis!G146+Pasākumu_līmenis!G147+Pasākumu_līmenis!G150+Pasākumu_līmenis!G152+Pasākumu_līmenis!G148</f>
        <v>0</v>
      </c>
      <c r="D10" s="196">
        <f>B10+C10</f>
        <v>101316303</v>
      </c>
      <c r="E10" s="196">
        <f>Pasākumu_līmenis!I146+Pasākumu_līmenis!I147+Pasākumu_līmenis!I150+Pasākumu_līmenis!I152+Pasākumu_līmenis!I148</f>
        <v>0</v>
      </c>
      <c r="F10" s="196">
        <f>Pasākumu_līmenis!J146+Pasākumu_līmenis!J147+Pasākumu_līmenis!J150+Pasākumu_līmenis!J152+Pasākumu_līmenis!J148</f>
        <v>100806405.58</v>
      </c>
      <c r="G10" s="197">
        <f t="shared" ref="G10:G44" si="0">F10/B10</f>
        <v>0.99496727175289845</v>
      </c>
      <c r="H10" s="196">
        <f>Pasākumu_līmenis!Q146+Pasākumu_līmenis!Q147+Pasākumu_līmenis!Q150+Pasākumu_līmenis!Q152+Pasākumu_līmenis!Q148</f>
        <v>100806405.58</v>
      </c>
      <c r="I10" s="197">
        <f t="shared" ref="I10:I44" si="1">H10/B10</f>
        <v>0.99496727175289845</v>
      </c>
      <c r="J10" s="196">
        <f>Pasākumu_līmenis!X146+Pasākumu_līmenis!X147+Pasākumu_līmenis!X150+Pasākumu_līmenis!X152+Pasākumu_līmenis!X148</f>
        <v>100806405.58</v>
      </c>
      <c r="K10" s="197">
        <f t="shared" ref="K10:K44" si="2">J10/B10</f>
        <v>0.99496727175289845</v>
      </c>
      <c r="L10" s="196">
        <f>Pasākumu_līmenis!AE146+Pasākumu_līmenis!AE147+Pasākumu_līmenis!AE150+Pasākumu_līmenis!AE152+Pasākumu_līmenis!AE148</f>
        <v>100806240.3</v>
      </c>
      <c r="M10" s="198">
        <f t="shared" ref="M10:M18" si="3">L10/B10</f>
        <v>0.99496564042610203</v>
      </c>
      <c r="N10" s="62"/>
      <c r="O10" s="62"/>
      <c r="P10" s="62"/>
      <c r="Q10" s="62"/>
      <c r="R10" s="62"/>
      <c r="S10" s="62"/>
      <c r="U10" s="62"/>
      <c r="V10" s="62"/>
      <c r="W10" s="62"/>
      <c r="X10" s="62"/>
      <c r="Y10" s="62"/>
      <c r="Z10" s="62"/>
      <c r="AA10" s="62"/>
    </row>
    <row r="11" spans="1:27" ht="21.75" customHeight="1" x14ac:dyDescent="0.3">
      <c r="A11" s="68" t="s">
        <v>348</v>
      </c>
      <c r="B11" s="196">
        <f>Pasākumu_līmenis!F15+Pasākumu_līmenis!F16+Pasākumu_līmenis!F17+Pasākumu_līmenis!F18+Pasākumu_līmenis!F19+Pasākumu_līmenis!F98+Pasākumu_līmenis!F99+Pasākumu_līmenis!F100+Pasākumu_līmenis!F101+Pasākumu_līmenis!F102+Pasākumu_līmenis!F103+Pasākumu_līmenis!F104+Pasākumu_līmenis!F105+Pasākumu_līmenis!F106+Pasākumu_līmenis!F107+Pasākumu_līmenis!F108+Pasākumu_līmenis!F109+Pasākumu_līmenis!F110+Pasākumu_līmenis!F111+Pasākumu_līmenis!F112+Pasākumu_līmenis!F113+Pasākumu_līmenis!F114+Pasākumu_līmenis!F115+Pasākumu_līmenis!F116+Pasākumu_līmenis!F117+Pasākumu_līmenis!F118+Pasākumu_līmenis!F159+Pasākumu_līmenis!F160+Pasākumu_līmenis!F167+Pasākumu_līmenis!F168+Pasākumu_līmenis!F158</f>
        <v>831738196</v>
      </c>
      <c r="C11" s="196">
        <f>Pasākumu_līmenis!G15+Pasākumu_līmenis!G16+Pasākumu_līmenis!G17+Pasākumu_līmenis!G18+Pasākumu_līmenis!G19+Pasākumu_līmenis!G98+Pasākumu_līmenis!G99+Pasākumu_līmenis!G100+Pasākumu_līmenis!G101+Pasākumu_līmenis!G102+Pasākumu_līmenis!G103+Pasākumu_līmenis!G104+Pasākumu_līmenis!G105+Pasākumu_līmenis!G106+Pasākumu_līmenis!G107+Pasākumu_līmenis!G108+Pasākumu_līmenis!G109+Pasākumu_līmenis!G110+Pasākumu_līmenis!G111+Pasākumu_līmenis!G112+Pasākumu_līmenis!G113+Pasākumu_līmenis!G114+Pasākumu_līmenis!G115+Pasākumu_līmenis!G116+Pasākumu_līmenis!G117+Pasākumu_līmenis!G118+Pasākumu_līmenis!G159+Pasākumu_līmenis!G160+Pasākumu_līmenis!G167+Pasākumu_līmenis!G168+Pasākumu_līmenis!G158</f>
        <v>8534803</v>
      </c>
      <c r="D11" s="196">
        <f t="shared" ref="D11:D42" si="4">B11+C11</f>
        <v>840272999</v>
      </c>
      <c r="E11" s="196">
        <f>Pasākumu_līmenis!I15+Pasākumu_līmenis!I16+Pasākumu_līmenis!I17+Pasākumu_līmenis!I18+Pasākumu_līmenis!I19+Pasākumu_līmenis!I98+Pasākumu_līmenis!I99+Pasākumu_līmenis!I100+Pasākumu_līmenis!I101+Pasākumu_līmenis!I102+Pasākumu_līmenis!I103+Pasākumu_līmenis!I104+Pasākumu_līmenis!I105+Pasākumu_līmenis!I106+Pasākumu_līmenis!I107+Pasākumu_līmenis!I108+Pasākumu_līmenis!I109+Pasākumu_līmenis!I110+Pasākumu_līmenis!I111+Pasākumu_līmenis!I112+Pasākumu_līmenis!I113+Pasākumu_līmenis!I114+Pasākumu_līmenis!I115+Pasākumu_līmenis!I116+Pasākumu_līmenis!I117+Pasākumu_līmenis!I118</f>
        <v>23439111.242077023</v>
      </c>
      <c r="F11" s="196">
        <f>Pasākumu_līmenis!J15+Pasākumu_līmenis!J16+Pasākumu_līmenis!J17+Pasākumu_līmenis!J18+Pasākumu_līmenis!J19+Pasākumu_līmenis!J98+Pasākumu_līmenis!J99+Pasākumu_līmenis!J100+Pasākumu_līmenis!J101+Pasākumu_līmenis!J102+Pasākumu_līmenis!J103+Pasākumu_līmenis!J104+Pasākumu_līmenis!J105+Pasākumu_līmenis!J106+Pasākumu_līmenis!J107+Pasākumu_līmenis!J108+Pasākumu_līmenis!J109+Pasākumu_līmenis!J110+Pasākumu_līmenis!J111+Pasākumu_līmenis!J112+Pasākumu_līmenis!J113+Pasākumu_līmenis!J114+Pasākumu_līmenis!J115+Pasākumu_līmenis!J116+Pasākumu_līmenis!J117+Pasākumu_līmenis!J118+Pasākumu_līmenis!J159+Pasākumu_līmenis!J160+Pasākumu_līmenis!J167+Pasākumu_līmenis!J168+Pasākumu_līmenis!J158</f>
        <v>816500954.24999964</v>
      </c>
      <c r="G11" s="197">
        <f t="shared" si="0"/>
        <v>0.98168024286574862</v>
      </c>
      <c r="H11" s="196">
        <f>Pasākumu_līmenis!Q15+Pasākumu_līmenis!Q16+Pasākumu_līmenis!Q17+Pasākumu_līmenis!Q18+Pasākumu_līmenis!Q19+Pasākumu_līmenis!Q98+Pasākumu_līmenis!Q99+Pasākumu_līmenis!Q100+Pasākumu_līmenis!Q101+Pasākumu_līmenis!Q102+Pasākumu_līmenis!Q103+Pasākumu_līmenis!Q104+Pasākumu_līmenis!Q105+Pasākumu_līmenis!Q106+Pasākumu_līmenis!Q107+Pasākumu_līmenis!Q108+Pasākumu_līmenis!Q109+Pasākumu_līmenis!Q110+Pasākumu_līmenis!Q111+Pasākumu_līmenis!Q112+Pasākumu_līmenis!Q113+Pasākumu_līmenis!Q114+Pasākumu_līmenis!Q115+Pasākumu_līmenis!Q116+Pasākumu_līmenis!Q117+Pasākumu_līmenis!Q118+Pasākumu_līmenis!Q159+Pasākumu_līmenis!Q160+Pasākumu_līmenis!Q167+Pasākumu_līmenis!Q168+Pasākumu_līmenis!Q158</f>
        <v>816500954.24999964</v>
      </c>
      <c r="I11" s="197">
        <f t="shared" si="1"/>
        <v>0.98168024286574862</v>
      </c>
      <c r="J11" s="196">
        <f>Pasākumu_līmenis!X15+Pasākumu_līmenis!X16+Pasākumu_līmenis!X17+Pasākumu_līmenis!X18+Pasākumu_līmenis!X19+Pasākumu_līmenis!X98+Pasākumu_līmenis!X99+Pasākumu_līmenis!X100+Pasākumu_līmenis!X101+Pasākumu_līmenis!X102+Pasākumu_līmenis!X103+Pasākumu_līmenis!X104+Pasākumu_līmenis!X105+Pasākumu_līmenis!X106+Pasākumu_līmenis!X107+Pasākumu_līmenis!X108+Pasākumu_līmenis!X109+Pasākumu_līmenis!X110+Pasākumu_līmenis!X111+Pasākumu_līmenis!X112+Pasākumu_līmenis!X113+Pasākumu_līmenis!X114+Pasākumu_līmenis!X115+Pasākumu_līmenis!X116+Pasākumu_līmenis!X117+Pasākumu_līmenis!X118+Pasākumu_līmenis!X159+Pasākumu_līmenis!X160+Pasākumu_līmenis!X167+Pasākumu_līmenis!X168+Pasākumu_līmenis!X158</f>
        <v>816500954.24999964</v>
      </c>
      <c r="K11" s="197">
        <f t="shared" si="2"/>
        <v>0.98168024286574862</v>
      </c>
      <c r="L11" s="196">
        <f>Pasākumu_līmenis!AE15+Pasākumu_līmenis!AE16+Pasākumu_līmenis!AE17+Pasākumu_līmenis!AE18+Pasākumu_līmenis!AE19+Pasākumu_līmenis!AE98+Pasākumu_līmenis!AE99+Pasākumu_līmenis!AE100+Pasākumu_līmenis!AE101+Pasākumu_līmenis!AE102+Pasākumu_līmenis!AE103+Pasākumu_līmenis!AE104+Pasākumu_līmenis!AE105+Pasākumu_līmenis!AE106+Pasākumu_līmenis!AE107+Pasākumu_līmenis!AE108+Pasākumu_līmenis!AE109+Pasākumu_līmenis!AE110+Pasākumu_līmenis!AE111+Pasākumu_līmenis!AE112+Pasākumu_līmenis!AE113+Pasākumu_līmenis!AE114+Pasākumu_līmenis!AE115+Pasākumu_līmenis!AE116+Pasākumu_līmenis!AE117+Pasākumu_līmenis!AE118+Pasākumu_līmenis!AE159+Pasākumu_līmenis!AE160+Pasākumu_līmenis!AE167+Pasākumu_līmenis!AE168+Pasākumu_līmenis!AE158</f>
        <v>809390465.46999979</v>
      </c>
      <c r="M11" s="198">
        <f t="shared" si="3"/>
        <v>0.97313129222936368</v>
      </c>
      <c r="N11" s="62"/>
      <c r="O11" s="62"/>
      <c r="P11" s="62"/>
      <c r="Q11" s="62"/>
      <c r="R11" s="62"/>
      <c r="S11" s="62"/>
      <c r="U11" s="62"/>
      <c r="V11" s="62"/>
      <c r="W11" s="62"/>
      <c r="X11" s="62"/>
      <c r="Y11" s="62"/>
      <c r="Z11" s="62"/>
      <c r="AA11" s="62"/>
    </row>
    <row r="12" spans="1:27" ht="21.75" customHeight="1" x14ac:dyDescent="0.3">
      <c r="A12" s="68" t="s">
        <v>355</v>
      </c>
      <c r="B12" s="196">
        <f>Pasākumu_līmenis!F68+Pasākumu_līmenis!F69+Pasākumu_līmenis!F163</f>
        <v>136168744</v>
      </c>
      <c r="C12" s="196">
        <f>Pasākumu_līmenis!G68+Pasākumu_līmenis!G69+Pasākumu_līmenis!G163</f>
        <v>0</v>
      </c>
      <c r="D12" s="196">
        <f>B12+C12</f>
        <v>136168744</v>
      </c>
      <c r="E12" s="196">
        <f>Pasākumu_līmenis!I68+Pasākumu_līmenis!I69</f>
        <v>0</v>
      </c>
      <c r="F12" s="196">
        <f>Pasākumu_līmenis!J68+Pasākumu_līmenis!J69+Pasākumu_līmenis!J163</f>
        <v>130290148.34</v>
      </c>
      <c r="G12" s="197">
        <f t="shared" si="0"/>
        <v>0.95682859746433446</v>
      </c>
      <c r="H12" s="196">
        <f>Pasākumu_līmenis!Q68+Pasākumu_līmenis!Q69+Pasākumu_līmenis!Q163</f>
        <v>130290148.34</v>
      </c>
      <c r="I12" s="197">
        <f t="shared" si="1"/>
        <v>0.95682859746433446</v>
      </c>
      <c r="J12" s="196">
        <f>Pasākumu_līmenis!X68+Pasākumu_līmenis!X69+Pasākumu_līmenis!X163</f>
        <v>130290148.34</v>
      </c>
      <c r="K12" s="197">
        <f t="shared" si="2"/>
        <v>0.95682859746433446</v>
      </c>
      <c r="L12" s="196">
        <f>Pasākumu_līmenis!AE68+Pasākumu_līmenis!AE69+Pasākumu_līmenis!AE163</f>
        <v>127031938.24000001</v>
      </c>
      <c r="M12" s="198">
        <f t="shared" si="3"/>
        <v>0.9329008589518899</v>
      </c>
      <c r="N12" s="62"/>
      <c r="O12" s="62"/>
      <c r="P12" s="62"/>
      <c r="Q12" s="62"/>
      <c r="R12" s="62"/>
      <c r="S12" s="62"/>
      <c r="U12" s="62"/>
      <c r="V12" s="62"/>
      <c r="W12" s="62"/>
      <c r="X12" s="62"/>
      <c r="Y12" s="62"/>
      <c r="Z12" s="62"/>
      <c r="AA12" s="62"/>
    </row>
    <row r="13" spans="1:27" ht="21.75" customHeight="1" x14ac:dyDescent="0.3">
      <c r="A13" s="68" t="s">
        <v>351</v>
      </c>
      <c r="B13" s="196">
        <f>Pasākumu_līmenis!F87+Pasākumu_līmenis!F88+Pasākumu_līmenis!F89+Pasākumu_līmenis!F90+Pasākumu_līmenis!F92+Pasākumu_līmenis!F94+Pasākumu_līmenis!F95+Pasākumu_līmenis!F96+Pasākumu_līmenis!F120+Pasākumu_līmenis!F121+Pasākumu_līmenis!F122+Pasākumu_līmenis!F125+Pasākumu_līmenis!F126+Pasākumu_līmenis!F127+Pasākumu_līmenis!F128+Pasākumu_līmenis!F129+Pasākumu_līmenis!F130+Pasākumu_līmenis!F131+Pasākumu_līmenis!F132+Pasākumu_līmenis!F133+Pasākumu_līmenis!F141+Pasākumu_līmenis!F142+Pasākumu_līmenis!F91+Pasākumu_līmenis!F93+Pasākumu_līmenis!F134+Pasākumu_līmenis!F143+Pasākumu_līmenis!F169</f>
        <v>392526552</v>
      </c>
      <c r="C13" s="196">
        <f>Pasākumu_līmenis!G87+Pasākumu_līmenis!G88+Pasākumu_līmenis!G89+Pasākumu_līmenis!G90+Pasākumu_līmenis!G92+Pasākumu_līmenis!G94+Pasākumu_līmenis!G95+Pasākumu_līmenis!G96+Pasākumu_līmenis!G120+Pasākumu_līmenis!G121+Pasākumu_līmenis!G122+Pasākumu_līmenis!G125+Pasākumu_līmenis!G126+Pasākumu_līmenis!G127+Pasākumu_līmenis!G128+Pasākumu_līmenis!G129+Pasākumu_līmenis!G130+Pasākumu_līmenis!G131+Pasākumu_līmenis!G132+Pasākumu_līmenis!G133+Pasākumu_līmenis!G141+Pasākumu_līmenis!G142+Pasākumu_līmenis!G91+Pasākumu_līmenis!G93+Pasākumu_līmenis!G143+Pasākumu_līmenis!G169</f>
        <v>782851</v>
      </c>
      <c r="D13" s="196">
        <f t="shared" si="4"/>
        <v>393309403</v>
      </c>
      <c r="E13" s="196">
        <f>Pasākumu_līmenis!I87+Pasākumu_līmenis!I88+Pasākumu_līmenis!I89+Pasākumu_līmenis!I90+Pasākumu_līmenis!I92+Pasākumu_līmenis!I94+Pasākumu_līmenis!I95+Pasākumu_līmenis!I96+Pasākumu_līmenis!I120+Pasākumu_līmenis!I121+Pasākumu_līmenis!I122+Pasākumu_līmenis!I125+Pasākumu_līmenis!I126+Pasākumu_līmenis!I127+Pasākumu_līmenis!I128+Pasākumu_līmenis!I129+Pasākumu_līmenis!I130+Pasākumu_līmenis!I131+Pasākumu_līmenis!I132+Pasākumu_līmenis!I133+Pasākumu_līmenis!I141+Pasākumu_līmenis!I142+Pasākumu_līmenis!I91+Pasākumu_līmenis!I93</f>
        <v>12656878</v>
      </c>
      <c r="F13" s="196">
        <f>Pasākumu_līmenis!J87+Pasākumu_līmenis!J88+Pasākumu_līmenis!J89+Pasākumu_līmenis!J90+Pasākumu_līmenis!J92+Pasākumu_līmenis!J94+Pasākumu_līmenis!J95+Pasākumu_līmenis!J96+Pasākumu_līmenis!J120+Pasākumu_līmenis!J121+Pasākumu_līmenis!J122+Pasākumu_līmenis!J125+Pasākumu_līmenis!J126+Pasākumu_līmenis!J127+Pasākumu_līmenis!J128+Pasākumu_līmenis!J129+Pasākumu_līmenis!J130+Pasākumu_līmenis!J131+Pasākumu_līmenis!J132+Pasākumu_līmenis!J133+Pasākumu_līmenis!J141+Pasākumu_līmenis!J142+Pasākumu_līmenis!J91+Pasākumu_līmenis!J93+Pasākumu_līmenis!J134+Pasākumu_līmenis!J143+Pasākumu_līmenis!J169</f>
        <v>386011400.57999998</v>
      </c>
      <c r="G13" s="197">
        <f t="shared" si="0"/>
        <v>0.98340201092944146</v>
      </c>
      <c r="H13" s="196">
        <f>Pasākumu_līmenis!Q87+Pasākumu_līmenis!Q88+Pasākumu_līmenis!Q89+Pasākumu_līmenis!Q90+Pasākumu_līmenis!Q92+Pasākumu_līmenis!Q94+Pasākumu_līmenis!Q95+Pasākumu_līmenis!Q96+Pasākumu_līmenis!Q120+Pasākumu_līmenis!Q121+Pasākumu_līmenis!Q122+Pasākumu_līmenis!Q125+Pasākumu_līmenis!Q126+Pasākumu_līmenis!Q127+Pasākumu_līmenis!Q128+Pasākumu_līmenis!Q129+Pasākumu_līmenis!Q130+Pasākumu_līmenis!Q131+Pasākumu_līmenis!Q132+Pasākumu_līmenis!Q133+Pasākumu_līmenis!Q141+Pasākumu_līmenis!Q142+Pasākumu_līmenis!Q91+Pasākumu_līmenis!Q93+Pasākumu_līmenis!Q134+Pasākumu_līmenis!Q143+Pasākumu_līmenis!Q169</f>
        <v>386011400.57999998</v>
      </c>
      <c r="I13" s="197">
        <f t="shared" si="1"/>
        <v>0.98340201092944146</v>
      </c>
      <c r="J13" s="196">
        <f>Pasākumu_līmenis!X87+Pasākumu_līmenis!X88+Pasākumu_līmenis!X89+Pasākumu_līmenis!X90+Pasākumu_līmenis!X92+Pasākumu_līmenis!X94+Pasākumu_līmenis!X95+Pasākumu_līmenis!X96+Pasākumu_līmenis!X120+Pasākumu_līmenis!X121+Pasākumu_līmenis!X122+Pasākumu_līmenis!X125+Pasākumu_līmenis!X126+Pasākumu_līmenis!X127+Pasākumu_līmenis!X128+Pasākumu_līmenis!X129+Pasākumu_līmenis!X130+Pasākumu_līmenis!X131+Pasākumu_līmenis!X132+Pasākumu_līmenis!X133+Pasākumu_līmenis!X141+Pasākumu_līmenis!X142+Pasākumu_līmenis!X91+Pasākumu_līmenis!X93+Pasākumu_līmenis!X134+Pasākumu_līmenis!X143+Pasākumu_līmenis!X169</f>
        <v>386011400.57999998</v>
      </c>
      <c r="K13" s="197">
        <f t="shared" si="2"/>
        <v>0.98340201092944146</v>
      </c>
      <c r="L13" s="196">
        <f>Pasākumu_līmenis!AE87+Pasākumu_līmenis!AE88+Pasākumu_līmenis!AE89+Pasākumu_līmenis!AE90+Pasākumu_līmenis!AE92+Pasākumu_līmenis!AE94+Pasākumu_līmenis!AE95+Pasākumu_līmenis!AE96+Pasākumu_līmenis!AE120+Pasākumu_līmenis!AE121+Pasākumu_līmenis!AE122+Pasākumu_līmenis!AE125+Pasākumu_līmenis!AE126+Pasākumu_līmenis!AE127+Pasākumu_līmenis!AE128+Pasākumu_līmenis!AE129+Pasākumu_līmenis!AE130+Pasākumu_līmenis!AE131+Pasākumu_līmenis!AE132+Pasākumu_līmenis!AE133+Pasākumu_līmenis!AE141+Pasākumu_līmenis!AE142+Pasākumu_līmenis!AE91+Pasākumu_līmenis!AE93+Pasākumu_līmenis!AE134+Pasākumu_līmenis!AE143+Pasākumu_līmenis!AE169</f>
        <v>385198321.14999998</v>
      </c>
      <c r="M13" s="198">
        <f t="shared" si="3"/>
        <v>0.98133061110729647</v>
      </c>
      <c r="N13" s="62"/>
      <c r="O13" s="62"/>
      <c r="P13" s="62"/>
      <c r="Q13" s="62"/>
      <c r="R13" s="62"/>
      <c r="S13" s="62"/>
      <c r="U13" s="62"/>
      <c r="V13" s="62"/>
      <c r="W13" s="62"/>
      <c r="X13" s="62"/>
      <c r="Y13" s="62"/>
      <c r="Z13" s="62"/>
      <c r="AA13" s="62"/>
    </row>
    <row r="14" spans="1:27" ht="21.75" customHeight="1" x14ac:dyDescent="0.3">
      <c r="A14" s="68" t="s">
        <v>347</v>
      </c>
      <c r="B14" s="196">
        <f>Pasākumu_līmenis!F27+Pasākumu_līmenis!F53+Pasākumu_līmenis!F54+Pasākumu_līmenis!F55+Pasākumu_līmenis!F73+Pasākumu_līmenis!F74+Pasākumu_līmenis!F75+Pasākumu_līmenis!F76+Pasākumu_līmenis!F77+Pasākumu_līmenis!F78+Pasākumu_līmenis!F79+Pasākumu_līmenis!F83+Pasākumu_līmenis!F84+Pasākumu_līmenis!F85+Pasākumu_līmenis!F80+Pasākumu_līmenis!F81+Pasākumu_līmenis!F82</f>
        <v>1215646611</v>
      </c>
      <c r="C14" s="196">
        <f>Pasākumu_līmenis!G27+Pasākumu_līmenis!G53+Pasākumu_līmenis!G54+Pasākumu_līmenis!G55+Pasākumu_līmenis!G73+Pasākumu_līmenis!G74+Pasākumu_līmenis!G75+Pasākumu_līmenis!G76+Pasākumu_līmenis!G77+Pasākumu_līmenis!G78+Pasākumu_līmenis!G79+Pasākumu_līmenis!G83+Pasākumu_līmenis!G84+Pasākumu_līmenis!G85+Pasākumu_līmenis!G80+Pasākumu_līmenis!G81+Pasākumu_līmenis!G82</f>
        <v>0</v>
      </c>
      <c r="D14" s="196">
        <f t="shared" si="4"/>
        <v>1215646611</v>
      </c>
      <c r="E14" s="196">
        <f>Pasākumu_līmenis!I27+Pasākumu_līmenis!I53+Pasākumu_līmenis!I54+Pasākumu_līmenis!I55+Pasākumu_līmenis!I73+Pasākumu_līmenis!I74+Pasākumu_līmenis!I75+Pasākumu_līmenis!I76+Pasākumu_līmenis!I77+Pasākumu_līmenis!I78+Pasākumu_līmenis!I79+Pasākumu_līmenis!I83+Pasākumu_līmenis!I84+Pasākumu_līmenis!I85</f>
        <v>76768591.420935005</v>
      </c>
      <c r="F14" s="196">
        <f>Pasākumu_līmenis!J27+Pasākumu_līmenis!J53+Pasākumu_līmenis!J54+Pasākumu_līmenis!J55+Pasākumu_līmenis!J73+Pasākumu_līmenis!J74+Pasākumu_līmenis!J75+Pasākumu_līmenis!J76+Pasākumu_līmenis!J77+Pasākumu_līmenis!J78+Pasākumu_līmenis!J79+Pasākumu_līmenis!J83+Pasākumu_līmenis!J84+Pasākumu_līmenis!J85+Pasākumu_līmenis!J80+Pasākumu_līmenis!J81+Pasākumu_līmenis!J82</f>
        <v>1113266512.7500002</v>
      </c>
      <c r="G14" s="197">
        <f t="shared" si="0"/>
        <v>0.91578136497597673</v>
      </c>
      <c r="H14" s="196">
        <f>Pasākumu_līmenis!Q27+Pasākumu_līmenis!Q53+Pasākumu_līmenis!Q54+Pasākumu_līmenis!Q55+Pasākumu_līmenis!Q73+Pasākumu_līmenis!Q74+Pasākumu_līmenis!Q75+Pasākumu_līmenis!Q76+Pasākumu_līmenis!Q77+Pasākumu_līmenis!Q78+Pasākumu_līmenis!Q79+Pasākumu_līmenis!Q83+Pasākumu_līmenis!Q84+Pasākumu_līmenis!Q85+Pasākumu_līmenis!Q80+Pasākumu_līmenis!Q81+Pasākumu_līmenis!Q82</f>
        <v>1113266512.7500002</v>
      </c>
      <c r="I14" s="197">
        <f t="shared" si="1"/>
        <v>0.91578136497597673</v>
      </c>
      <c r="J14" s="196">
        <f>Pasākumu_līmenis!X27+Pasākumu_līmenis!X53+Pasākumu_līmenis!X54+Pasākumu_līmenis!X55+Pasākumu_līmenis!X73+Pasākumu_līmenis!X74+Pasākumu_līmenis!X75+Pasākumu_līmenis!X76+Pasākumu_līmenis!X77+Pasākumu_līmenis!X78+Pasākumu_līmenis!X79+Pasākumu_līmenis!X83+Pasākumu_līmenis!X84+Pasākumu_līmenis!X85+Pasākumu_līmenis!X80+Pasākumu_līmenis!X81+Pasākumu_līmenis!X82</f>
        <v>1113266512.7500002</v>
      </c>
      <c r="K14" s="197">
        <f t="shared" si="2"/>
        <v>0.91578136497597673</v>
      </c>
      <c r="L14" s="196">
        <f>Pasākumu_līmenis!AE27+Pasākumu_līmenis!AE53+Pasākumu_līmenis!AE54+Pasākumu_līmenis!AE55+Pasākumu_līmenis!AE73+Pasākumu_līmenis!AE74+Pasākumu_līmenis!AE75+Pasākumu_līmenis!AE76+Pasākumu_līmenis!AE77+Pasākumu_līmenis!AE78+Pasākumu_līmenis!AE79+Pasākumu_līmenis!AE83+Pasākumu_līmenis!AE84+Pasākumu_līmenis!AE85+Pasākumu_līmenis!AE80+Pasākumu_līmenis!AE81+Pasākumu_līmenis!AE82</f>
        <v>1114375185.5400002</v>
      </c>
      <c r="M14" s="198">
        <f t="shared" si="3"/>
        <v>0.91669336751023955</v>
      </c>
      <c r="N14" s="62"/>
      <c r="O14" s="62"/>
      <c r="P14" s="62"/>
      <c r="Q14" s="62"/>
      <c r="R14" s="62"/>
      <c r="S14" s="62"/>
      <c r="U14" s="62"/>
      <c r="V14" s="62"/>
      <c r="W14" s="62"/>
      <c r="X14" s="62"/>
      <c r="Y14" s="62"/>
      <c r="Z14" s="62"/>
      <c r="AA14" s="62"/>
    </row>
    <row r="15" spans="1:27" ht="21.75" customHeight="1" x14ac:dyDescent="0.3">
      <c r="A15" s="68" t="s">
        <v>353</v>
      </c>
      <c r="B15" s="196">
        <f>Pasākumu_līmenis!F43+Pasākumu_līmenis!F123+Pasākumu_līmenis!F124</f>
        <v>17490523</v>
      </c>
      <c r="C15" s="196">
        <f>Pasākumu_līmenis!G43+Pasākumu_līmenis!G123+Pasākumu_līmenis!G124</f>
        <v>0</v>
      </c>
      <c r="D15" s="196">
        <f t="shared" si="4"/>
        <v>17490523</v>
      </c>
      <c r="E15" s="196">
        <f>Pasākumu_līmenis!I43+Pasākumu_līmenis!I123+Pasākumu_līmenis!I124</f>
        <v>1087651</v>
      </c>
      <c r="F15" s="196">
        <f>Pasākumu_līmenis!J43+Pasākumu_līmenis!J123+Pasākumu_līmenis!J124</f>
        <v>17479673.399999999</v>
      </c>
      <c r="G15" s="197">
        <f t="shared" si="0"/>
        <v>0.99937968693103107</v>
      </c>
      <c r="H15" s="196">
        <f>Pasākumu_līmenis!Q43+Pasākumu_līmenis!Q123+Pasākumu_līmenis!Q124</f>
        <v>17479673.399999999</v>
      </c>
      <c r="I15" s="197">
        <f t="shared" si="1"/>
        <v>0.99937968693103107</v>
      </c>
      <c r="J15" s="196">
        <f>Pasākumu_līmenis!X43+Pasākumu_līmenis!X123+Pasākumu_līmenis!X124</f>
        <v>17479673.399999999</v>
      </c>
      <c r="K15" s="197">
        <f t="shared" si="2"/>
        <v>0.99937968693103107</v>
      </c>
      <c r="L15" s="196">
        <f>Pasākumu_līmenis!AE43+Pasākumu_līmenis!AE123+Pasākumu_līmenis!AE124</f>
        <v>17479673.399999999</v>
      </c>
      <c r="M15" s="198">
        <f t="shared" si="3"/>
        <v>0.99937968693103107</v>
      </c>
      <c r="N15" s="62"/>
      <c r="O15" s="62"/>
      <c r="P15" s="62"/>
      <c r="Q15" s="62"/>
      <c r="R15" s="62"/>
      <c r="S15" s="62"/>
      <c r="U15" s="62"/>
      <c r="V15" s="62"/>
      <c r="W15" s="62"/>
      <c r="X15" s="62"/>
      <c r="Y15" s="62"/>
      <c r="Z15" s="62"/>
      <c r="AA15" s="62"/>
    </row>
    <row r="16" spans="1:27" ht="21.75" customHeight="1" x14ac:dyDescent="0.3">
      <c r="A16" s="68" t="s">
        <v>350</v>
      </c>
      <c r="B16" s="196">
        <f>Pasākumu_līmenis!F28+Pasākumu_līmenis!F29+Pasākumu_līmenis!F42+Pasākumu_līmenis!F51+Pasākumu_līmenis!F57+Pasākumu_līmenis!F59+Pasākumu_līmenis!F60+Pasākumu_līmenis!F62+Pasākumu_līmenis!F63+Pasākumu_līmenis!F64+Pasākumu_līmenis!F65+Pasākumu_līmenis!F71+Pasākumu_līmenis!F61+Pasākumu_līmenis!F66+Pasākumu_līmenis!F70+SUM(Pasākumu_līmenis!F161:F162)+Pasākumu_līmenis!F67</f>
        <v>745241643</v>
      </c>
      <c r="C16" s="196">
        <f>Pasākumu_līmenis!G28+Pasākumu_līmenis!G29+Pasākumu_līmenis!G42+Pasākumu_līmenis!G51+Pasākumu_līmenis!G57+Pasākumu_līmenis!G59+Pasākumu_līmenis!G60+Pasākumu_līmenis!G62+Pasākumu_līmenis!G63+Pasākumu_līmenis!G64+Pasākumu_līmenis!G65+Pasākumu_līmenis!G71+Pasākumu_līmenis!G61+Pasākumu_līmenis!G66+Pasākumu_līmenis!G70+SUM(Pasākumu_līmenis!G161:G162)+Pasākumu_līmenis!G67</f>
        <v>46914125</v>
      </c>
      <c r="D16" s="196">
        <f t="shared" si="4"/>
        <v>792155768</v>
      </c>
      <c r="E16" s="196">
        <f>Pasākumu_līmenis!I28+Pasākumu_līmenis!I29+Pasākumu_līmenis!I42+Pasākumu_līmenis!I51+Pasākumu_līmenis!I57+Pasākumu_līmenis!I59+Pasākumu_līmenis!I60+Pasākumu_līmenis!I62+Pasākumu_līmenis!I63+Pasākumu_līmenis!I64+Pasākumu_līmenis!I65+Pasākumu_līmenis!I71+Pasākumu_līmenis!I61+Pasākumu_līmenis!I66+Pasākumu_līmenis!I70</f>
        <v>32767970.477623045</v>
      </c>
      <c r="F16" s="196">
        <f>Pasākumu_līmenis!J28+Pasākumu_līmenis!J29+Pasākumu_līmenis!J42+Pasākumu_līmenis!J51+Pasākumu_līmenis!J57+Pasākumu_līmenis!J59+Pasākumu_līmenis!J60+Pasākumu_līmenis!J62+Pasākumu_līmenis!J63+Pasākumu_līmenis!J64+Pasākumu_līmenis!J65+Pasākumu_līmenis!J71+Pasākumu_līmenis!J61+Pasākumu_līmenis!J66+Pasākumu_līmenis!J70+SUM(Pasākumu_līmenis!J161:J162)+Pasākumu_līmenis!J67</f>
        <v>737125548.18000007</v>
      </c>
      <c r="G16" s="197">
        <f t="shared" si="0"/>
        <v>0.98910944537757139</v>
      </c>
      <c r="H16" s="196">
        <f>Pasākumu_līmenis!Q28+Pasākumu_līmenis!Q29+Pasākumu_līmenis!Q42+Pasākumu_līmenis!Q51+Pasākumu_līmenis!Q57+Pasākumu_līmenis!Q59+Pasākumu_līmenis!Q60+Pasākumu_līmenis!Q62+Pasākumu_līmenis!Q63+Pasākumu_līmenis!Q66+Pasākumu_līmenis!Q64+Pasākumu_līmenis!Q65+Pasākumu_līmenis!Q71+Pasākumu_līmenis!Q61+Pasākumu_līmenis!Q70+SUM(Pasākumu_līmenis!Q161:Q162)+Pasākumu_līmenis!Q67</f>
        <v>737125548.18000007</v>
      </c>
      <c r="I16" s="197">
        <f t="shared" si="1"/>
        <v>0.98910944537757139</v>
      </c>
      <c r="J16" s="196">
        <f>Pasākumu_līmenis!X28+Pasākumu_līmenis!X29+Pasākumu_līmenis!X42+Pasākumu_līmenis!X51+Pasākumu_līmenis!X57+Pasākumu_līmenis!X59+Pasākumu_līmenis!X60+Pasākumu_līmenis!X62+Pasākumu_līmenis!X63+Pasākumu_līmenis!X66+Pasākumu_līmenis!X64+Pasākumu_līmenis!X65+Pasākumu_līmenis!X71+Pasākumu_līmenis!X61+Pasākumu_līmenis!X70+SUM(Pasākumu_līmenis!X161:X162)+Pasākumu_līmenis!X67</f>
        <v>737125548.18000007</v>
      </c>
      <c r="K16" s="197">
        <f t="shared" si="2"/>
        <v>0.98910944537757139</v>
      </c>
      <c r="L16" s="196">
        <f>Pasākumu_līmenis!AE28+Pasākumu_līmenis!AE29+Pasākumu_līmenis!AE42+Pasākumu_līmenis!AE51+Pasākumu_līmenis!AE57+Pasākumu_līmenis!AE59+Pasākumu_līmenis!AE60+Pasākumu_līmenis!AE62+Pasākumu_līmenis!AE63+Pasākumu_līmenis!AE66+Pasākumu_līmenis!AE64+Pasākumu_līmenis!AE65+Pasākumu_līmenis!AE71+Pasākumu_līmenis!AE61+Pasākumu_līmenis!AE70+SUM(Pasākumu_līmenis!AE161:AE162)+Pasākumu_līmenis!AE67</f>
        <v>736807876.96000004</v>
      </c>
      <c r="M16" s="198">
        <f t="shared" si="3"/>
        <v>0.98868317931610816</v>
      </c>
      <c r="N16" s="62"/>
      <c r="O16" s="62"/>
      <c r="P16" s="62"/>
      <c r="Q16" s="62"/>
      <c r="R16" s="62"/>
      <c r="S16" s="62"/>
      <c r="U16" s="62"/>
      <c r="V16" s="62"/>
      <c r="W16" s="62"/>
      <c r="X16" s="62"/>
      <c r="Y16" s="62"/>
      <c r="Z16" s="62"/>
      <c r="AA16" s="62"/>
    </row>
    <row r="17" spans="1:27" ht="21.75" customHeight="1" x14ac:dyDescent="0.3">
      <c r="A17" s="68" t="s">
        <v>354</v>
      </c>
      <c r="B17" s="196">
        <f>Pasākumu_līmenis!F44+Pasākumu_līmenis!F45+Pasākumu_līmenis!F46</f>
        <v>8569373</v>
      </c>
      <c r="C17" s="196">
        <f>Pasākumu_līmenis!G44+Pasākumu_līmenis!G45</f>
        <v>0</v>
      </c>
      <c r="D17" s="196">
        <f>B17+C17</f>
        <v>8569373</v>
      </c>
      <c r="E17" s="196">
        <f>Pasākumu_līmenis!I44+Pasākumu_līmenis!I45+Pasākumu_līmenis!I46</f>
        <v>532888.16757117736</v>
      </c>
      <c r="F17" s="196">
        <f>Pasākumu_līmenis!J44+Pasākumu_līmenis!J45+Pasākumu_līmenis!J46</f>
        <v>8501012.1500000004</v>
      </c>
      <c r="G17" s="197">
        <f t="shared" si="0"/>
        <v>0.99202265439956927</v>
      </c>
      <c r="H17" s="196">
        <f>Pasākumu_līmenis!Q44+Pasākumu_līmenis!Q45+Pasākumu_līmenis!Q46</f>
        <v>8501012.1500000004</v>
      </c>
      <c r="I17" s="197">
        <f t="shared" si="1"/>
        <v>0.99202265439956927</v>
      </c>
      <c r="J17" s="196">
        <f>Pasākumu_līmenis!X44+Pasākumu_līmenis!X45+Pasākumu_līmenis!X46</f>
        <v>8501012.1500000004</v>
      </c>
      <c r="K17" s="197">
        <f t="shared" si="2"/>
        <v>0.99202265439956927</v>
      </c>
      <c r="L17" s="196">
        <f>Pasākumu_līmenis!AE44+Pasākumu_līmenis!AE45+Pasākumu_līmenis!AE46</f>
        <v>8501012.1500000004</v>
      </c>
      <c r="M17" s="198">
        <f t="shared" si="3"/>
        <v>0.99202265439956927</v>
      </c>
      <c r="N17" s="62"/>
      <c r="O17" s="62"/>
      <c r="P17" s="62"/>
      <c r="Q17" s="62"/>
      <c r="R17" s="62"/>
      <c r="S17" s="62"/>
      <c r="U17" s="62"/>
      <c r="V17" s="62"/>
      <c r="W17" s="62"/>
      <c r="X17" s="62"/>
      <c r="Y17" s="62"/>
      <c r="Z17" s="62"/>
      <c r="AA17" s="62"/>
    </row>
    <row r="18" spans="1:27" ht="21.75" customHeight="1" x14ac:dyDescent="0.3">
      <c r="A18" s="68" t="s">
        <v>352</v>
      </c>
      <c r="B18" s="196">
        <f>Pasākumu_līmenis!F135+Pasākumu_līmenis!F136+Pasākumu_līmenis!F137+Pasākumu_līmenis!F138+Pasākumu_līmenis!F139+Pasākumu_līmenis!F144+Pasākumu_līmenis!F140+Pasākumu_līmenis!F164+Pasākumu_līmenis!F170</f>
        <v>346150932</v>
      </c>
      <c r="C18" s="196">
        <f>Pasākumu_līmenis!G135+Pasākumu_līmenis!G136+Pasākumu_līmenis!G137+Pasākumu_līmenis!G138+Pasākumu_līmenis!G139+Pasākumu_līmenis!G144+Pasākumu_līmenis!G140+Pasākumu_līmenis!G164+Pasākumu_līmenis!G170</f>
        <v>14530393</v>
      </c>
      <c r="D18" s="196">
        <f t="shared" si="4"/>
        <v>360681325</v>
      </c>
      <c r="E18" s="196">
        <f>Pasākumu_līmenis!I135+Pasākumu_līmenis!I136+Pasākumu_līmenis!I137+Pasākumu_līmenis!I138+Pasākumu_līmenis!I139+Pasākumu_līmenis!I144</f>
        <v>9279588</v>
      </c>
      <c r="F18" s="196">
        <f>Pasākumu_līmenis!J135+Pasākumu_līmenis!J136+Pasākumu_līmenis!J137+Pasākumu_līmenis!J138+Pasākumu_līmenis!J139+Pasākumu_līmenis!J144+Pasākumu_līmenis!J140+Pasākumu_līmenis!J164+Pasākumu_līmenis!J170</f>
        <v>329439163.95000005</v>
      </c>
      <c r="G18" s="197">
        <f t="shared" si="0"/>
        <v>0.95172115252314282</v>
      </c>
      <c r="H18" s="196">
        <f>Pasākumu_līmenis!Q135+Pasākumu_līmenis!Q136+Pasākumu_līmenis!Q137+Pasākumu_līmenis!Q138+Pasākumu_līmenis!Q139+Pasākumu_līmenis!Q144+Pasākumu_līmenis!Q140+Pasākumu_līmenis!Q164+Pasākumu_līmenis!Q170</f>
        <v>329439163.95000005</v>
      </c>
      <c r="I18" s="197">
        <f t="shared" si="1"/>
        <v>0.95172115252314282</v>
      </c>
      <c r="J18" s="196">
        <f>Pasākumu_līmenis!X135+Pasākumu_līmenis!X136+Pasākumu_līmenis!X137+Pasākumu_līmenis!X138+Pasākumu_līmenis!X139+Pasākumu_līmenis!X144+Pasākumu_līmenis!X140+Pasākumu_līmenis!X164+Pasākumu_līmenis!X170</f>
        <v>329439163.95000005</v>
      </c>
      <c r="K18" s="197">
        <f t="shared" si="2"/>
        <v>0.95172115252314282</v>
      </c>
      <c r="L18" s="196">
        <f>Pasākumu_līmenis!AE135+Pasākumu_līmenis!AE136+Pasākumu_līmenis!AE137+Pasākumu_līmenis!AE138+Pasākumu_līmenis!AE139+Pasākumu_līmenis!AE144+Pasākumu_līmenis!AE140+Pasākumu_līmenis!AE164+Pasākumu_līmenis!AE170</f>
        <v>328499391.27999997</v>
      </c>
      <c r="M18" s="198">
        <f t="shared" si="3"/>
        <v>0.94900623084267755</v>
      </c>
      <c r="N18" s="62"/>
      <c r="O18" s="62"/>
      <c r="P18" s="62"/>
      <c r="Q18" s="62"/>
      <c r="R18" s="62"/>
      <c r="S18" s="62"/>
      <c r="U18" s="62"/>
      <c r="V18" s="62"/>
      <c r="W18" s="62"/>
      <c r="X18" s="62"/>
      <c r="Y18" s="62"/>
      <c r="Z18" s="62"/>
      <c r="AA18" s="62"/>
    </row>
    <row r="19" spans="1:27" ht="21.75" customHeight="1" thickBot="1" x14ac:dyDescent="0.35">
      <c r="A19" s="69" t="s">
        <v>400</v>
      </c>
      <c r="B19" s="199">
        <f>Pasākumu_līmenis!F58</f>
        <v>0</v>
      </c>
      <c r="C19" s="199">
        <f>Pasākumu_līmenis!G58</f>
        <v>36881516</v>
      </c>
      <c r="D19" s="199">
        <f t="shared" si="4"/>
        <v>36881516</v>
      </c>
      <c r="E19" s="199">
        <f>Pasākumu_līmenis!I58</f>
        <v>2249596.9460619101</v>
      </c>
      <c r="F19" s="199">
        <f>Pasākumu_līmenis!J58</f>
        <v>36460624.560000002</v>
      </c>
      <c r="G19" s="200">
        <f>IFERROR(F19/B19,1)</f>
        <v>1</v>
      </c>
      <c r="H19" s="199">
        <f>Pasākumu_līmenis!Q58</f>
        <v>36460624.560000002</v>
      </c>
      <c r="I19" s="200">
        <f>IFERROR(H19/B19,1)</f>
        <v>1</v>
      </c>
      <c r="J19" s="199">
        <f>Pasākumu_līmenis!X58</f>
        <v>36460624.560000002</v>
      </c>
      <c r="K19" s="200">
        <f>IFERROR(J19/B19,1)</f>
        <v>1</v>
      </c>
      <c r="L19" s="199">
        <f>Pasākumu_līmenis!AE58</f>
        <v>36460624.530000001</v>
      </c>
      <c r="M19" s="201">
        <f>IFERROR(L19/B19,1)</f>
        <v>1</v>
      </c>
      <c r="N19" s="62"/>
      <c r="O19" s="62"/>
      <c r="P19" s="62"/>
      <c r="Q19" s="62"/>
      <c r="R19" s="62"/>
      <c r="S19" s="62"/>
      <c r="U19" s="62"/>
      <c r="V19" s="62"/>
      <c r="W19" s="62"/>
      <c r="X19" s="62"/>
      <c r="Y19" s="62"/>
      <c r="Z19" s="62"/>
      <c r="AA19" s="62"/>
    </row>
    <row r="20" spans="1:27" ht="5.25" customHeight="1" thickBot="1" x14ac:dyDescent="0.35">
      <c r="A20" s="85"/>
      <c r="B20" s="86"/>
      <c r="C20" s="86"/>
      <c r="D20" s="86"/>
      <c r="E20" s="86"/>
      <c r="F20" s="86"/>
      <c r="G20" s="86"/>
      <c r="H20" s="86"/>
      <c r="I20" s="86"/>
      <c r="J20" s="86"/>
      <c r="K20" s="86"/>
      <c r="L20" s="86"/>
      <c r="M20" s="87"/>
      <c r="O20" s="62"/>
      <c r="P20" s="62"/>
      <c r="Q20" s="62"/>
      <c r="R20" s="62"/>
      <c r="S20" s="62"/>
      <c r="U20" s="62"/>
      <c r="V20" s="62"/>
      <c r="W20" s="62"/>
      <c r="X20" s="62"/>
      <c r="Y20" s="62"/>
      <c r="Z20" s="62"/>
      <c r="AA20" s="62"/>
    </row>
    <row r="21" spans="1:27" ht="30.75" customHeight="1" x14ac:dyDescent="0.3">
      <c r="A21" s="79" t="s">
        <v>346</v>
      </c>
      <c r="B21" s="70">
        <f>SUM(B22:B27)</f>
        <v>675925610</v>
      </c>
      <c r="C21" s="70">
        <f>SUM(C22:C27)</f>
        <v>1589796</v>
      </c>
      <c r="D21" s="70">
        <f t="shared" si="4"/>
        <v>677515406</v>
      </c>
      <c r="E21" s="70">
        <f>SUM(E22:E27)</f>
        <v>18276798.709648196</v>
      </c>
      <c r="F21" s="70">
        <f>SUM(F22:F27)</f>
        <v>667741575.71999991</v>
      </c>
      <c r="G21" s="202">
        <f t="shared" si="0"/>
        <v>0.98789210800874949</v>
      </c>
      <c r="H21" s="70">
        <f>SUM(H22:H27)</f>
        <v>667741575.71999991</v>
      </c>
      <c r="I21" s="202">
        <f t="shared" si="1"/>
        <v>0.98789210800874949</v>
      </c>
      <c r="J21" s="70">
        <f>SUM(J22:J27)</f>
        <v>667741575.71999991</v>
      </c>
      <c r="K21" s="202">
        <f t="shared" si="2"/>
        <v>0.98789210800874949</v>
      </c>
      <c r="L21" s="70">
        <f>SUM(L22:L27)</f>
        <v>666918626.20999992</v>
      </c>
      <c r="M21" s="203">
        <f t="shared" ref="M21:M44" si="5">L21/B21</f>
        <v>0.98667459309612471</v>
      </c>
      <c r="N21" s="63"/>
      <c r="O21" s="63"/>
      <c r="P21" s="63"/>
      <c r="Q21" s="63"/>
      <c r="S21" s="63"/>
      <c r="T21" s="63"/>
      <c r="U21" s="63"/>
      <c r="V21" s="63"/>
      <c r="W21" s="63"/>
      <c r="Y21" s="63"/>
      <c r="Z21" s="63"/>
    </row>
    <row r="22" spans="1:27" ht="30.75" customHeight="1" x14ac:dyDescent="0.3">
      <c r="A22" s="71" t="s">
        <v>356</v>
      </c>
      <c r="B22" s="204">
        <f>Pasākumu_līmenis!F146+Pasākumu_līmenis!F147+Pasākumu_līmenis!F148</f>
        <v>21420040</v>
      </c>
      <c r="C22" s="204">
        <f>Pasākumu_līmenis!G146+Pasākumu_līmenis!G147+Pasākumu_līmenis!G148</f>
        <v>0</v>
      </c>
      <c r="D22" s="204">
        <f t="shared" si="4"/>
        <v>21420040</v>
      </c>
      <c r="E22" s="204">
        <f>Pasākumu_līmenis!I146+Pasākumu_līmenis!I147+Pasākumu_līmenis!I148</f>
        <v>0</v>
      </c>
      <c r="F22" s="204">
        <f>Pasākumu_līmenis!J146+Pasākumu_līmenis!J147+Pasākumu_līmenis!J148</f>
        <v>20958161.16</v>
      </c>
      <c r="G22" s="205">
        <f t="shared" si="0"/>
        <v>0.97843706921182216</v>
      </c>
      <c r="H22" s="204">
        <f>Pasākumu_līmenis!Q146+Pasākumu_līmenis!Q147+Pasākumu_līmenis!Q148</f>
        <v>20958161.16</v>
      </c>
      <c r="I22" s="205">
        <f t="shared" si="1"/>
        <v>0.97843706921182216</v>
      </c>
      <c r="J22" s="204">
        <f>Pasākumu_līmenis!X146+Pasākumu_līmenis!X147+Pasākumu_līmenis!X148</f>
        <v>20958161.16</v>
      </c>
      <c r="K22" s="205">
        <f t="shared" si="2"/>
        <v>0.97843706921182216</v>
      </c>
      <c r="L22" s="204">
        <f>Pasākumu_līmenis!AE146+Pasākumu_līmenis!AE147+Pasākumu_līmenis!AE148</f>
        <v>20958105.09</v>
      </c>
      <c r="M22" s="206">
        <f t="shared" si="5"/>
        <v>0.97843445156965159</v>
      </c>
      <c r="N22" s="64"/>
      <c r="O22" s="64"/>
      <c r="P22" s="64"/>
      <c r="Q22" s="64"/>
      <c r="S22" s="64"/>
      <c r="T22" s="64"/>
      <c r="U22" s="64"/>
      <c r="V22" s="64"/>
      <c r="W22" s="64"/>
      <c r="Y22" s="64"/>
      <c r="Z22" s="64"/>
    </row>
    <row r="23" spans="1:27" ht="18.75" x14ac:dyDescent="0.3">
      <c r="A23" s="72" t="s">
        <v>348</v>
      </c>
      <c r="B23" s="196">
        <f>Pasākumu_līmenis!F102+Pasākumu_līmenis!F103+Pasākumu_līmenis!F104+Pasākumu_līmenis!F105+Pasākumu_līmenis!F106+Pasākumu_līmenis!F107+Pasākumu_līmenis!F108+Pasākumu_līmenis!F109+Pasākumu_līmenis!F110+Pasākumu_līmenis!F111+Pasākumu_līmenis!F112+Pasākumu_līmenis!F113+Pasākumu_līmenis!F114+Pasākumu_līmenis!F115+Pasākumu_līmenis!F116+Pasākumu_līmenis!F117+Pasākumu_līmenis!F118</f>
        <v>251868434</v>
      </c>
      <c r="C23" s="196">
        <f>Pasākumu_līmenis!G102+Pasākumu_līmenis!G103+Pasākumu_līmenis!G104+Pasākumu_līmenis!G105+Pasākumu_līmenis!G106+Pasākumu_līmenis!G107+Pasākumu_līmenis!G108+Pasākumu_līmenis!G109+Pasākumu_līmenis!G110+Pasākumu_līmenis!G111+Pasākumu_līmenis!G112+Pasākumu_līmenis!G113+Pasākumu_līmenis!G114+Pasākumu_līmenis!G115+Pasākumu_līmenis!G116+Pasākumu_līmenis!G117+Pasākumu_līmenis!G118</f>
        <v>0</v>
      </c>
      <c r="D23" s="196">
        <f t="shared" si="4"/>
        <v>251868434</v>
      </c>
      <c r="E23" s="196">
        <f>Pasākumu_līmenis!I102+Pasākumu_līmenis!I103+Pasākumu_līmenis!I104+Pasākumu_līmenis!I105+Pasākumu_līmenis!I106+Pasākumu_līmenis!I107+Pasākumu_līmenis!I108+Pasākumu_līmenis!I109+Pasākumu_līmenis!I110+Pasākumu_līmenis!I111+Pasākumu_līmenis!I112+Pasākumu_līmenis!I113+Pasākumu_līmenis!I114+Pasākumu_līmenis!I115+Pasākumu_līmenis!I116+Pasākumu_līmenis!I117+Pasākumu_līmenis!I118</f>
        <v>6514898.5420770217</v>
      </c>
      <c r="F23" s="196">
        <f>Pasākumu_līmenis!J102+Pasākumu_līmenis!J103+Pasākumu_līmenis!J104+Pasākumu_līmenis!J105+Pasākumu_līmenis!J106+Pasākumu_līmenis!J107+Pasākumu_līmenis!J108+Pasākumu_līmenis!J109+Pasākumu_līmenis!J110+Pasākumu_līmenis!J111+Pasākumu_līmenis!J112+Pasākumu_līmenis!J113+Pasākumu_līmenis!J114+Pasākumu_līmenis!J115+Pasākumu_līmenis!J116+Pasākumu_līmenis!J117+Pasākumu_līmenis!J118</f>
        <v>246633136.33999997</v>
      </c>
      <c r="G23" s="197">
        <f t="shared" si="0"/>
        <v>0.97921415726116745</v>
      </c>
      <c r="H23" s="196">
        <f>Pasākumu_līmenis!Q102+Pasākumu_līmenis!Q103+Pasākumu_līmenis!Q104+Pasākumu_līmenis!Q105+Pasākumu_līmenis!Q106+Pasākumu_līmenis!Q107+Pasākumu_līmenis!Q108+Pasākumu_līmenis!Q109+Pasākumu_līmenis!Q110+Pasākumu_līmenis!Q111+Pasākumu_līmenis!Q112+Pasākumu_līmenis!Q113+Pasākumu_līmenis!Q114+Pasākumu_līmenis!Q115+Pasākumu_līmenis!Q116+Pasākumu_līmenis!Q117+Pasākumu_līmenis!Q118</f>
        <v>246633136.33999997</v>
      </c>
      <c r="I23" s="197">
        <f t="shared" si="1"/>
        <v>0.97921415726116745</v>
      </c>
      <c r="J23" s="196">
        <f>Pasākumu_līmenis!X102+Pasākumu_līmenis!X103+Pasākumu_līmenis!X104+Pasākumu_līmenis!X105+Pasākumu_līmenis!X106+Pasākumu_līmenis!X107+Pasākumu_līmenis!X108+Pasākumu_līmenis!X109+Pasākumu_līmenis!X110+Pasākumu_līmenis!X111+Pasākumu_līmenis!X112+Pasākumu_līmenis!X113+Pasākumu_līmenis!X114+Pasākumu_līmenis!X115+Pasākumu_līmenis!X116+Pasākumu_līmenis!X117+Pasākumu_līmenis!X118</f>
        <v>246633136.33999997</v>
      </c>
      <c r="K23" s="197">
        <f t="shared" si="2"/>
        <v>0.97921415726116745</v>
      </c>
      <c r="L23" s="196">
        <f>Pasākumu_līmenis!AE102+Pasākumu_līmenis!AE103+Pasākumu_līmenis!AE104+Pasākumu_līmenis!AE105+Pasākumu_līmenis!AE106+Pasākumu_līmenis!AE107+Pasākumu_līmenis!AE108+Pasākumu_līmenis!AE109+Pasākumu_līmenis!AE110+Pasākumu_līmenis!AE111+Pasākumu_līmenis!AE112+Pasākumu_līmenis!AE113+Pasākumu_līmenis!AE114+Pasākumu_līmenis!AE115+Pasākumu_līmenis!AE116+Pasākumu_līmenis!AE117+Pasākumu_līmenis!AE118</f>
        <v>246622767.13999999</v>
      </c>
      <c r="M23" s="198">
        <f t="shared" si="5"/>
        <v>0.97917298814824882</v>
      </c>
      <c r="N23" s="64"/>
      <c r="O23" s="64"/>
      <c r="P23" s="64"/>
      <c r="Q23" s="64"/>
      <c r="S23" s="64"/>
      <c r="T23" s="64"/>
      <c r="U23" s="64"/>
      <c r="V23" s="64"/>
      <c r="W23" s="64"/>
      <c r="Y23" s="64"/>
      <c r="Z23" s="64"/>
    </row>
    <row r="24" spans="1:27" ht="18.75" x14ac:dyDescent="0.3">
      <c r="A24" s="72" t="s">
        <v>351</v>
      </c>
      <c r="B24" s="196">
        <f>Pasākumu_līmenis!F87+Pasākumu_līmenis!F88+Pasākumu_līmenis!F89+Pasākumu_līmenis!F90+Pasākumu_līmenis!F92+Pasākumu_līmenis!F94+Pasākumu_līmenis!F95+Pasākumu_līmenis!F96+Pasākumu_līmenis!F120+Pasākumu_līmenis!F121+Pasākumu_līmenis!F122+Pasākumu_līmenis!F125+Pasākumu_līmenis!F126+Pasākumu_līmenis!F127+Pasākumu_līmenis!F128+Pasākumu_līmenis!F129+Pasākumu_līmenis!F130+Pasākumu_līmenis!F131+Pasākumu_līmenis!F132+Pasākumu_līmenis!F133+Pasākumu_līmenis!F134</f>
        <v>306292330</v>
      </c>
      <c r="C24" s="196">
        <f>Pasākumu_līmenis!G87+Pasākumu_līmenis!G88+Pasākumu_līmenis!G89+Pasākumu_līmenis!G90+Pasākumu_līmenis!G92+Pasākumu_līmenis!G94+Pasākumu_līmenis!G95+Pasākumu_līmenis!G96+Pasākumu_līmenis!G120+Pasākumu_līmenis!G121+Pasākumu_līmenis!G122+Pasākumu_līmenis!G125+Pasākumu_līmenis!G126+Pasākumu_līmenis!G127+Pasākumu_līmenis!G128+Pasākumu_līmenis!G129+Pasākumu_līmenis!G130+Pasākumu_līmenis!G131+Pasākumu_līmenis!G132+Pasākumu_līmenis!G133</f>
        <v>0</v>
      </c>
      <c r="D24" s="196">
        <f t="shared" si="4"/>
        <v>306292330</v>
      </c>
      <c r="E24" s="196">
        <f>Pasākumu_līmenis!I87+Pasākumu_līmenis!I88+Pasākumu_līmenis!I89+Pasākumu_līmenis!I90+Pasākumu_līmenis!I92+Pasākumu_līmenis!I94+Pasākumu_līmenis!I95+Pasākumu_līmenis!I96+Pasākumu_līmenis!I120+Pasākumu_līmenis!I121+Pasākumu_līmenis!I122+Pasākumu_līmenis!I125+Pasākumu_līmenis!I126+Pasākumu_līmenis!I127+Pasākumu_līmenis!I128+Pasākumu_līmenis!I129+Pasākumu_līmenis!I130+Pasākumu_līmenis!I131+Pasākumu_līmenis!I132+Pasākumu_līmenis!I133</f>
        <v>10141361</v>
      </c>
      <c r="F24" s="196">
        <f>Pasākumu_līmenis!J87+Pasākumu_līmenis!J88+Pasākumu_līmenis!J89+Pasākumu_līmenis!J90+Pasākumu_līmenis!J92+Pasākumu_līmenis!J94+Pasākumu_līmenis!J95+Pasākumu_līmenis!J96+Pasākumu_līmenis!J120+Pasākumu_līmenis!J121+Pasākumu_līmenis!J122+Pasākumu_līmenis!J125+Pasākumu_līmenis!J126+Pasākumu_līmenis!J127+Pasākumu_līmenis!J128+Pasākumu_līmenis!J129+Pasākumu_līmenis!J130+Pasākumu_līmenis!J131+Pasākumu_līmenis!J132+Pasākumu_līmenis!J133+Pasākumu_līmenis!J134</f>
        <v>303008036.07999998</v>
      </c>
      <c r="G24" s="197">
        <f t="shared" si="0"/>
        <v>0.9892772570570082</v>
      </c>
      <c r="H24" s="196">
        <f>Pasākumu_līmenis!Q87+Pasākumu_līmenis!Q88+Pasākumu_līmenis!Q89+Pasākumu_līmenis!Q90+Pasākumu_līmenis!Q92+Pasākumu_līmenis!Q94+Pasākumu_līmenis!Q95+Pasākumu_līmenis!Q96+Pasākumu_līmenis!Q120+Pasākumu_līmenis!Q121+Pasākumu_līmenis!Q122+Pasākumu_līmenis!Q125+Pasākumu_līmenis!Q126+Pasākumu_līmenis!Q127+Pasākumu_līmenis!Q128+Pasākumu_līmenis!Q129+Pasākumu_līmenis!Q130+Pasākumu_līmenis!Q131+Pasākumu_līmenis!Q132+Pasākumu_līmenis!Q133+Pasākumu_līmenis!Q134</f>
        <v>303008036.07999998</v>
      </c>
      <c r="I24" s="197">
        <f t="shared" si="1"/>
        <v>0.9892772570570082</v>
      </c>
      <c r="J24" s="196">
        <f>Pasākumu_līmenis!X87+Pasākumu_līmenis!X88+Pasākumu_līmenis!X89+Pasākumu_līmenis!X90+Pasākumu_līmenis!X92+Pasākumu_līmenis!X94+Pasākumu_līmenis!X95+Pasākumu_līmenis!X96+Pasākumu_līmenis!X120+Pasākumu_līmenis!X121+Pasākumu_līmenis!X122+Pasākumu_līmenis!X125+Pasākumu_līmenis!X126+Pasākumu_līmenis!X127+Pasākumu_līmenis!X128+Pasākumu_līmenis!X129+Pasākumu_līmenis!X130+Pasākumu_līmenis!X131+Pasākumu_līmenis!X132+Pasākumu_līmenis!X133+Pasākumu_līmenis!X134</f>
        <v>303008036.07999998</v>
      </c>
      <c r="K24" s="197">
        <f t="shared" si="2"/>
        <v>0.9892772570570082</v>
      </c>
      <c r="L24" s="196">
        <f>Pasākumu_līmenis!AE87+Pasākumu_līmenis!AE88+Pasākumu_līmenis!AE89+Pasākumu_līmenis!AE90+Pasākumu_līmenis!AE92+Pasākumu_līmenis!AE94+Pasākumu_līmenis!AE95+Pasākumu_līmenis!AE96+Pasākumu_līmenis!AE120+Pasākumu_līmenis!AE121+Pasākumu_līmenis!AE122+Pasākumu_līmenis!AE125+Pasākumu_līmenis!AE126+Pasākumu_līmenis!AE127+Pasākumu_līmenis!AE128+Pasākumu_līmenis!AE129+Pasākumu_līmenis!AE130+Pasākumu_līmenis!AE131+Pasākumu_līmenis!AE132+Pasākumu_līmenis!AE133+Pasākumu_līmenis!AE134</f>
        <v>302201080.58999997</v>
      </c>
      <c r="M24" s="198">
        <f t="shared" si="5"/>
        <v>0.98664266450942462</v>
      </c>
      <c r="N24" s="64"/>
      <c r="O24" s="64"/>
      <c r="P24" s="64"/>
      <c r="Q24" s="64"/>
      <c r="S24" s="64"/>
      <c r="T24" s="64"/>
      <c r="U24" s="64"/>
      <c r="V24" s="64"/>
      <c r="W24" s="64"/>
      <c r="Y24" s="64"/>
      <c r="Z24" s="64"/>
    </row>
    <row r="25" spans="1:27" ht="18.75" x14ac:dyDescent="0.3">
      <c r="A25" s="72" t="s">
        <v>353</v>
      </c>
      <c r="B25" s="196">
        <f>Pasākumu_līmenis!F43+Pasākumu_līmenis!F123+Pasākumu_līmenis!F124</f>
        <v>17490523</v>
      </c>
      <c r="C25" s="196">
        <f>Pasākumu_līmenis!G43+Pasākumu_līmenis!G123+Pasākumu_līmenis!G124</f>
        <v>0</v>
      </c>
      <c r="D25" s="196">
        <f t="shared" si="4"/>
        <v>17490523</v>
      </c>
      <c r="E25" s="196">
        <f>Pasākumu_līmenis!I43+Pasākumu_līmenis!I123+Pasākumu_līmenis!I124</f>
        <v>1087651</v>
      </c>
      <c r="F25" s="196">
        <f>Pasākumu_līmenis!J43+Pasākumu_līmenis!J123+Pasākumu_līmenis!J124</f>
        <v>17479673.399999999</v>
      </c>
      <c r="G25" s="197">
        <f t="shared" si="0"/>
        <v>0.99937968693103107</v>
      </c>
      <c r="H25" s="196">
        <f>Pasākumu_līmenis!Q43+Pasākumu_līmenis!Q123+Pasākumu_līmenis!Q124</f>
        <v>17479673.399999999</v>
      </c>
      <c r="I25" s="197">
        <f t="shared" si="1"/>
        <v>0.99937968693103107</v>
      </c>
      <c r="J25" s="196">
        <f>Pasākumu_līmenis!X43+Pasākumu_līmenis!X123+Pasākumu_līmenis!X124</f>
        <v>17479673.399999999</v>
      </c>
      <c r="K25" s="197">
        <f t="shared" si="2"/>
        <v>0.99937968693103107</v>
      </c>
      <c r="L25" s="196">
        <f>Pasākumu_līmenis!AE43+Pasākumu_līmenis!AE123+Pasākumu_līmenis!AE124</f>
        <v>17479673.399999999</v>
      </c>
      <c r="M25" s="198">
        <f t="shared" si="5"/>
        <v>0.99937968693103107</v>
      </c>
      <c r="N25" s="64"/>
      <c r="O25" s="64"/>
      <c r="P25" s="64"/>
      <c r="Q25" s="64"/>
      <c r="S25" s="64"/>
      <c r="T25" s="64"/>
      <c r="U25" s="64"/>
      <c r="V25" s="64"/>
      <c r="W25" s="64"/>
      <c r="Y25" s="64"/>
      <c r="Z25" s="64"/>
    </row>
    <row r="26" spans="1:27" ht="18.75" x14ac:dyDescent="0.3">
      <c r="A26" s="72" t="s">
        <v>354</v>
      </c>
      <c r="B26" s="196">
        <f>Pasākumu_līmenis!F45+Pasākumu_līmenis!F44+Pasākumu_līmenis!F46</f>
        <v>8569373</v>
      </c>
      <c r="C26" s="196">
        <f>Pasākumu_līmenis!G45</f>
        <v>0</v>
      </c>
      <c r="D26" s="196">
        <f>Pasākumu_līmenis!H45+Pasākumu_līmenis!H44+Pasākumu_līmenis!H46</f>
        <v>8569373</v>
      </c>
      <c r="E26" s="196">
        <f>Pasākumu_līmenis!I45+Pasākumu_līmenis!I44+Pasākumu_līmenis!I46</f>
        <v>532888.16757117736</v>
      </c>
      <c r="F26" s="196">
        <f>Pasākumu_līmenis!J45+Pasākumu_līmenis!J44+Pasākumu_līmenis!J46</f>
        <v>8501012.1500000004</v>
      </c>
      <c r="G26" s="197">
        <f t="shared" si="0"/>
        <v>0.99202265439956927</v>
      </c>
      <c r="H26" s="196">
        <f>Pasākumu_līmenis!Q45+Pasākumu_līmenis!Q44+Pasākumu_līmenis!Q46</f>
        <v>8501012.1500000004</v>
      </c>
      <c r="I26" s="197">
        <f t="shared" si="1"/>
        <v>0.99202265439956927</v>
      </c>
      <c r="J26" s="196">
        <f>Pasākumu_līmenis!X45+Pasākumu_līmenis!X44+Pasākumu_līmenis!X46</f>
        <v>8501012.1500000004</v>
      </c>
      <c r="K26" s="197">
        <f t="shared" si="2"/>
        <v>0.99202265439956927</v>
      </c>
      <c r="L26" s="196">
        <f>Pasākumu_līmenis!AE45+Pasākumu_līmenis!AE44+Pasākumu_līmenis!AE46</f>
        <v>8501012.1500000004</v>
      </c>
      <c r="M26" s="198">
        <f t="shared" si="5"/>
        <v>0.99202265439956927</v>
      </c>
      <c r="N26" s="64"/>
      <c r="O26" s="64"/>
      <c r="P26" s="64"/>
      <c r="Q26" s="64"/>
      <c r="S26" s="64"/>
      <c r="T26" s="64"/>
      <c r="U26" s="64"/>
      <c r="V26" s="64"/>
      <c r="W26" s="64"/>
      <c r="Y26" s="64"/>
      <c r="Z26" s="64"/>
    </row>
    <row r="27" spans="1:27" ht="18.75" x14ac:dyDescent="0.3">
      <c r="A27" s="73" t="s">
        <v>352</v>
      </c>
      <c r="B27" s="207">
        <f>Pasākumu_līmenis!F135+Pasākumu_līmenis!F136+Pasākumu_līmenis!F137+Pasākumu_līmenis!F138+Pasākumu_līmenis!F139+Pasākumu_līmenis!F140</f>
        <v>70284910</v>
      </c>
      <c r="C27" s="207">
        <f>Pasākumu_līmenis!G135+Pasākumu_līmenis!G136+Pasākumu_līmenis!G137+Pasākumu_līmenis!G138+Pasākumu_līmenis!G139+Pasākumu_līmenis!G140</f>
        <v>1589796</v>
      </c>
      <c r="D27" s="207">
        <f t="shared" si="4"/>
        <v>71874706</v>
      </c>
      <c r="E27" s="207">
        <f>Pasākumu_līmenis!I135+Pasākumu_līmenis!I136+Pasākumu_līmenis!I137+Pasākumu_līmenis!I138+Pasākumu_līmenis!I139</f>
        <v>0</v>
      </c>
      <c r="F27" s="207">
        <f>Pasākumu_līmenis!J135+Pasākumu_līmenis!J136+Pasākumu_līmenis!J137+Pasākumu_līmenis!J138+Pasākumu_līmenis!J139+Pasākumu_līmenis!J140</f>
        <v>71161556.590000004</v>
      </c>
      <c r="G27" s="208">
        <f t="shared" si="0"/>
        <v>1.0124727568122376</v>
      </c>
      <c r="H27" s="207">
        <f>Pasākumu_līmenis!Q135+Pasākumu_līmenis!Q136+Pasākumu_līmenis!Q137+Pasākumu_līmenis!Q138+Pasākumu_līmenis!Q139+Pasākumu_līmenis!Q140</f>
        <v>71161556.590000004</v>
      </c>
      <c r="I27" s="208">
        <f t="shared" si="1"/>
        <v>1.0124727568122376</v>
      </c>
      <c r="J27" s="207">
        <f>Pasākumu_līmenis!X135+Pasākumu_līmenis!X136+Pasākumu_līmenis!X137+Pasākumu_līmenis!X138+Pasākumu_līmenis!X139+Pasākumu_līmenis!X140</f>
        <v>71161556.590000004</v>
      </c>
      <c r="K27" s="208">
        <f t="shared" si="2"/>
        <v>1.0124727568122376</v>
      </c>
      <c r="L27" s="207">
        <f>Pasākumu_līmenis!AE135+Pasākumu_līmenis!AE136+Pasākumu_līmenis!AE137+Pasākumu_līmenis!AE138+Pasākumu_līmenis!AE139+Pasākumu_līmenis!AE140</f>
        <v>71155987.840000004</v>
      </c>
      <c r="M27" s="209">
        <f t="shared" si="5"/>
        <v>1.0123935257226624</v>
      </c>
      <c r="N27" s="64"/>
      <c r="O27" s="64"/>
      <c r="P27" s="64"/>
      <c r="Q27" s="64"/>
      <c r="S27" s="64"/>
      <c r="T27" s="64"/>
      <c r="U27" s="64"/>
      <c r="V27" s="64"/>
      <c r="W27" s="64"/>
      <c r="Y27" s="64"/>
      <c r="Z27" s="64"/>
    </row>
    <row r="28" spans="1:27" s="65" customFormat="1" ht="20.25" x14ac:dyDescent="0.3">
      <c r="A28" s="80" t="s">
        <v>358</v>
      </c>
      <c r="B28" s="67">
        <f>B29</f>
        <v>29010639</v>
      </c>
      <c r="C28" s="67">
        <f>C29</f>
        <v>0</v>
      </c>
      <c r="D28" s="67">
        <f t="shared" si="4"/>
        <v>29010639</v>
      </c>
      <c r="E28" s="67">
        <f>E29</f>
        <v>0</v>
      </c>
      <c r="F28" s="67">
        <f>F29</f>
        <v>28810403.620000001</v>
      </c>
      <c r="G28" s="210">
        <f t="shared" si="0"/>
        <v>0.99309786385608401</v>
      </c>
      <c r="H28" s="67">
        <f>H29</f>
        <v>28810403.620000001</v>
      </c>
      <c r="I28" s="210">
        <f t="shared" si="1"/>
        <v>0.99309786385608401</v>
      </c>
      <c r="J28" s="67">
        <f>J29</f>
        <v>28810403.620000001</v>
      </c>
      <c r="K28" s="210">
        <f t="shared" si="2"/>
        <v>0.99309786385608401</v>
      </c>
      <c r="L28" s="67">
        <f>L29</f>
        <v>28810403.620000001</v>
      </c>
      <c r="M28" s="211">
        <f t="shared" si="5"/>
        <v>0.99309786385608401</v>
      </c>
      <c r="N28" s="63"/>
      <c r="O28" s="63"/>
      <c r="P28" s="63"/>
      <c r="Q28" s="63"/>
      <c r="S28" s="63"/>
      <c r="T28" s="63"/>
      <c r="U28" s="63"/>
      <c r="V28" s="63"/>
      <c r="W28" s="63"/>
      <c r="Y28" s="63"/>
      <c r="Z28" s="63"/>
    </row>
    <row r="29" spans="1:27" ht="18.75" x14ac:dyDescent="0.3">
      <c r="A29" s="74" t="s">
        <v>351</v>
      </c>
      <c r="B29" s="212">
        <f>Pasākumu_līmenis!F91+Pasākumu_līmenis!F93</f>
        <v>29010639</v>
      </c>
      <c r="C29" s="212">
        <f>Pasākumu_līmenis!G91+Pasākumu_līmenis!G93</f>
        <v>0</v>
      </c>
      <c r="D29" s="212">
        <f t="shared" si="4"/>
        <v>29010639</v>
      </c>
      <c r="E29" s="212">
        <f>Pasākumu_līmenis!I91+Pasākumu_līmenis!I93</f>
        <v>0</v>
      </c>
      <c r="F29" s="212">
        <f>Pasākumu_līmenis!J91+Pasākumu_līmenis!J93</f>
        <v>28810403.620000001</v>
      </c>
      <c r="G29" s="213">
        <f t="shared" si="0"/>
        <v>0.99309786385608401</v>
      </c>
      <c r="H29" s="212">
        <f>Pasākumu_līmenis!Q91+Pasākumu_līmenis!Q93</f>
        <v>28810403.620000001</v>
      </c>
      <c r="I29" s="213">
        <f t="shared" si="1"/>
        <v>0.99309786385608401</v>
      </c>
      <c r="J29" s="212">
        <f>Pasākumu_līmenis!X91+Pasākumu_līmenis!X93</f>
        <v>28810403.620000001</v>
      </c>
      <c r="K29" s="213">
        <f t="shared" si="2"/>
        <v>0.99309786385608401</v>
      </c>
      <c r="L29" s="212">
        <f>Pasākumu_līmenis!AE91+Pasākumu_līmenis!AE93</f>
        <v>28810403.620000001</v>
      </c>
      <c r="M29" s="214">
        <f t="shared" si="5"/>
        <v>0.99309786385608401</v>
      </c>
      <c r="N29" s="64"/>
      <c r="O29" s="64"/>
      <c r="P29" s="64"/>
      <c r="Q29" s="64"/>
      <c r="S29" s="64"/>
      <c r="T29" s="64"/>
      <c r="U29" s="64"/>
      <c r="V29" s="64"/>
      <c r="W29" s="64"/>
      <c r="Y29" s="64"/>
      <c r="Z29" s="64"/>
    </row>
    <row r="30" spans="1:27" s="65" customFormat="1" ht="20.25" x14ac:dyDescent="0.3">
      <c r="A30" s="80" t="s">
        <v>344</v>
      </c>
      <c r="B30" s="67">
        <f>SUM(B31:B39)</f>
        <v>2465883158</v>
      </c>
      <c r="C30" s="67">
        <f>SUM(C31:C39)</f>
        <v>88571709</v>
      </c>
      <c r="D30" s="67">
        <f t="shared" si="4"/>
        <v>2554454867</v>
      </c>
      <c r="E30" s="67">
        <f>SUM(E31:E39)</f>
        <v>106436362.36031559</v>
      </c>
      <c r="F30" s="67">
        <f>SUM(F31:F39)</f>
        <v>2412599819.0700002</v>
      </c>
      <c r="G30" s="210">
        <f t="shared" si="0"/>
        <v>0.97839178277481065</v>
      </c>
      <c r="H30" s="67">
        <f>SUM(H31:H39)</f>
        <v>2412599819.0700002</v>
      </c>
      <c r="I30" s="210">
        <f t="shared" si="1"/>
        <v>0.97839178277481065</v>
      </c>
      <c r="J30" s="67">
        <f>SUM(J31:J39)</f>
        <v>2412599819.0700002</v>
      </c>
      <c r="K30" s="210">
        <f t="shared" si="2"/>
        <v>0.97839178277481065</v>
      </c>
      <c r="L30" s="67">
        <f>SUM(L31:L39)</f>
        <v>2387566847.8899999</v>
      </c>
      <c r="M30" s="211">
        <f t="shared" si="5"/>
        <v>0.96824005636442234</v>
      </c>
      <c r="N30" s="63"/>
      <c r="O30" s="63"/>
      <c r="P30" s="63"/>
      <c r="Q30" s="63"/>
      <c r="S30" s="63"/>
      <c r="T30" s="63"/>
      <c r="U30" s="63"/>
      <c r="V30" s="63"/>
      <c r="W30" s="63"/>
      <c r="Y30" s="63"/>
      <c r="Z30" s="63"/>
    </row>
    <row r="31" spans="1:27" ht="18.75" x14ac:dyDescent="0.3">
      <c r="A31" s="71" t="s">
        <v>349</v>
      </c>
      <c r="B31" s="204">
        <f>SUM(Pasākumu_līmenis!F20:'Pasākumu_līmenis'!F25)+SUM(Pasākumu_līmenis!F31:'Pasākumu_līmenis'!F41)+Pasākumu_līmenis!F49+Pasākumu_līmenis!F50</f>
        <v>691595449</v>
      </c>
      <c r="C31" s="204">
        <f>SUM(Pasākumu_līmenis!G20:'Pasākumu_līmenis'!G25)+SUM(Pasākumu_līmenis!G31:'Pasākumu_līmenis'!G41)+Pasākumu_līmenis!G49+Pasākumu_līmenis!G50</f>
        <v>0</v>
      </c>
      <c r="D31" s="204">
        <f t="shared" si="4"/>
        <v>691595449</v>
      </c>
      <c r="E31" s="204">
        <f>SUM(Pasākumu_līmenis!I20:'Pasākumu_līmenis'!I25)+SUM(Pasākumu_līmenis!I31:'Pasākumu_līmenis'!I41)+Pasākumu_līmenis!I49+Pasākumu_līmenis!I50</f>
        <v>30193580.43290095</v>
      </c>
      <c r="F31" s="204">
        <f>SUM(Pasākumu_līmenis!J20:'Pasākumu_līmenis'!J25)+SUM(Pasākumu_līmenis!J31:'Pasākumu_līmenis'!J41)+Pasākumu_līmenis!J49+Pasākumu_līmenis!J50</f>
        <v>652764264.96000016</v>
      </c>
      <c r="G31" s="205">
        <f t="shared" si="0"/>
        <v>0.94385274788006901</v>
      </c>
      <c r="H31" s="204">
        <f>SUM(Pasākumu_līmenis!Q20:'Pasākumu_līmenis'!Q25)+SUM(Pasākumu_līmenis!Q31:'Pasākumu_līmenis'!Q41)+Pasākumu_līmenis!Q49+Pasākumu_līmenis!Q50</f>
        <v>652764264.96000016</v>
      </c>
      <c r="I31" s="205">
        <f t="shared" si="1"/>
        <v>0.94385274788006901</v>
      </c>
      <c r="J31" s="204">
        <f>SUM(Pasākumu_līmenis!X20:'Pasākumu_līmenis'!X25)+SUM(Pasākumu_līmenis!X31:'Pasākumu_līmenis'!X41)+Pasākumu_līmenis!X49+Pasākumu_līmenis!X50</f>
        <v>652764264.96000016</v>
      </c>
      <c r="K31" s="205">
        <f t="shared" si="2"/>
        <v>0.94385274788006901</v>
      </c>
      <c r="L31" s="204">
        <f>SUM(Pasākumu_līmenis!AE20:'Pasākumu_līmenis'!AE25)+SUM(Pasākumu_līmenis!AE31:'Pasākumu_līmenis'!AE41)+Pasākumu_līmenis!AE49+Pasākumu_līmenis!AE50</f>
        <v>635768458.55999994</v>
      </c>
      <c r="M31" s="206">
        <f t="shared" si="5"/>
        <v>0.91927796731351819</v>
      </c>
      <c r="N31" s="64"/>
      <c r="O31" s="64"/>
      <c r="P31" s="64"/>
      <c r="Q31" s="64"/>
      <c r="S31" s="64"/>
      <c r="T31" s="64"/>
      <c r="U31" s="64"/>
      <c r="V31" s="64"/>
      <c r="W31" s="64"/>
      <c r="Y31" s="64"/>
      <c r="Z31" s="64"/>
    </row>
    <row r="32" spans="1:27" ht="18.75" x14ac:dyDescent="0.3">
      <c r="A32" s="72" t="s">
        <v>356</v>
      </c>
      <c r="B32" s="196">
        <f>Pasākumu_līmenis!F150</f>
        <v>39180553</v>
      </c>
      <c r="C32" s="196">
        <f>Pasākumu_līmenis!G150</f>
        <v>0</v>
      </c>
      <c r="D32" s="196">
        <f t="shared" si="4"/>
        <v>39180553</v>
      </c>
      <c r="E32" s="196">
        <f>Pasākumu_līmenis!I150</f>
        <v>0</v>
      </c>
      <c r="F32" s="196">
        <f>Pasākumu_līmenis!J150</f>
        <v>39151081.200000003</v>
      </c>
      <c r="G32" s="197">
        <f t="shared" si="0"/>
        <v>0.99924779520084883</v>
      </c>
      <c r="H32" s="196">
        <f>Pasākumu_līmenis!Q150</f>
        <v>39151081.200000003</v>
      </c>
      <c r="I32" s="197">
        <f t="shared" si="1"/>
        <v>0.99924779520084883</v>
      </c>
      <c r="J32" s="196">
        <f>Pasākumu_līmenis!X150</f>
        <v>39151081.200000003</v>
      </c>
      <c r="K32" s="197">
        <f t="shared" si="2"/>
        <v>0.99924779520084883</v>
      </c>
      <c r="L32" s="196">
        <f>Pasākumu_līmenis!AE150</f>
        <v>39150971.990000002</v>
      </c>
      <c r="M32" s="198">
        <f t="shared" si="5"/>
        <v>0.99924500784866421</v>
      </c>
      <c r="N32" s="64"/>
      <c r="O32" s="64"/>
      <c r="P32" s="64"/>
      <c r="Q32" s="64"/>
      <c r="S32" s="64"/>
      <c r="T32" s="64"/>
      <c r="U32" s="64"/>
      <c r="V32" s="64"/>
      <c r="W32" s="64"/>
      <c r="Y32" s="64"/>
      <c r="Z32" s="64"/>
    </row>
    <row r="33" spans="1:26" ht="18.75" x14ac:dyDescent="0.3">
      <c r="A33" s="72" t="s">
        <v>348</v>
      </c>
      <c r="B33" s="196">
        <f>Pasākumu_līmenis!F15+Pasākumu_līmenis!F16+Pasākumu_līmenis!F17+Pasākumu_līmenis!F18+Pasākumu_līmenis!F19+Pasākumu_līmenis!F98+Pasākumu_līmenis!F99+Pasākumu_līmenis!F100+Pasākumu_līmenis!F101+Pasākumu_līmenis!F159</f>
        <v>557530973</v>
      </c>
      <c r="C33" s="196">
        <f>Pasākumu_līmenis!G15+Pasākumu_līmenis!G16+Pasākumu_līmenis!G17+Pasākumu_līmenis!G18+Pasākumu_līmenis!G19+Pasākumu_līmenis!G98+Pasākumu_līmenis!G99+Pasākumu_līmenis!G100+Pasākumu_līmenis!G101+Pasākumu_līmenis!G159</f>
        <v>8534803</v>
      </c>
      <c r="D33" s="196">
        <f t="shared" si="4"/>
        <v>566065776</v>
      </c>
      <c r="E33" s="196">
        <f>Pasākumu_līmenis!I15+Pasākumu_līmenis!I16+Pasākumu_līmenis!I17+Pasākumu_līmenis!I18+Pasākumu_līmenis!I19+Pasākumu_līmenis!I98+Pasākumu_līmenis!I99+Pasākumu_līmenis!I100+Pasākumu_līmenis!I101</f>
        <v>16924212.699999999</v>
      </c>
      <c r="F33" s="196">
        <f>Pasākumu_līmenis!J15+Pasākumu_līmenis!J16+Pasākumu_līmenis!J17+Pasākumu_līmenis!J18+Pasākumu_līmenis!J19+Pasākumu_līmenis!J98+Pasākumu_līmenis!J99+Pasākumu_līmenis!J100+Pasākumu_līmenis!J101+Pasākumu_līmenis!J159</f>
        <v>548369092.25999999</v>
      </c>
      <c r="G33" s="197">
        <f t="shared" si="0"/>
        <v>0.98356704616659918</v>
      </c>
      <c r="H33" s="196">
        <f>Pasākumu_līmenis!Q15+Pasākumu_līmenis!Q16+Pasākumu_līmenis!Q17+Pasākumu_līmenis!Q18+Pasākumu_līmenis!Q19+Pasākumu_līmenis!Q98+Pasākumu_līmenis!Q99+Pasākumu_līmenis!Q100+Pasākumu_līmenis!Q101+Pasākumu_līmenis!Q159</f>
        <v>548369092.25999999</v>
      </c>
      <c r="I33" s="197">
        <f t="shared" si="1"/>
        <v>0.98356704616659918</v>
      </c>
      <c r="J33" s="196">
        <f>Pasākumu_līmenis!X15+Pasākumu_līmenis!X16+Pasākumu_līmenis!X17+Pasākumu_līmenis!X18+Pasākumu_līmenis!X19+Pasākumu_līmenis!X98+Pasākumu_līmenis!X99+Pasākumu_līmenis!X100+Pasākumu_līmenis!X101+Pasākumu_līmenis!X159</f>
        <v>548369092.25999999</v>
      </c>
      <c r="K33" s="197">
        <f t="shared" si="2"/>
        <v>0.98356704616659918</v>
      </c>
      <c r="L33" s="196">
        <f>Pasākumu_līmenis!AE15+Pasākumu_līmenis!AE16+Pasākumu_līmenis!AE17+Pasākumu_līmenis!AE18+Pasākumu_līmenis!AE19+Pasākumu_līmenis!AE98+Pasākumu_līmenis!AE99+Pasākumu_līmenis!AE100+Pasākumu_līmenis!AE101+Pasākumu_līmenis!AE159</f>
        <v>541607937.38</v>
      </c>
      <c r="M33" s="198">
        <f t="shared" si="5"/>
        <v>0.97144008783167635</v>
      </c>
      <c r="N33" s="64"/>
      <c r="O33" s="64"/>
      <c r="P33" s="64"/>
      <c r="Q33" s="64"/>
      <c r="S33" s="64"/>
      <c r="T33" s="64"/>
      <c r="U33" s="64"/>
      <c r="V33" s="64"/>
      <c r="W33" s="64"/>
      <c r="Y33" s="64"/>
      <c r="Z33" s="64"/>
    </row>
    <row r="34" spans="1:26" ht="18.75" x14ac:dyDescent="0.3">
      <c r="A34" s="74" t="s">
        <v>355</v>
      </c>
      <c r="B34" s="196">
        <f>Pasākumu_līmenis!F68+Pasākumu_līmenis!F69</f>
        <v>126060289</v>
      </c>
      <c r="C34" s="196">
        <f>Pasākumu_līmenis!G68+Pasākumu_līmenis!G69</f>
        <v>0</v>
      </c>
      <c r="D34" s="196">
        <f t="shared" si="4"/>
        <v>126060289</v>
      </c>
      <c r="E34" s="196">
        <f>Pasākumu_līmenis!I68+Pasākumu_līmenis!I69</f>
        <v>0</v>
      </c>
      <c r="F34" s="196">
        <f>Pasākumu_līmenis!J68+Pasākumu_līmenis!J69</f>
        <v>120548560.02</v>
      </c>
      <c r="G34" s="197">
        <f t="shared" si="0"/>
        <v>0.95627703994871849</v>
      </c>
      <c r="H34" s="196">
        <f>Pasākumu_līmenis!Q68+Pasākumu_līmenis!Q69</f>
        <v>120548560.02</v>
      </c>
      <c r="I34" s="197">
        <f t="shared" si="1"/>
        <v>0.95627703994871849</v>
      </c>
      <c r="J34" s="196">
        <f>Pasākumu_līmenis!X68+Pasākumu_līmenis!X69</f>
        <v>120548560.02</v>
      </c>
      <c r="K34" s="197">
        <f t="shared" si="2"/>
        <v>0.95627703994871849</v>
      </c>
      <c r="L34" s="196">
        <f>Pasākumu_līmenis!AE68+Pasākumu_līmenis!AE69</f>
        <v>117290349.92</v>
      </c>
      <c r="M34" s="198">
        <f t="shared" si="5"/>
        <v>0.93043059674407058</v>
      </c>
      <c r="N34" s="64"/>
      <c r="O34" s="64"/>
      <c r="P34" s="64"/>
      <c r="Q34" s="64"/>
      <c r="S34" s="64"/>
      <c r="T34" s="64"/>
      <c r="U34" s="64"/>
      <c r="V34" s="64"/>
      <c r="W34" s="64"/>
      <c r="Y34" s="64"/>
      <c r="Z34" s="64"/>
    </row>
    <row r="35" spans="1:26" ht="18.75" x14ac:dyDescent="0.3">
      <c r="A35" s="74" t="s">
        <v>351</v>
      </c>
      <c r="B35" s="196">
        <f>Pasākumu_līmenis!F141+Pasākumu_līmenis!F142+Pasākumu_līmenis!F143</f>
        <v>45695733</v>
      </c>
      <c r="C35" s="196">
        <f>Pasākumu_līmenis!G141+Pasākumu_līmenis!G142+Pasākumu_līmenis!G143</f>
        <v>782851</v>
      </c>
      <c r="D35" s="196">
        <f t="shared" si="4"/>
        <v>46478584</v>
      </c>
      <c r="E35" s="196">
        <f>Pasākumu_līmenis!I141+Pasākumu_līmenis!I142</f>
        <v>2515517</v>
      </c>
      <c r="F35" s="196">
        <f>Pasākumu_līmenis!J141+Pasākumu_līmenis!J142+Pasākumu_līmenis!J143</f>
        <v>42922120.389999993</v>
      </c>
      <c r="G35" s="197">
        <f t="shared" si="0"/>
        <v>0.93930259068171629</v>
      </c>
      <c r="H35" s="196">
        <f>Pasākumu_līmenis!Q141+Pasākumu_līmenis!Q142+Pasākumu_līmenis!Q143</f>
        <v>42922120.389999993</v>
      </c>
      <c r="I35" s="197">
        <f t="shared" si="1"/>
        <v>0.93930259068171629</v>
      </c>
      <c r="J35" s="196">
        <f>Pasākumu_līmenis!X141+Pasākumu_līmenis!X142+Pasākumu_līmenis!X143</f>
        <v>42922120.389999993</v>
      </c>
      <c r="K35" s="197">
        <f t="shared" si="2"/>
        <v>0.93930259068171629</v>
      </c>
      <c r="L35" s="196">
        <f>Pasākumu_līmenis!AE141+Pasākumu_līmenis!AE142+Pasākumu_līmenis!AE143</f>
        <v>42915996.449999996</v>
      </c>
      <c r="M35" s="198">
        <f t="shared" si="5"/>
        <v>0.93916857510525098</v>
      </c>
      <c r="N35" s="64"/>
      <c r="O35" s="64"/>
      <c r="P35" s="64"/>
      <c r="Q35" s="64"/>
      <c r="S35" s="64"/>
      <c r="T35" s="64"/>
      <c r="U35" s="64"/>
      <c r="V35" s="64"/>
      <c r="W35" s="64"/>
      <c r="Y35" s="64"/>
      <c r="Z35" s="64"/>
    </row>
    <row r="36" spans="1:26" ht="18.75" x14ac:dyDescent="0.3">
      <c r="A36" s="74" t="s">
        <v>347</v>
      </c>
      <c r="B36" s="196">
        <f>Pasākumu_līmenis!F27+Pasākumu_līmenis!F53+Pasākumu_līmenis!F85</f>
        <v>284383123</v>
      </c>
      <c r="C36" s="196">
        <f>Pasākumu_līmenis!G27+Pasākumu_līmenis!G53+Pasākumu_līmenis!G85</f>
        <v>0</v>
      </c>
      <c r="D36" s="196">
        <f t="shared" si="4"/>
        <v>284383123</v>
      </c>
      <c r="E36" s="196">
        <f>Pasākumu_līmenis!I27+Pasākumu_līmenis!I53+Pasākumu_līmenis!I85</f>
        <v>14795625.803729689</v>
      </c>
      <c r="F36" s="196">
        <f>Pasākumu_līmenis!J27+Pasākumu_līmenis!J53+Pasākumu_līmenis!J85</f>
        <v>275647511.19999999</v>
      </c>
      <c r="G36" s="197">
        <f t="shared" si="0"/>
        <v>0.96928224253307738</v>
      </c>
      <c r="H36" s="196">
        <f>Pasākumu_līmenis!Q27+Pasākumu_līmenis!Q53+Pasākumu_līmenis!Q85</f>
        <v>275647511.19999999</v>
      </c>
      <c r="I36" s="197">
        <f t="shared" si="1"/>
        <v>0.96928224253307738</v>
      </c>
      <c r="J36" s="196">
        <f>Pasākumu_līmenis!X27+Pasākumu_līmenis!X53+Pasākumu_līmenis!X85</f>
        <v>275647511.19999999</v>
      </c>
      <c r="K36" s="197">
        <f t="shared" si="2"/>
        <v>0.96928224253307738</v>
      </c>
      <c r="L36" s="196">
        <f>Pasākumu_līmenis!AE27+Pasākumu_līmenis!AE53+Pasākumu_līmenis!AE85</f>
        <v>275309394.80000001</v>
      </c>
      <c r="M36" s="198">
        <f t="shared" si="5"/>
        <v>0.96809329574737113</v>
      </c>
      <c r="N36" s="64"/>
      <c r="O36" s="64"/>
      <c r="P36" s="64"/>
      <c r="Q36" s="64"/>
      <c r="S36" s="64"/>
      <c r="T36" s="64"/>
      <c r="U36" s="64"/>
      <c r="V36" s="64"/>
      <c r="W36" s="64"/>
      <c r="Y36" s="64"/>
      <c r="Z36" s="64"/>
    </row>
    <row r="37" spans="1:26" ht="18.75" x14ac:dyDescent="0.3">
      <c r="A37" s="74" t="s">
        <v>350</v>
      </c>
      <c r="B37" s="196">
        <f>Pasākumu_līmenis!F28+Pasākumu_līmenis!F29+Pasākumu_līmenis!F42+Pasākumu_līmenis!F51+Pasākumu_līmenis!F57+Pasākumu_līmenis!F63+Pasākumu_līmenis!F71+Pasākumu_līmenis!F70</f>
        <v>501404132</v>
      </c>
      <c r="C37" s="196">
        <f>Pasākumu_līmenis!G28+Pasākumu_līmenis!G29+Pasākumu_līmenis!G42+Pasākumu_līmenis!G51+Pasākumu_līmenis!G57+Pasākumu_līmenis!G63+Pasākumu_līmenis!G71+Pasākumu_līmenis!G70</f>
        <v>29431942</v>
      </c>
      <c r="D37" s="196">
        <f>Pasākumu_līmenis!H28+Pasākumu_līmenis!H29+Pasākumu_līmenis!H42+Pasākumu_līmenis!H51+Pasākumu_līmenis!H57+Pasākumu_līmenis!H63+Pasākumu_līmenis!H71+Pasākumu_līmenis!H70</f>
        <v>530836074</v>
      </c>
      <c r="E37" s="196">
        <f>Pasākumu_līmenis!I28+Pasākumu_līmenis!I29+Pasākumu_līmenis!I42+Pasākumu_līmenis!I51+Pasākumu_līmenis!I57+Pasākumu_līmenis!I63+Pasākumu_līmenis!I71+Pasākumu_līmenis!I70</f>
        <v>30478241.477623045</v>
      </c>
      <c r="F37" s="196">
        <f>Pasākumu_līmenis!J28+Pasākumu_līmenis!J29+Pasākumu_līmenis!J42+Pasākumu_līmenis!J51+Pasākumu_līmenis!J57+Pasākumu_līmenis!J63+Pasākumu_līmenis!J71+Pasākumu_līmenis!J70</f>
        <v>492397048.62</v>
      </c>
      <c r="G37" s="197">
        <f t="shared" si="0"/>
        <v>0.98203628010787913</v>
      </c>
      <c r="H37" s="196">
        <f>Pasākumu_līmenis!Q28+Pasākumu_līmenis!Q29+Pasākumu_līmenis!Q42+Pasākumu_līmenis!Q51+Pasākumu_līmenis!Q57+Pasākumu_līmenis!Q63+Pasākumu_līmenis!Q71+Pasākumu_līmenis!Q70</f>
        <v>492397048.62</v>
      </c>
      <c r="I37" s="197">
        <f t="shared" si="1"/>
        <v>0.98203628010787913</v>
      </c>
      <c r="J37" s="196">
        <f>Pasākumu_līmenis!X28+Pasākumu_līmenis!X29+Pasākumu_līmenis!X42+Pasākumu_līmenis!X51+Pasākumu_līmenis!X57+Pasākumu_līmenis!X63+Pasākumu_līmenis!X71+Pasākumu_līmenis!X70</f>
        <v>492397048.62</v>
      </c>
      <c r="K37" s="197">
        <f t="shared" si="2"/>
        <v>0.98203628010787913</v>
      </c>
      <c r="L37" s="196">
        <f>Pasākumu_līmenis!AE28+Pasākumu_līmenis!AE29+Pasākumu_līmenis!AE42+Pasākumu_līmenis!AE51+Pasākumu_līmenis!AE57+Pasākumu_līmenis!AE63+Pasākumu_līmenis!AE71+Pasākumu_līmenis!AE70</f>
        <v>492378893.31999999</v>
      </c>
      <c r="M37" s="198">
        <f t="shared" si="5"/>
        <v>0.98200007119207389</v>
      </c>
      <c r="N37" s="64"/>
      <c r="O37" s="64"/>
      <c r="P37" s="64"/>
      <c r="Q37" s="64"/>
      <c r="S37" s="64"/>
      <c r="T37" s="64"/>
      <c r="U37" s="64"/>
      <c r="V37" s="64"/>
      <c r="W37" s="64"/>
      <c r="Y37" s="64"/>
      <c r="Z37" s="64"/>
    </row>
    <row r="38" spans="1:26" ht="18.75" x14ac:dyDescent="0.3">
      <c r="A38" s="74" t="s">
        <v>352</v>
      </c>
      <c r="B38" s="196">
        <f>Pasākumu_līmenis!F144</f>
        <v>220032906</v>
      </c>
      <c r="C38" s="196">
        <f>Pasākumu_līmenis!G144</f>
        <v>12940597</v>
      </c>
      <c r="D38" s="196">
        <f t="shared" si="4"/>
        <v>232973503</v>
      </c>
      <c r="E38" s="196">
        <f>Pasākumu_līmenis!I144</f>
        <v>9279588</v>
      </c>
      <c r="F38" s="196">
        <f>Pasākumu_līmenis!J144</f>
        <v>204339515.86000001</v>
      </c>
      <c r="G38" s="197">
        <f t="shared" si="0"/>
        <v>0.92867707641874264</v>
      </c>
      <c r="H38" s="196">
        <f>Pasākumu_līmenis!Q144</f>
        <v>204339515.86000001</v>
      </c>
      <c r="I38" s="197">
        <f t="shared" si="1"/>
        <v>0.92867707641874264</v>
      </c>
      <c r="J38" s="196">
        <f>Pasākumu_līmenis!X144</f>
        <v>204339515.86000001</v>
      </c>
      <c r="K38" s="197">
        <f t="shared" si="2"/>
        <v>0.92867707641874264</v>
      </c>
      <c r="L38" s="196">
        <f>Pasākumu_līmenis!AE144</f>
        <v>206684220.94</v>
      </c>
      <c r="M38" s="198">
        <f t="shared" si="5"/>
        <v>0.93933323291199</v>
      </c>
      <c r="N38" s="64"/>
      <c r="O38" s="64"/>
      <c r="P38" s="64"/>
      <c r="Q38" s="64"/>
      <c r="S38" s="64"/>
      <c r="T38" s="64"/>
      <c r="U38" s="64"/>
      <c r="V38" s="64"/>
      <c r="W38" s="64"/>
      <c r="Y38" s="64"/>
      <c r="Z38" s="64"/>
    </row>
    <row r="39" spans="1:26" ht="18.75" x14ac:dyDescent="0.3">
      <c r="A39" s="74" t="s">
        <v>400</v>
      </c>
      <c r="B39" s="207">
        <f>Pasākumu_līmenis!F58</f>
        <v>0</v>
      </c>
      <c r="C39" s="207">
        <f>Pasākumu_līmenis!G58</f>
        <v>36881516</v>
      </c>
      <c r="D39" s="207">
        <f t="shared" si="4"/>
        <v>36881516</v>
      </c>
      <c r="E39" s="207">
        <f>Pasākumu_līmenis!I58</f>
        <v>2249596.9460619101</v>
      </c>
      <c r="F39" s="207">
        <f>Pasākumu_līmenis!J58</f>
        <v>36460624.560000002</v>
      </c>
      <c r="G39" s="208">
        <f>IFERROR(F39/B39,1)</f>
        <v>1</v>
      </c>
      <c r="H39" s="207">
        <f>Pasākumu_līmenis!Q58</f>
        <v>36460624.560000002</v>
      </c>
      <c r="I39" s="208">
        <f>IFERROR(H39/B39,1)</f>
        <v>1</v>
      </c>
      <c r="J39" s="207">
        <f>Pasākumu_līmenis!X58</f>
        <v>36460624.560000002</v>
      </c>
      <c r="K39" s="208">
        <f>IFERROR(J39/B39,1)</f>
        <v>1</v>
      </c>
      <c r="L39" s="207">
        <f>Pasākumu_līmenis!AE58</f>
        <v>36460624.530000001</v>
      </c>
      <c r="M39" s="209">
        <f>IFERROR(L39/B39,1)</f>
        <v>1</v>
      </c>
      <c r="N39" s="64"/>
      <c r="O39" s="64"/>
      <c r="P39" s="64"/>
      <c r="Q39" s="64"/>
      <c r="S39" s="64"/>
      <c r="T39" s="64"/>
      <c r="U39" s="64"/>
      <c r="V39" s="64"/>
      <c r="W39" s="64"/>
      <c r="Y39" s="64"/>
      <c r="Z39" s="64"/>
    </row>
    <row r="40" spans="1:26" s="65" customFormat="1" ht="20.25" x14ac:dyDescent="0.3">
      <c r="A40" s="80" t="s">
        <v>345</v>
      </c>
      <c r="B40" s="67">
        <f>SUM(B41:B44)</f>
        <v>1238174873</v>
      </c>
      <c r="C40" s="67">
        <f>SUM(C41:C44)</f>
        <v>74032183</v>
      </c>
      <c r="D40" s="67">
        <f t="shared" si="4"/>
        <v>1312207056</v>
      </c>
      <c r="E40" s="67">
        <f>SUM(E41:E44)</f>
        <v>67553262.617205307</v>
      </c>
      <c r="F40" s="67">
        <f>SUM(F41:F44)</f>
        <v>1172398844.0799999</v>
      </c>
      <c r="G40" s="210">
        <f>F40/B40</f>
        <v>0.9468766243328538</v>
      </c>
      <c r="H40" s="67">
        <f>SUM(H41:H44)</f>
        <v>1172398844.0799999</v>
      </c>
      <c r="I40" s="210">
        <f t="shared" si="1"/>
        <v>0.9468766243328538</v>
      </c>
      <c r="J40" s="67">
        <f>SUM(J41:J44)</f>
        <v>1172398844.0799999</v>
      </c>
      <c r="K40" s="210">
        <f t="shared" si="2"/>
        <v>0.9468766243328538</v>
      </c>
      <c r="L40" s="67">
        <f>SUM(L41:L44)</f>
        <v>1175193354.7400002</v>
      </c>
      <c r="M40" s="211">
        <f t="shared" si="5"/>
        <v>0.94913358392793057</v>
      </c>
      <c r="N40" s="63"/>
      <c r="O40" s="63"/>
      <c r="P40" s="63"/>
      <c r="Q40" s="63"/>
      <c r="S40" s="63"/>
      <c r="T40" s="63"/>
      <c r="U40" s="63"/>
      <c r="V40" s="63"/>
      <c r="W40" s="63"/>
      <c r="Y40" s="63"/>
      <c r="Z40" s="63"/>
    </row>
    <row r="41" spans="1:26" ht="18.75" x14ac:dyDescent="0.3">
      <c r="A41" s="74" t="s">
        <v>349</v>
      </c>
      <c r="B41" s="204">
        <f>Pasākumu_līmenis!F48+Pasākumu_līmenis!F52</f>
        <v>75331910</v>
      </c>
      <c r="C41" s="204">
        <f>Pasākumu_līmenis!G48+Pasākumu_līmenis!G52</f>
        <v>56550000</v>
      </c>
      <c r="D41" s="204">
        <f t="shared" si="4"/>
        <v>131881910</v>
      </c>
      <c r="E41" s="204">
        <f>Pasākumu_līmenis!I48+Pasākumu_līmenis!I52</f>
        <v>3290568</v>
      </c>
      <c r="F41" s="204">
        <f>Pasākumu_līmenis!J48+Pasākumu_līmenis!J52</f>
        <v>88777655.190000013</v>
      </c>
      <c r="G41" s="205">
        <f>F41/B41</f>
        <v>1.1784867155233421</v>
      </c>
      <c r="H41" s="204">
        <f>Pasākumu_līmenis!Q48+Pasākumu_līmenis!Q52</f>
        <v>88777655.190000013</v>
      </c>
      <c r="I41" s="205">
        <f t="shared" si="1"/>
        <v>1.1784867155233421</v>
      </c>
      <c r="J41" s="204">
        <f>Pasākumu_līmenis!X48+Pasākumu_līmenis!X52</f>
        <v>88777655.190000013</v>
      </c>
      <c r="K41" s="205">
        <f t="shared" si="2"/>
        <v>1.1784867155233421</v>
      </c>
      <c r="L41" s="204">
        <f>Pasākumu_līmenis!AE48+Pasākumu_līmenis!AE52</f>
        <v>90423399.640000001</v>
      </c>
      <c r="M41" s="206">
        <f t="shared" si="5"/>
        <v>1.2003332935538207</v>
      </c>
      <c r="N41" s="64"/>
      <c r="O41" s="64"/>
      <c r="P41" s="64"/>
      <c r="Q41" s="64"/>
      <c r="S41" s="64"/>
      <c r="T41" s="64"/>
      <c r="U41" s="64"/>
      <c r="V41" s="64"/>
      <c r="W41" s="64"/>
      <c r="Y41" s="64"/>
      <c r="Z41" s="64"/>
    </row>
    <row r="42" spans="1:26" ht="18.75" x14ac:dyDescent="0.3">
      <c r="A42" s="74" t="s">
        <v>356</v>
      </c>
      <c r="B42" s="196">
        <f>Pasākumu_līmenis!F152</f>
        <v>40715710</v>
      </c>
      <c r="C42" s="196">
        <f>Pasākumu_līmenis!G152</f>
        <v>0</v>
      </c>
      <c r="D42" s="196">
        <f t="shared" si="4"/>
        <v>40715710</v>
      </c>
      <c r="E42" s="196">
        <f>Pasākumu_līmenis!I152</f>
        <v>0</v>
      </c>
      <c r="F42" s="196">
        <f>Pasākumu_līmenis!J152</f>
        <v>40697163.219999999</v>
      </c>
      <c r="G42" s="197">
        <f t="shared" si="0"/>
        <v>0.99954448098780546</v>
      </c>
      <c r="H42" s="196">
        <f>Pasākumu_līmenis!Q152</f>
        <v>40697163.219999999</v>
      </c>
      <c r="I42" s="197">
        <f t="shared" si="1"/>
        <v>0.99954448098780546</v>
      </c>
      <c r="J42" s="196">
        <f>Pasākumu_līmenis!X152</f>
        <v>40697163.219999999</v>
      </c>
      <c r="K42" s="197">
        <f t="shared" si="2"/>
        <v>0.99954448098780546</v>
      </c>
      <c r="L42" s="196">
        <f>Pasākumu_līmenis!AE152</f>
        <v>40697163.219999999</v>
      </c>
      <c r="M42" s="198">
        <f t="shared" si="5"/>
        <v>0.99954448098780546</v>
      </c>
      <c r="N42" s="64"/>
      <c r="O42" s="64"/>
      <c r="P42" s="64"/>
      <c r="Q42" s="64"/>
      <c r="S42" s="64"/>
      <c r="T42" s="64"/>
      <c r="U42" s="64"/>
      <c r="V42" s="64"/>
      <c r="W42" s="64"/>
      <c r="Y42" s="64"/>
      <c r="Z42" s="64"/>
    </row>
    <row r="43" spans="1:26" ht="18.75" x14ac:dyDescent="0.3">
      <c r="A43" s="74" t="s">
        <v>347</v>
      </c>
      <c r="B43" s="196">
        <f>Pasākumu_līmenis!F54+Pasākumu_līmenis!F55+Pasākumu_līmenis!F73+Pasākumu_līmenis!F74+Pasākumu_līmenis!F75+Pasākumu_līmenis!F76+Pasākumu_līmenis!F77+Pasākumu_līmenis!F78+Pasākumu_līmenis!F79+Pasākumu_līmenis!F83+Pasākumu_līmenis!F84+Pasākumu_līmenis!F80+Pasākumu_līmenis!F81+Pasākumu_līmenis!F82</f>
        <v>931263488</v>
      </c>
      <c r="C43" s="196">
        <f>Pasākumu_līmenis!G54+Pasākumu_līmenis!G55+Pasākumu_līmenis!G73+Pasākumu_līmenis!G74+Pasākumu_līmenis!G75+Pasākumu_līmenis!G76+Pasākumu_līmenis!G77+Pasākumu_līmenis!G78+Pasākumu_līmenis!G79+Pasākumu_līmenis!G83+Pasākumu_līmenis!G84+Pasākumu_līmenis!G80+Pasākumu_līmenis!G81+Pasākumu_līmenis!G82</f>
        <v>0</v>
      </c>
      <c r="D43" s="196">
        <f>B43+C43</f>
        <v>931263488</v>
      </c>
      <c r="E43" s="196">
        <f>Pasākumu_līmenis!I54+Pasākumu_līmenis!I55+Pasākumu_līmenis!I73+Pasākumu_līmenis!I74+Pasākumu_līmenis!I75+Pasākumu_līmenis!I76+Pasākumu_līmenis!I77+Pasākumu_līmenis!I78+Pasākumu_līmenis!I79+Pasākumu_līmenis!I83+Pasākumu_līmenis!I84</f>
        <v>61972965.617205307</v>
      </c>
      <c r="F43" s="196">
        <f>Pasākumu_līmenis!J54+Pasākumu_līmenis!J55+Pasākumu_līmenis!J73+Pasākumu_līmenis!J74+Pasākumu_līmenis!J75+Pasākumu_līmenis!J76+Pasākumu_līmenis!J77+Pasākumu_līmenis!J78+Pasākumu_līmenis!J79+Pasākumu_līmenis!J83+Pasākumu_līmenis!J84+Pasākumu_līmenis!J80+Pasākumu_līmenis!J81+Pasākumu_līmenis!J82</f>
        <v>837619001.55000007</v>
      </c>
      <c r="G43" s="197">
        <f t="shared" si="0"/>
        <v>0.89944361863567457</v>
      </c>
      <c r="H43" s="196">
        <f>Pasākumu_līmenis!Q54+Pasākumu_līmenis!Q55+Pasākumu_līmenis!Q73+Pasākumu_līmenis!Q74+Pasākumu_līmenis!Q75+Pasākumu_līmenis!Q76+Pasākumu_līmenis!Q77+Pasākumu_līmenis!Q78+Pasākumu_līmenis!Q79+Pasākumu_līmenis!Q83+Pasākumu_līmenis!Q84+Pasākumu_līmenis!Q80+Pasākumu_līmenis!Q81+Pasākumu_līmenis!Q82</f>
        <v>837619001.55000007</v>
      </c>
      <c r="I43" s="197">
        <f t="shared" si="1"/>
        <v>0.89944361863567457</v>
      </c>
      <c r="J43" s="196">
        <f>Pasākumu_līmenis!X54+Pasākumu_līmenis!X55+Pasākumu_līmenis!X73+Pasākumu_līmenis!X74+Pasākumu_līmenis!X75+Pasākumu_līmenis!X76+Pasākumu_līmenis!X77+Pasākumu_līmenis!X78+Pasākumu_līmenis!X79+Pasākumu_līmenis!X83+Pasākumu_līmenis!X84+Pasākumu_līmenis!X80+Pasākumu_līmenis!X81+Pasākumu_līmenis!X82</f>
        <v>837619001.55000007</v>
      </c>
      <c r="K43" s="197">
        <f t="shared" si="2"/>
        <v>0.89944361863567457</v>
      </c>
      <c r="L43" s="196">
        <f>Pasākumu_līmenis!AE54+Pasākumu_līmenis!AE55+Pasākumu_līmenis!AE73+Pasākumu_līmenis!AE74+Pasākumu_līmenis!AE75+Pasākumu_līmenis!AE76+Pasākumu_līmenis!AE77+Pasākumu_līmenis!AE78+Pasākumu_līmenis!AE79+Pasākumu_līmenis!AE83+Pasākumu_līmenis!AE84+Pasākumu_līmenis!AE80+Pasākumu_līmenis!AE81+Pasākumu_līmenis!AE82</f>
        <v>839065790.74000013</v>
      </c>
      <c r="M43" s="198">
        <f t="shared" si="5"/>
        <v>0.90099719526424737</v>
      </c>
      <c r="N43" s="64"/>
      <c r="O43" s="64"/>
      <c r="P43" s="64"/>
      <c r="Q43" s="64"/>
      <c r="S43" s="64"/>
      <c r="T43" s="64"/>
      <c r="U43" s="64"/>
      <c r="V43" s="64"/>
      <c r="W43" s="64"/>
      <c r="Y43" s="64"/>
      <c r="Z43" s="64"/>
    </row>
    <row r="44" spans="1:26" ht="18.75" x14ac:dyDescent="0.3">
      <c r="A44" s="74" t="s">
        <v>350</v>
      </c>
      <c r="B44" s="207">
        <f>Pasākumu_līmenis!F59+Pasākumu_līmenis!F60+Pasākumu_līmenis!F62+Pasākumu_līmenis!F64+Pasākumu_līmenis!F65+Pasākumu_līmenis!F61+Pasākumu_līmenis!F66+Pasākumu_līmenis!F67</f>
        <v>190863765</v>
      </c>
      <c r="C44" s="207">
        <f>Pasākumu_līmenis!G59+Pasākumu_līmenis!G60+Pasākumu_līmenis!G62+Pasākumu_līmenis!G64+Pasākumu_līmenis!G65+Pasākumu_līmenis!G61+Pasākumu_līmenis!G66+Pasākumu_līmenis!G67</f>
        <v>17482183</v>
      </c>
      <c r="D44" s="207">
        <f>Pasākumu_līmenis!H59+Pasākumu_līmenis!H60+Pasākumu_līmenis!H62+Pasākumu_līmenis!H64+Pasākumu_līmenis!H65+Pasākumu_līmenis!H61+Pasākumu_līmenis!H66+Pasākumu_līmenis!H67</f>
        <v>208345948</v>
      </c>
      <c r="E44" s="207">
        <f>Pasākumu_līmenis!I59+Pasākumu_līmenis!I60+Pasākumu_līmenis!I62+Pasākumu_līmenis!I64+Pasākumu_līmenis!I65++Pasākumu_līmenis!I61+Pasākumu_līmenis!I66</f>
        <v>2289729</v>
      </c>
      <c r="F44" s="207">
        <f>Pasākumu_līmenis!J59+Pasākumu_līmenis!J60+Pasākumu_līmenis!J62+Pasākumu_līmenis!J64+Pasākumu_līmenis!J65+Pasākumu_līmenis!J61+Pasākumu_līmenis!J66+Pasākumu_līmenis!J67</f>
        <v>205305024.12</v>
      </c>
      <c r="G44" s="208">
        <f t="shared" si="0"/>
        <v>1.0756626545641075</v>
      </c>
      <c r="H44" s="207">
        <f>Pasākumu_līmenis!Q59+Pasākumu_līmenis!Q60+Pasākumu_līmenis!Q62+Pasākumu_līmenis!Q64+Pasākumu_līmenis!Q65+Pasākumu_līmenis!Q66+Pasākumu_līmenis!Q61+Pasākumu_līmenis!Q67</f>
        <v>205305024.12</v>
      </c>
      <c r="I44" s="208">
        <f t="shared" si="1"/>
        <v>1.0756626545641075</v>
      </c>
      <c r="J44" s="207">
        <f>Pasākumu_līmenis!X59+Pasākumu_līmenis!X60+Pasākumu_līmenis!X62+Pasākumu_līmenis!X64+Pasākumu_līmenis!X65+Pasākumu_līmenis!X66+Pasākumu_līmenis!X61+Pasākumu_līmenis!X67</f>
        <v>205305024.12</v>
      </c>
      <c r="K44" s="208">
        <f t="shared" si="2"/>
        <v>1.0756626545641075</v>
      </c>
      <c r="L44" s="207">
        <f>Pasākumu_līmenis!AE59+Pasākumu_līmenis!AE60+Pasākumu_līmenis!AE62+Pasākumu_līmenis!AE64+Pasākumu_līmenis!AE65+Pasākumu_līmenis!AE66+Pasākumu_līmenis!AE61+Pasākumu_līmenis!AE67</f>
        <v>205007001.14000002</v>
      </c>
      <c r="M44" s="209">
        <f t="shared" si="5"/>
        <v>1.0741012110915868</v>
      </c>
      <c r="N44" s="64"/>
      <c r="O44" s="64"/>
      <c r="P44" s="64"/>
      <c r="Q44" s="64"/>
      <c r="S44" s="64"/>
      <c r="T44" s="64"/>
      <c r="U44" s="64"/>
      <c r="V44" s="64"/>
      <c r="W44" s="64"/>
      <c r="Y44" s="64"/>
      <c r="Z44" s="64"/>
    </row>
    <row r="45" spans="1:26" ht="20.25" x14ac:dyDescent="0.3">
      <c r="A45" s="80" t="s">
        <v>1380</v>
      </c>
      <c r="B45" s="67">
        <f>SUM(B46:B50)</f>
        <v>197429858</v>
      </c>
      <c r="C45" s="67">
        <f>SUM(C46:C50)</f>
        <v>1</v>
      </c>
      <c r="D45" s="67">
        <f>SUM(D46:D50)</f>
        <v>197429859</v>
      </c>
      <c r="E45" s="67">
        <f t="shared" ref="E45" si="6">E49</f>
        <v>0</v>
      </c>
      <c r="F45" s="67">
        <f>SUM(F46:F50)</f>
        <v>112531132.47999999</v>
      </c>
      <c r="G45" s="210">
        <f>F45/B45</f>
        <v>0.56998031412249706</v>
      </c>
      <c r="H45" s="67">
        <f>SUM(H46:H50)</f>
        <v>172648849.44999999</v>
      </c>
      <c r="I45" s="210">
        <f>H45/B45</f>
        <v>0.87448196133535172</v>
      </c>
      <c r="J45" s="67">
        <f>SUM(J46:J50)</f>
        <v>172648849.44999999</v>
      </c>
      <c r="K45" s="210">
        <f>J45/B45</f>
        <v>0.87448196133535172</v>
      </c>
      <c r="L45" s="67">
        <f>SUM(L46:L50)</f>
        <v>170583248.69999999</v>
      </c>
      <c r="M45" s="211">
        <f>L45/B45</f>
        <v>0.86401950762685542</v>
      </c>
      <c r="N45" s="64"/>
      <c r="O45" s="64"/>
      <c r="P45" s="64"/>
      <c r="Q45" s="64"/>
      <c r="R45" s="62"/>
      <c r="S45" s="64"/>
      <c r="T45" s="64"/>
      <c r="U45" s="64"/>
      <c r="V45" s="64"/>
      <c r="W45" s="64"/>
      <c r="Y45" s="64"/>
      <c r="Z45" s="64"/>
    </row>
    <row r="46" spans="1:26" ht="18.75" x14ac:dyDescent="0.3">
      <c r="A46" s="413" t="s">
        <v>349</v>
      </c>
      <c r="B46" s="322">
        <f>Pasākumu_līmenis!F155+Pasākumu_līmenis!F154+Pasākumu_līmenis!F165+Pasākumu_līmenis!F156+Pasākumu_līmenis!F157</f>
        <v>67136989</v>
      </c>
      <c r="C46" s="434">
        <f>Pasākumu_līmenis!G155+Pasākumu_līmenis!G154+Pasākumu_līmenis!G165+Pasākumu_līmenis!G156+Pasākumu_līmenis!G157</f>
        <v>1</v>
      </c>
      <c r="D46" s="204">
        <f>B46+C46</f>
        <v>67136990</v>
      </c>
      <c r="E46" s="204"/>
      <c r="F46" s="204">
        <f>Pasākumu_līmenis!J155+Pasākumu_līmenis!J154+Pasākumu_līmenis!J165+Pasākumu_līmenis!J156+Pasākumu_līmenis!J157</f>
        <v>58243962.269999996</v>
      </c>
      <c r="G46" s="205">
        <f>IFERROR(B46/F46,0)</f>
        <v>1.1526858129736235</v>
      </c>
      <c r="H46" s="204">
        <f>Pasākumu_līmenis!Q155+Pasākumu_līmenis!Q154+Pasākumu_līmenis!Q165+Pasākumu_līmenis!Q156+Pasākumu_līmenis!Q157</f>
        <v>58243962.269999996</v>
      </c>
      <c r="I46" s="205">
        <f>IFERROR(B46/H46,0)</f>
        <v>1.1526858129736235</v>
      </c>
      <c r="J46" s="204">
        <f>Pasākumu_līmenis!X155+Pasākumu_līmenis!X154+Pasākumu_līmenis!X165+Pasākumu_līmenis!X156+Pasākumu_līmenis!X157</f>
        <v>58243962.269999996</v>
      </c>
      <c r="K46" s="205">
        <f>IFERROR(B46/J46,0)</f>
        <v>1.1526858129736235</v>
      </c>
      <c r="L46" s="204">
        <f>Pasākumu_līmenis!AE155+Pasākumu_līmenis!AE154+Pasākumu_līmenis!AE165+Pasākumu_līmenis!AE156+Pasākumu_līmenis!AE157</f>
        <v>59458763.459999993</v>
      </c>
      <c r="M46" s="206">
        <f>IFERROR(B46/L46,0)</f>
        <v>1.1291353047589936</v>
      </c>
      <c r="N46" s="64"/>
      <c r="O46" s="64"/>
      <c r="P46" s="64"/>
      <c r="Q46" s="64"/>
      <c r="S46" s="64"/>
      <c r="T46" s="64"/>
      <c r="U46" s="64"/>
      <c r="V46" s="64"/>
      <c r="W46" s="64"/>
      <c r="Y46" s="64"/>
      <c r="Z46" s="64"/>
    </row>
    <row r="47" spans="1:26" ht="18.75" x14ac:dyDescent="0.3">
      <c r="A47" s="413" t="s">
        <v>348</v>
      </c>
      <c r="B47" s="442">
        <f>Pasākumu_līmenis!F160+Pasākumu_līmenis!F158</f>
        <v>15636883</v>
      </c>
      <c r="C47" s="442">
        <f>Pasākumu_līmenis!G160+Pasākumu_līmenis!G158</f>
        <v>0</v>
      </c>
      <c r="D47" s="212">
        <f>B47+C47</f>
        <v>15636883</v>
      </c>
      <c r="E47" s="442">
        <f>Pasākumu_līmenis!I159+Pasākumu_līmenis!I160</f>
        <v>0</v>
      </c>
      <c r="F47" s="442">
        <f>Pasākumu_līmenis!J160+Pasākumu_līmenis!J158</f>
        <v>15561062.92</v>
      </c>
      <c r="G47" s="213">
        <f>IFERROR(B47/F47,0)</f>
        <v>1.0048724229437149</v>
      </c>
      <c r="H47" s="442">
        <f>Pasākumu_līmenis!Q160+Pasākumu_līmenis!Q158</f>
        <v>15561062.92</v>
      </c>
      <c r="I47" s="213">
        <f>IFERROR(B47/H47,0)</f>
        <v>1.0048724229437149</v>
      </c>
      <c r="J47" s="442">
        <f>Pasākumu_līmenis!X160+Pasākumu_līmenis!X158</f>
        <v>15561062.92</v>
      </c>
      <c r="K47" s="213">
        <f>IFERROR(B47/J47,0)</f>
        <v>1.0048724229437149</v>
      </c>
      <c r="L47" s="442">
        <f>Pasākumu_līmenis!AE160+Pasākumu_līmenis!AE158</f>
        <v>15561062.92</v>
      </c>
      <c r="M47" s="214">
        <f>IFERROR(B47/L47,0)</f>
        <v>1.0048724229437149</v>
      </c>
      <c r="N47" s="64"/>
      <c r="O47" s="64"/>
      <c r="P47" s="64"/>
      <c r="Q47" s="64"/>
      <c r="S47" s="64"/>
      <c r="T47" s="64"/>
      <c r="U47" s="64"/>
      <c r="V47" s="64"/>
      <c r="W47" s="64"/>
      <c r="Y47" s="64"/>
      <c r="Z47" s="64"/>
    </row>
    <row r="48" spans="1:26" ht="18.75" x14ac:dyDescent="0.3">
      <c r="A48" s="413" t="s">
        <v>355</v>
      </c>
      <c r="B48" s="322">
        <f>Pasākumu_līmenis!F163</f>
        <v>10108455</v>
      </c>
      <c r="C48" s="322">
        <f>Pasākumu_līmenis!G163</f>
        <v>0</v>
      </c>
      <c r="D48" s="322">
        <f>B48+C48</f>
        <v>10108455</v>
      </c>
      <c r="E48" s="322"/>
      <c r="F48" s="322">
        <f>Pasākumu_līmenis!J163</f>
        <v>9741588.3200000003</v>
      </c>
      <c r="G48" s="444">
        <f>IFERROR(B48/F48,0)</f>
        <v>1.0376598423120389</v>
      </c>
      <c r="H48" s="322">
        <f>Pasākumu_līmenis!Q163</f>
        <v>9741588.3200000003</v>
      </c>
      <c r="I48" s="444">
        <f>IFERROR(B48/H48,0)</f>
        <v>1.0376598423120389</v>
      </c>
      <c r="J48" s="322">
        <f>Pasākumu_līmenis!X163</f>
        <v>9741588.3200000003</v>
      </c>
      <c r="K48" s="444">
        <f>IFERROR(B48/J48,0)</f>
        <v>1.0376598423120389</v>
      </c>
      <c r="L48" s="322">
        <f>Pasākumu_līmenis!AE163</f>
        <v>9741588.3200000003</v>
      </c>
      <c r="M48" s="444">
        <f>IFERROR(B48/L48,0)</f>
        <v>1.0376598423120389</v>
      </c>
      <c r="N48" s="64"/>
      <c r="O48" s="64"/>
      <c r="P48" s="64"/>
      <c r="Q48" s="64"/>
      <c r="S48" s="64"/>
      <c r="T48" s="64"/>
      <c r="U48" s="64"/>
      <c r="V48" s="64"/>
      <c r="W48" s="64"/>
      <c r="Y48" s="64"/>
      <c r="Z48" s="64"/>
    </row>
    <row r="49" spans="1:27" ht="18.75" x14ac:dyDescent="0.3">
      <c r="A49" s="413" t="s">
        <v>350</v>
      </c>
      <c r="B49" s="322">
        <f>Pasākumu_līmenis!F161+Pasākumu_līmenis!F162</f>
        <v>52973746</v>
      </c>
      <c r="C49" s="322">
        <f>Pasākumu_līmenis!G161+Pasākumu_līmenis!G162</f>
        <v>0</v>
      </c>
      <c r="D49" s="322">
        <f>B49+C49</f>
        <v>52973746</v>
      </c>
      <c r="E49" s="322"/>
      <c r="F49" s="322">
        <f>Pasākumu_līmenis!J161+Pasākumu_līmenis!JJ162</f>
        <v>24725187.969999999</v>
      </c>
      <c r="G49" s="444">
        <f>IFERROR(B49/F49,0)</f>
        <v>2.1425012446528227</v>
      </c>
      <c r="H49" s="322">
        <f>Pasākumu_līmenis!Q161+Pasākumu_līmenis!Q162</f>
        <v>39423475.439999998</v>
      </c>
      <c r="I49" s="444">
        <f>IFERROR(B49/H49,0)</f>
        <v>1.3437107055825823</v>
      </c>
      <c r="J49" s="322">
        <f>Pasākumu_līmenis!X161+Pasākumu_līmenis!X162</f>
        <v>39423475.439999998</v>
      </c>
      <c r="K49" s="444">
        <f>IFERROR(B49/J49,0)</f>
        <v>1.3437107055825823</v>
      </c>
      <c r="L49" s="322">
        <f>Pasākumu_līmenis!AE161+Pasākumu_līmenis!AE162</f>
        <v>39421982.5</v>
      </c>
      <c r="M49" s="444">
        <f>IFERROR(B49/L49,0)</f>
        <v>1.343761592913294</v>
      </c>
      <c r="N49" s="64"/>
      <c r="O49" s="64"/>
      <c r="P49" s="64"/>
      <c r="Q49" s="64"/>
      <c r="S49" s="64"/>
      <c r="T49" s="64"/>
      <c r="U49" s="64"/>
      <c r="V49" s="64"/>
      <c r="W49" s="64"/>
      <c r="Y49" s="64"/>
      <c r="Z49" s="64"/>
    </row>
    <row r="50" spans="1:27" ht="18.75" x14ac:dyDescent="0.3">
      <c r="A50" s="413" t="s">
        <v>352</v>
      </c>
      <c r="B50" s="443">
        <f>Pasākumu_līmenis!F164</f>
        <v>51573785</v>
      </c>
      <c r="C50" s="55">
        <f>Pasākumu_līmenis!G164</f>
        <v>0</v>
      </c>
      <c r="D50" s="204">
        <f>B50+C50</f>
        <v>51573785</v>
      </c>
      <c r="E50" s="55"/>
      <c r="F50" s="55">
        <f>Pasākumu_līmenis!J170</f>
        <v>4259331</v>
      </c>
      <c r="G50" s="205">
        <f>IFERROR(B50/F50,0)</f>
        <v>12.108423834635063</v>
      </c>
      <c r="H50" s="55">
        <f>Pasākumu_līmenis!Q164</f>
        <v>49678760.5</v>
      </c>
      <c r="I50" s="205">
        <f>IFERROR(B50/H50,0)</f>
        <v>1.0381455672590705</v>
      </c>
      <c r="J50" s="55">
        <f>Pasākumu_līmenis!X164</f>
        <v>49678760.5</v>
      </c>
      <c r="K50" s="205">
        <f>IFERROR(B50/J50,0)</f>
        <v>1.0381455672590705</v>
      </c>
      <c r="L50" s="55">
        <f>Pasākumu_līmenis!AE164</f>
        <v>46399851.5</v>
      </c>
      <c r="M50" s="206">
        <f>IFERROR(B50/L50,0)</f>
        <v>1.1115075443722056</v>
      </c>
      <c r="N50" s="64"/>
      <c r="O50" s="64"/>
      <c r="P50" s="64"/>
      <c r="Q50" s="64"/>
      <c r="S50" s="64"/>
      <c r="T50" s="64"/>
      <c r="U50" s="64"/>
      <c r="V50" s="64"/>
      <c r="W50" s="64"/>
      <c r="Y50" s="64"/>
      <c r="Z50" s="64"/>
    </row>
    <row r="51" spans="1:27" ht="20.25" x14ac:dyDescent="0.3">
      <c r="A51" s="80" t="s">
        <v>1527</v>
      </c>
      <c r="B51" s="67">
        <f>SUM(B52:B54)</f>
        <v>22489087</v>
      </c>
      <c r="C51" s="67">
        <f t="shared" ref="C51:F51" si="7">SUM(C52:C54)</f>
        <v>0</v>
      </c>
      <c r="D51" s="67">
        <f t="shared" si="7"/>
        <v>22489087</v>
      </c>
      <c r="E51" s="67">
        <f t="shared" si="7"/>
        <v>0</v>
      </c>
      <c r="F51" s="67">
        <f t="shared" si="7"/>
        <v>21467834.219999999</v>
      </c>
      <c r="G51" s="210">
        <f>F51/B51</f>
        <v>0.95458896219308498</v>
      </c>
      <c r="H51" s="67">
        <f>SUM(H52:H54)</f>
        <v>21467834.219999999</v>
      </c>
      <c r="I51" s="210">
        <f>H51/B51</f>
        <v>0.95458896219308498</v>
      </c>
      <c r="J51" s="67">
        <f>SUM(J52:J54)</f>
        <v>21467834.219999999</v>
      </c>
      <c r="K51" s="210">
        <f>J51/B51</f>
        <v>0.95458896219308498</v>
      </c>
      <c r="L51" s="67">
        <f>SUM(L52:L54)</f>
        <v>21128869.52</v>
      </c>
      <c r="M51" s="211">
        <f>L51/B51</f>
        <v>0.93951655396237288</v>
      </c>
      <c r="N51" s="64"/>
      <c r="O51" s="64"/>
      <c r="P51" s="64"/>
      <c r="Q51" s="64"/>
      <c r="S51" s="64"/>
      <c r="T51" s="64"/>
      <c r="U51" s="64"/>
      <c r="V51" s="64"/>
      <c r="W51" s="64"/>
      <c r="Y51" s="64"/>
      <c r="Z51" s="64"/>
    </row>
    <row r="52" spans="1:27" ht="18.75" x14ac:dyDescent="0.3">
      <c r="A52" s="74" t="s">
        <v>348</v>
      </c>
      <c r="B52" s="204">
        <f>Pasākumu_līmenis!F167+Pasākumu_līmenis!F168</f>
        <v>6701906</v>
      </c>
      <c r="C52" s="204">
        <f>Pasākumu_līmenis!G167+Pasākumu_līmenis!G168</f>
        <v>0</v>
      </c>
      <c r="D52" s="204">
        <f>B52+C52</f>
        <v>6701906</v>
      </c>
      <c r="E52" s="204"/>
      <c r="F52" s="204">
        <f>Pasākumu_līmenis!J167+Pasākumu_līmenis!J168</f>
        <v>5937662.7299999995</v>
      </c>
      <c r="G52" s="205">
        <f>F52/B52</f>
        <v>0.88596628033875724</v>
      </c>
      <c r="H52" s="204">
        <f>Pasākumu_līmenis!Q167+Pasākumu_līmenis!Q168</f>
        <v>5937662.7299999995</v>
      </c>
      <c r="I52" s="205">
        <f>H52/B52</f>
        <v>0.88596628033875724</v>
      </c>
      <c r="J52" s="204">
        <f>Pasākumu_līmenis!X167+Pasākumu_līmenis!X168</f>
        <v>5937662.7299999995</v>
      </c>
      <c r="K52" s="205">
        <f>J52/B52</f>
        <v>0.88596628033875724</v>
      </c>
      <c r="L52" s="204">
        <f>Pasākumu_līmenis!AE167+Pasākumu_līmenis!AE168</f>
        <v>5598698.0299999993</v>
      </c>
      <c r="M52" s="206">
        <f>L52/B52</f>
        <v>0.83538892219616323</v>
      </c>
      <c r="N52" s="64"/>
      <c r="O52" s="64"/>
      <c r="P52" s="64"/>
      <c r="Q52" s="64"/>
      <c r="S52" s="64"/>
      <c r="T52" s="64"/>
      <c r="U52" s="64"/>
      <c r="V52" s="64"/>
      <c r="W52" s="64"/>
      <c r="Y52" s="64"/>
      <c r="Z52" s="64"/>
    </row>
    <row r="53" spans="1:27" ht="18.75" x14ac:dyDescent="0.3">
      <c r="A53" s="74" t="s">
        <v>351</v>
      </c>
      <c r="B53" s="204">
        <f>Pasākumu_līmenis!F169</f>
        <v>11527850</v>
      </c>
      <c r="C53" s="204">
        <f>Pasākumu_līmenis!G169</f>
        <v>0</v>
      </c>
      <c r="D53" s="204">
        <f>B53+C53</f>
        <v>11527850</v>
      </c>
      <c r="E53" s="204"/>
      <c r="F53" s="204">
        <f>Pasākumu_līmenis!J169</f>
        <v>11270840.49</v>
      </c>
      <c r="G53" s="205">
        <f>F53/B53</f>
        <v>0.97770533880992549</v>
      </c>
      <c r="H53" s="204">
        <f>Pasākumu_līmenis!Q169</f>
        <v>11270840.49</v>
      </c>
      <c r="I53" s="205">
        <f>H53/B53</f>
        <v>0.97770533880992549</v>
      </c>
      <c r="J53" s="204">
        <f>Pasākumu_līmenis!X169</f>
        <v>11270840.49</v>
      </c>
      <c r="K53" s="205">
        <f>J53/B53</f>
        <v>0.97770533880992549</v>
      </c>
      <c r="L53" s="204">
        <f>Pasākumu_līmenis!AE169</f>
        <v>11270840.49</v>
      </c>
      <c r="M53" s="206">
        <f>L53/B53</f>
        <v>0.97770533880992549</v>
      </c>
      <c r="N53" s="64"/>
      <c r="O53" s="64"/>
      <c r="P53" s="64"/>
      <c r="Q53" s="64"/>
      <c r="S53" s="64"/>
      <c r="T53" s="64"/>
      <c r="U53" s="64"/>
      <c r="V53" s="64"/>
      <c r="W53" s="64"/>
      <c r="Y53" s="64"/>
      <c r="Z53" s="64"/>
    </row>
    <row r="54" spans="1:27" ht="19.5" thickBot="1" x14ac:dyDescent="0.35">
      <c r="A54" s="74" t="s">
        <v>352</v>
      </c>
      <c r="B54" s="204">
        <f>Pasākumu_līmenis!F170</f>
        <v>4259331</v>
      </c>
      <c r="C54" s="204">
        <f>Pasākumu_līmenis!G170</f>
        <v>0</v>
      </c>
      <c r="D54" s="204">
        <f>B54+C54</f>
        <v>4259331</v>
      </c>
      <c r="E54" s="204"/>
      <c r="F54" s="204">
        <f>Pasākumu_līmenis!J170</f>
        <v>4259331</v>
      </c>
      <c r="G54" s="205">
        <f>F54/B54</f>
        <v>1</v>
      </c>
      <c r="H54" s="204">
        <f>Pasākumu_līmenis!Q170</f>
        <v>4259331</v>
      </c>
      <c r="I54" s="205">
        <f>H54/B54</f>
        <v>1</v>
      </c>
      <c r="J54" s="204">
        <f>Pasākumu_līmenis!X170</f>
        <v>4259331</v>
      </c>
      <c r="K54" s="205">
        <f>J54/B54</f>
        <v>1</v>
      </c>
      <c r="L54" s="204">
        <f>Pasākumu_līmenis!AE170</f>
        <v>4259331</v>
      </c>
      <c r="M54" s="206">
        <f>L54/B54</f>
        <v>1</v>
      </c>
      <c r="N54" s="64"/>
      <c r="O54" s="64"/>
      <c r="P54" s="64"/>
      <c r="Q54" s="64"/>
      <c r="S54" s="64"/>
      <c r="T54" s="64"/>
      <c r="U54" s="64"/>
      <c r="V54" s="64"/>
      <c r="W54" s="64"/>
      <c r="Y54" s="64"/>
      <c r="Z54" s="64"/>
    </row>
    <row r="55" spans="1:27" ht="5.25" customHeight="1" thickBot="1" x14ac:dyDescent="0.35">
      <c r="A55" s="85"/>
      <c r="B55" s="86"/>
      <c r="C55" s="86"/>
      <c r="D55" s="86"/>
      <c r="E55" s="86"/>
      <c r="F55" s="86"/>
      <c r="G55" s="86"/>
      <c r="H55" s="86"/>
      <c r="I55" s="86"/>
      <c r="J55" s="86"/>
      <c r="K55" s="86"/>
      <c r="L55" s="86"/>
      <c r="M55" s="87"/>
      <c r="O55" s="62"/>
      <c r="P55" s="62"/>
      <c r="Q55" s="62"/>
      <c r="R55" s="62"/>
      <c r="S55" s="62"/>
      <c r="U55" s="62"/>
      <c r="V55" s="62"/>
      <c r="W55" s="62"/>
      <c r="X55" s="62"/>
      <c r="Y55" s="62"/>
      <c r="Z55" s="62"/>
      <c r="AA55" s="62"/>
    </row>
    <row r="56" spans="1:27" s="65" customFormat="1" ht="41.25" thickBot="1" x14ac:dyDescent="0.35">
      <c r="A56" s="287" t="s">
        <v>1281</v>
      </c>
      <c r="B56" s="288">
        <f>Fin_progress!H235</f>
        <v>9238922</v>
      </c>
      <c r="C56" s="289">
        <f>Fin_progress!I235</f>
        <v>-7399760</v>
      </c>
      <c r="D56" s="289">
        <f>Fin_progress!J235</f>
        <v>1839162</v>
      </c>
      <c r="E56" s="289" t="s">
        <v>1282</v>
      </c>
      <c r="F56" s="289" t="s">
        <v>1282</v>
      </c>
      <c r="G56" s="290" t="s">
        <v>1282</v>
      </c>
      <c r="H56" s="289" t="s">
        <v>1282</v>
      </c>
      <c r="I56" s="290" t="s">
        <v>1282</v>
      </c>
      <c r="J56" s="289" t="s">
        <v>1282</v>
      </c>
      <c r="K56" s="290" t="s">
        <v>1282</v>
      </c>
      <c r="L56" s="289" t="s">
        <v>1282</v>
      </c>
      <c r="M56" s="291" t="s">
        <v>1282</v>
      </c>
      <c r="N56" s="63"/>
      <c r="O56" s="63"/>
      <c r="P56" s="63"/>
      <c r="Q56" s="63"/>
      <c r="S56" s="63"/>
      <c r="T56" s="63"/>
      <c r="U56" s="63"/>
      <c r="V56" s="63"/>
      <c r="W56" s="63"/>
      <c r="Y56" s="63"/>
      <c r="Z56" s="63"/>
    </row>
    <row r="57" spans="1:27" ht="4.5" customHeight="1" thickBot="1" x14ac:dyDescent="0.35">
      <c r="A57" s="525"/>
      <c r="B57" s="526"/>
      <c r="C57" s="526"/>
      <c r="D57" s="526"/>
      <c r="E57" s="526"/>
      <c r="F57" s="526"/>
      <c r="G57" s="526"/>
      <c r="H57" s="526"/>
      <c r="I57" s="526"/>
      <c r="J57" s="526"/>
      <c r="K57" s="526"/>
      <c r="L57" s="526"/>
      <c r="M57" s="527"/>
    </row>
    <row r="58" spans="1:27" ht="60.75" x14ac:dyDescent="0.3">
      <c r="A58" s="365" t="s">
        <v>1350</v>
      </c>
      <c r="B58" s="366">
        <f>Pasākumu_līmenis!F179</f>
        <v>2524642</v>
      </c>
      <c r="C58" s="368">
        <f>Pasākumu_līmenis!G179</f>
        <v>0</v>
      </c>
      <c r="D58" s="368">
        <f>B58+C58</f>
        <v>2524642</v>
      </c>
      <c r="E58" s="367"/>
      <c r="F58" s="369" t="s">
        <v>1282</v>
      </c>
      <c r="G58" s="369" t="s">
        <v>1282</v>
      </c>
      <c r="H58" s="369" t="s">
        <v>1282</v>
      </c>
      <c r="I58" s="369" t="s">
        <v>1282</v>
      </c>
      <c r="J58" s="369" t="s">
        <v>1282</v>
      </c>
      <c r="K58" s="369" t="s">
        <v>1282</v>
      </c>
      <c r="L58" s="369" t="s">
        <v>1282</v>
      </c>
      <c r="M58" s="370" t="s">
        <v>1282</v>
      </c>
    </row>
    <row r="59" spans="1:27" ht="61.5" thickBot="1" x14ac:dyDescent="0.35">
      <c r="A59" s="371" t="s">
        <v>1351</v>
      </c>
      <c r="B59" s="372">
        <f>Pasākumu_līmenis!F180</f>
        <v>0</v>
      </c>
      <c r="C59" s="374">
        <f>Pasākumu_līmenis!G180</f>
        <v>0</v>
      </c>
      <c r="D59" s="374">
        <f>B59+C59</f>
        <v>0</v>
      </c>
      <c r="E59" s="373"/>
      <c r="F59" s="375" t="s">
        <v>1282</v>
      </c>
      <c r="G59" s="375" t="s">
        <v>1282</v>
      </c>
      <c r="H59" s="375" t="s">
        <v>1282</v>
      </c>
      <c r="I59" s="375" t="s">
        <v>1282</v>
      </c>
      <c r="J59" s="375" t="s">
        <v>1282</v>
      </c>
      <c r="K59" s="375" t="s">
        <v>1282</v>
      </c>
      <c r="L59" s="375" t="s">
        <v>1282</v>
      </c>
      <c r="M59" s="376" t="s">
        <v>1282</v>
      </c>
    </row>
    <row r="62" spans="1:27" ht="15.75" x14ac:dyDescent="0.25">
      <c r="A62" s="513"/>
      <c r="B62" s="536" t="s">
        <v>1297</v>
      </c>
      <c r="C62" s="536"/>
      <c r="D62" s="536"/>
      <c r="E62" s="414"/>
      <c r="F62" s="539" t="s">
        <v>1298</v>
      </c>
      <c r="G62" s="540"/>
      <c r="H62" s="541"/>
      <c r="I62" s="537" t="s">
        <v>1299</v>
      </c>
    </row>
    <row r="63" spans="1:27" ht="15.75" x14ac:dyDescent="0.25">
      <c r="A63" s="514"/>
      <c r="B63" s="414" t="s">
        <v>1300</v>
      </c>
      <c r="C63" s="414" t="s">
        <v>1301</v>
      </c>
      <c r="D63" s="414" t="s">
        <v>402</v>
      </c>
      <c r="E63" s="414"/>
      <c r="F63" s="415" t="s">
        <v>1300</v>
      </c>
      <c r="G63" s="415" t="s">
        <v>1301</v>
      </c>
      <c r="H63" s="415" t="s">
        <v>402</v>
      </c>
      <c r="I63" s="537"/>
    </row>
    <row r="64" spans="1:27" ht="15.75" x14ac:dyDescent="0.25">
      <c r="A64" s="515"/>
      <c r="B64" s="416">
        <f>SUM(B65:B75)</f>
        <v>4408994280</v>
      </c>
      <c r="C64" s="416">
        <f t="shared" ref="C64:D64" si="8">SUM(C65:C75)</f>
        <v>224193689</v>
      </c>
      <c r="D64" s="416">
        <f t="shared" si="8"/>
        <v>4633187968</v>
      </c>
      <c r="E64" s="416"/>
      <c r="F64" s="416">
        <f>SUM(F65:F75)</f>
        <v>9238922</v>
      </c>
      <c r="G64" s="416">
        <f>SUM(G65:G75)</f>
        <v>-7399760</v>
      </c>
      <c r="H64" s="416">
        <f>G64+F64</f>
        <v>1839162</v>
      </c>
      <c r="I64" s="416">
        <f>B64+F64</f>
        <v>4418233202</v>
      </c>
    </row>
    <row r="65" spans="1:9" ht="15.75" x14ac:dyDescent="0.25">
      <c r="A65" s="417" t="s">
        <v>349</v>
      </c>
      <c r="B65" s="310">
        <f>B9-B80</f>
        <v>766927359</v>
      </c>
      <c r="C65" s="310">
        <f t="shared" ref="B65:D75" si="9">C9</f>
        <v>116550001</v>
      </c>
      <c r="D65" s="310">
        <f>D9-D80</f>
        <v>883477359</v>
      </c>
      <c r="E65" s="310"/>
      <c r="F65" s="310">
        <f>Pasākumu_līmenis!F192</f>
        <v>7399760</v>
      </c>
      <c r="G65" s="310">
        <f>Pasākumu_līmenis!G192</f>
        <v>-7399760</v>
      </c>
      <c r="H65" s="310">
        <f t="shared" ref="H65:H75" si="10">G65+F65</f>
        <v>0</v>
      </c>
      <c r="I65" s="310">
        <f>B65+F65</f>
        <v>774327119</v>
      </c>
    </row>
    <row r="66" spans="1:9" ht="15.75" x14ac:dyDescent="0.25">
      <c r="A66" s="417" t="s">
        <v>356</v>
      </c>
      <c r="B66" s="310">
        <f t="shared" si="9"/>
        <v>101316303</v>
      </c>
      <c r="C66" s="310">
        <f t="shared" si="9"/>
        <v>0</v>
      </c>
      <c r="D66" s="310">
        <f t="shared" si="9"/>
        <v>101316303</v>
      </c>
      <c r="E66" s="310"/>
      <c r="F66" s="310">
        <v>0</v>
      </c>
      <c r="G66" s="310">
        <v>0</v>
      </c>
      <c r="H66" s="310">
        <f t="shared" si="10"/>
        <v>0</v>
      </c>
      <c r="I66" s="310">
        <f t="shared" ref="I66:I85" si="11">B66+F66</f>
        <v>101316303</v>
      </c>
    </row>
    <row r="67" spans="1:9" ht="15.75" x14ac:dyDescent="0.25">
      <c r="A67" s="417" t="s">
        <v>348</v>
      </c>
      <c r="B67" s="310">
        <f>B11-B81</f>
        <v>809399407</v>
      </c>
      <c r="C67" s="310">
        <f t="shared" si="9"/>
        <v>8534803</v>
      </c>
      <c r="D67" s="310">
        <f>D11-D81</f>
        <v>817934210</v>
      </c>
      <c r="E67" s="310"/>
      <c r="F67" s="310">
        <f>Pasākumu_līmenis!F196+Pasākumu_līmenis!F197</f>
        <v>779203</v>
      </c>
      <c r="G67" s="310">
        <v>0</v>
      </c>
      <c r="H67" s="310">
        <f t="shared" si="10"/>
        <v>779203</v>
      </c>
      <c r="I67" s="310">
        <f t="shared" si="11"/>
        <v>810178610</v>
      </c>
    </row>
    <row r="68" spans="1:9" ht="15.75" x14ac:dyDescent="0.25">
      <c r="A68" s="417" t="s">
        <v>355</v>
      </c>
      <c r="B68" s="310">
        <f>B12-B82</f>
        <v>126060289</v>
      </c>
      <c r="C68" s="310">
        <f t="shared" si="9"/>
        <v>0</v>
      </c>
      <c r="D68" s="310">
        <f>D12-D82</f>
        <v>126060289</v>
      </c>
      <c r="E68" s="310"/>
      <c r="F68" s="310">
        <v>0</v>
      </c>
      <c r="G68" s="310">
        <v>0</v>
      </c>
      <c r="H68" s="310">
        <f t="shared" si="10"/>
        <v>0</v>
      </c>
      <c r="I68" s="310">
        <f t="shared" si="11"/>
        <v>126060289</v>
      </c>
    </row>
    <row r="69" spans="1:9" ht="15.75" x14ac:dyDescent="0.25">
      <c r="A69" s="417" t="s">
        <v>351</v>
      </c>
      <c r="B69" s="310">
        <f>B13-B83</f>
        <v>380998702</v>
      </c>
      <c r="C69" s="310">
        <f t="shared" si="9"/>
        <v>782851</v>
      </c>
      <c r="D69" s="310">
        <f>D13-D83</f>
        <v>381781553</v>
      </c>
      <c r="E69" s="310"/>
      <c r="F69" s="310">
        <f>Pasākumu_līmenis!F194</f>
        <v>0</v>
      </c>
      <c r="G69" s="310">
        <v>0</v>
      </c>
      <c r="H69" s="310">
        <f t="shared" si="10"/>
        <v>0</v>
      </c>
      <c r="I69" s="310">
        <f t="shared" si="11"/>
        <v>380998702</v>
      </c>
    </row>
    <row r="70" spans="1:9" ht="15.75" x14ac:dyDescent="0.25">
      <c r="A70" s="417" t="s">
        <v>347</v>
      </c>
      <c r="B70" s="310">
        <f t="shared" si="9"/>
        <v>1215646611</v>
      </c>
      <c r="C70" s="310">
        <f t="shared" si="9"/>
        <v>0</v>
      </c>
      <c r="D70" s="310">
        <f t="shared" si="9"/>
        <v>1215646611</v>
      </c>
      <c r="E70" s="310"/>
      <c r="F70" s="310">
        <v>0</v>
      </c>
      <c r="G70" s="310">
        <v>0</v>
      </c>
      <c r="H70" s="310">
        <f t="shared" si="10"/>
        <v>0</v>
      </c>
      <c r="I70" s="310">
        <f t="shared" si="11"/>
        <v>1215646611</v>
      </c>
    </row>
    <row r="71" spans="1:9" ht="15.75" x14ac:dyDescent="0.25">
      <c r="A71" s="417" t="s">
        <v>353</v>
      </c>
      <c r="B71" s="310">
        <f t="shared" si="9"/>
        <v>17490523</v>
      </c>
      <c r="C71" s="310">
        <f t="shared" si="9"/>
        <v>0</v>
      </c>
      <c r="D71" s="310">
        <f t="shared" si="9"/>
        <v>17490523</v>
      </c>
      <c r="E71" s="310"/>
      <c r="F71" s="310">
        <v>0</v>
      </c>
      <c r="G71" s="310">
        <v>0</v>
      </c>
      <c r="H71" s="310">
        <f t="shared" si="10"/>
        <v>0</v>
      </c>
      <c r="I71" s="310">
        <f t="shared" si="11"/>
        <v>17490523</v>
      </c>
    </row>
    <row r="72" spans="1:9" ht="15.75" x14ac:dyDescent="0.25">
      <c r="A72" s="417" t="s">
        <v>350</v>
      </c>
      <c r="B72" s="310">
        <f>B16-B84</f>
        <v>692267897</v>
      </c>
      <c r="C72" s="310">
        <f t="shared" si="9"/>
        <v>46914125</v>
      </c>
      <c r="D72" s="310">
        <f>D16-D84</f>
        <v>739182022</v>
      </c>
      <c r="E72" s="310"/>
      <c r="F72" s="310">
        <f>Pasākumu_līmenis!F191</f>
        <v>1059959</v>
      </c>
      <c r="G72" s="310">
        <v>0</v>
      </c>
      <c r="H72" s="310">
        <f t="shared" si="10"/>
        <v>1059959</v>
      </c>
      <c r="I72" s="310">
        <f t="shared" si="11"/>
        <v>693327856</v>
      </c>
    </row>
    <row r="73" spans="1:9" ht="15.75" x14ac:dyDescent="0.25">
      <c r="A73" s="417" t="s">
        <v>354</v>
      </c>
      <c r="B73" s="310">
        <f t="shared" si="9"/>
        <v>8569373</v>
      </c>
      <c r="C73" s="310">
        <f t="shared" si="9"/>
        <v>0</v>
      </c>
      <c r="D73" s="310">
        <f t="shared" si="9"/>
        <v>8569373</v>
      </c>
      <c r="E73" s="310"/>
      <c r="F73" s="310">
        <v>0</v>
      </c>
      <c r="G73" s="310">
        <v>0</v>
      </c>
      <c r="H73" s="310">
        <f t="shared" si="10"/>
        <v>0</v>
      </c>
      <c r="I73" s="310">
        <f t="shared" si="11"/>
        <v>8569373</v>
      </c>
    </row>
    <row r="74" spans="1:9" ht="15.75" x14ac:dyDescent="0.25">
      <c r="A74" s="417" t="s">
        <v>352</v>
      </c>
      <c r="B74" s="310">
        <f>B18-B85</f>
        <v>290317816</v>
      </c>
      <c r="C74" s="310">
        <f t="shared" si="9"/>
        <v>14530393</v>
      </c>
      <c r="D74" s="310">
        <f>D18-D85</f>
        <v>304848209</v>
      </c>
      <c r="E74" s="310"/>
      <c r="F74" s="310">
        <v>0</v>
      </c>
      <c r="G74" s="310">
        <v>0</v>
      </c>
      <c r="H74" s="310">
        <f t="shared" si="10"/>
        <v>0</v>
      </c>
      <c r="I74" s="310">
        <f t="shared" si="11"/>
        <v>290317816</v>
      </c>
    </row>
    <row r="75" spans="1:9" ht="15.75" x14ac:dyDescent="0.25">
      <c r="A75" s="417" t="s">
        <v>400</v>
      </c>
      <c r="B75" s="310">
        <f t="shared" si="9"/>
        <v>0</v>
      </c>
      <c r="C75" s="310">
        <f t="shared" si="9"/>
        <v>36881516</v>
      </c>
      <c r="D75" s="310">
        <f t="shared" si="9"/>
        <v>36881516</v>
      </c>
      <c r="E75" s="310"/>
      <c r="F75" s="310">
        <v>0</v>
      </c>
      <c r="G75" s="310">
        <v>0</v>
      </c>
      <c r="H75" s="310">
        <f t="shared" si="10"/>
        <v>0</v>
      </c>
      <c r="I75" s="310">
        <f t="shared" si="11"/>
        <v>0</v>
      </c>
    </row>
    <row r="76" spans="1:9" ht="15.75" x14ac:dyDescent="0.25">
      <c r="A76" s="538" t="s">
        <v>1302</v>
      </c>
      <c r="B76" s="538"/>
      <c r="C76" s="538"/>
      <c r="D76" s="538"/>
      <c r="E76" s="418"/>
      <c r="F76" s="416">
        <f>B56</f>
        <v>9238922</v>
      </c>
      <c r="G76" s="416">
        <f>C56</f>
        <v>-7399760</v>
      </c>
      <c r="H76" s="416">
        <f>G76+F76</f>
        <v>1839162</v>
      </c>
      <c r="I76" s="416">
        <f t="shared" si="11"/>
        <v>9238922</v>
      </c>
    </row>
    <row r="77" spans="1:9" ht="15.75" x14ac:dyDescent="0.25">
      <c r="A77" s="544" t="s">
        <v>1305</v>
      </c>
      <c r="B77" s="544"/>
      <c r="C77" s="544"/>
      <c r="D77" s="544" t="s">
        <v>1305</v>
      </c>
      <c r="E77" s="419"/>
      <c r="F77" s="420">
        <f>F64-F76</f>
        <v>0</v>
      </c>
      <c r="G77" s="420">
        <f>G64-G76</f>
        <v>0</v>
      </c>
      <c r="H77" s="420">
        <f>H64-H76</f>
        <v>0</v>
      </c>
      <c r="I77" s="416">
        <f t="shared" si="11"/>
        <v>0</v>
      </c>
    </row>
    <row r="78" spans="1:9" ht="15.75" x14ac:dyDescent="0.25">
      <c r="A78" s="542"/>
      <c r="B78" s="421" t="s">
        <v>1345</v>
      </c>
      <c r="C78" s="422" t="s">
        <v>1301</v>
      </c>
      <c r="D78" s="422" t="s">
        <v>402</v>
      </c>
      <c r="E78" s="421"/>
      <c r="F78" s="421" t="s">
        <v>1345</v>
      </c>
      <c r="G78" s="423" t="s">
        <v>1301</v>
      </c>
      <c r="H78" s="423" t="s">
        <v>402</v>
      </c>
      <c r="I78" s="416"/>
    </row>
    <row r="79" spans="1:9" ht="15.75" x14ac:dyDescent="0.25">
      <c r="A79" s="543"/>
      <c r="B79" s="416">
        <f t="shared" ref="B79:G79" si="12">SUM(B80:B85)</f>
        <v>219918945</v>
      </c>
      <c r="C79" s="416">
        <f t="shared" si="12"/>
        <v>1</v>
      </c>
      <c r="D79" s="416">
        <f t="shared" si="12"/>
        <v>219918946</v>
      </c>
      <c r="E79" s="416">
        <f t="shared" si="12"/>
        <v>0</v>
      </c>
      <c r="F79" s="416">
        <f t="shared" si="12"/>
        <v>2524642</v>
      </c>
      <c r="G79" s="416">
        <f t="shared" si="12"/>
        <v>0</v>
      </c>
      <c r="H79" s="416">
        <f>F79+G79</f>
        <v>2524642</v>
      </c>
      <c r="I79" s="416">
        <f>B79+F79</f>
        <v>222443587</v>
      </c>
    </row>
    <row r="80" spans="1:9" ht="15.75" x14ac:dyDescent="0.25">
      <c r="A80" s="315" t="s">
        <v>349</v>
      </c>
      <c r="B80" s="314">
        <f>B46</f>
        <v>67136989</v>
      </c>
      <c r="C80" s="424">
        <f>C46</f>
        <v>1</v>
      </c>
      <c r="D80" s="314">
        <f>B80+C80</f>
        <v>67136990</v>
      </c>
      <c r="E80" s="313"/>
      <c r="F80" s="310">
        <f>Pasākumu_līmenis!F200</f>
        <v>0</v>
      </c>
      <c r="G80" s="310">
        <f>Pasākumu_līmenis!G200</f>
        <v>0</v>
      </c>
      <c r="H80" s="310">
        <f t="shared" ref="H80:H85" si="13">F80+G80</f>
        <v>0</v>
      </c>
      <c r="I80" s="310">
        <f>B80+F80</f>
        <v>67136989</v>
      </c>
    </row>
    <row r="81" spans="1:9" ht="15.75" x14ac:dyDescent="0.25">
      <c r="A81" s="315" t="s">
        <v>348</v>
      </c>
      <c r="B81" s="314">
        <f>B47+B52</f>
        <v>22338789</v>
      </c>
      <c r="C81" s="424">
        <f>SUM(C82:C87)</f>
        <v>0</v>
      </c>
      <c r="D81" s="314">
        <f t="shared" ref="D81:D85" si="14">B81+C81</f>
        <v>22338789</v>
      </c>
      <c r="E81" s="313"/>
      <c r="F81" s="310">
        <f>Pasākumu_līmenis!F201+Pasākumu_līmenis!F202</f>
        <v>2524642</v>
      </c>
      <c r="G81" s="310">
        <f>Pasākumu_līmenis!G201+Pasākumu_līmenis!G202</f>
        <v>0</v>
      </c>
      <c r="H81" s="310">
        <f t="shared" si="13"/>
        <v>2524642</v>
      </c>
      <c r="I81" s="310">
        <f t="shared" si="11"/>
        <v>24863431</v>
      </c>
    </row>
    <row r="82" spans="1:9" ht="15.75" x14ac:dyDescent="0.25">
      <c r="A82" s="315" t="s">
        <v>355</v>
      </c>
      <c r="B82" s="314">
        <f>B48</f>
        <v>10108455</v>
      </c>
      <c r="C82" s="424">
        <f>SUM(C83:C88)</f>
        <v>0</v>
      </c>
      <c r="D82" s="314">
        <f t="shared" si="14"/>
        <v>10108455</v>
      </c>
      <c r="E82" s="313"/>
      <c r="F82" s="310">
        <v>0</v>
      </c>
      <c r="G82" s="310">
        <v>0</v>
      </c>
      <c r="H82" s="310">
        <f t="shared" si="13"/>
        <v>0</v>
      </c>
      <c r="I82" s="310">
        <f t="shared" si="11"/>
        <v>10108455</v>
      </c>
    </row>
    <row r="83" spans="1:9" ht="15.75" x14ac:dyDescent="0.25">
      <c r="A83" s="315" t="s">
        <v>351</v>
      </c>
      <c r="B83" s="314">
        <f>B53</f>
        <v>11527850</v>
      </c>
      <c r="C83" s="424">
        <f t="shared" ref="C83" si="15">SUM(C84:C89)</f>
        <v>0</v>
      </c>
      <c r="D83" s="314">
        <f t="shared" si="14"/>
        <v>11527850</v>
      </c>
      <c r="E83" s="313"/>
      <c r="F83" s="310">
        <v>0</v>
      </c>
      <c r="G83" s="310">
        <v>0</v>
      </c>
      <c r="H83" s="310">
        <f t="shared" si="13"/>
        <v>0</v>
      </c>
      <c r="I83" s="310">
        <f t="shared" si="11"/>
        <v>11527850</v>
      </c>
    </row>
    <row r="84" spans="1:9" ht="15.75" x14ac:dyDescent="0.25">
      <c r="A84" s="315" t="s">
        <v>350</v>
      </c>
      <c r="B84" s="310">
        <f>B49</f>
        <v>52973746</v>
      </c>
      <c r="C84" s="424">
        <f t="shared" ref="C84" si="16">SUM(C85:C90)</f>
        <v>0</v>
      </c>
      <c r="D84" s="314">
        <f t="shared" si="14"/>
        <v>52973746</v>
      </c>
      <c r="E84" s="313"/>
      <c r="F84" s="310">
        <f>Pasākumu_līmenis!F203</f>
        <v>0</v>
      </c>
      <c r="G84" s="310">
        <v>0</v>
      </c>
      <c r="H84" s="310">
        <f t="shared" si="13"/>
        <v>0</v>
      </c>
      <c r="I84" s="310">
        <f t="shared" si="11"/>
        <v>52973746</v>
      </c>
    </row>
    <row r="85" spans="1:9" ht="15.75" x14ac:dyDescent="0.25">
      <c r="A85" s="315" t="s">
        <v>352</v>
      </c>
      <c r="B85" s="314">
        <f>B50+B54</f>
        <v>55833116</v>
      </c>
      <c r="C85" s="424">
        <f t="shared" ref="C85" si="17">SUM(C86:C91)</f>
        <v>0</v>
      </c>
      <c r="D85" s="314">
        <f t="shared" si="14"/>
        <v>55833116</v>
      </c>
      <c r="E85" s="313"/>
      <c r="F85" s="310">
        <f>Pasākumu_līmenis!F204</f>
        <v>0</v>
      </c>
      <c r="G85" s="310">
        <f>Pasākumu_līmenis!G204</f>
        <v>0</v>
      </c>
      <c r="H85" s="310">
        <f t="shared" si="13"/>
        <v>0</v>
      </c>
      <c r="I85" s="310">
        <f t="shared" si="11"/>
        <v>55833116</v>
      </c>
    </row>
  </sheetData>
  <sortState xmlns:xlrd2="http://schemas.microsoft.com/office/spreadsheetml/2017/richdata2" ref="A14:A24">
    <sortCondition ref="A14"/>
  </sortState>
  <mergeCells count="17">
    <mergeCell ref="B62:D62"/>
    <mergeCell ref="I62:I63"/>
    <mergeCell ref="A76:D76"/>
    <mergeCell ref="F62:H62"/>
    <mergeCell ref="A78:A79"/>
    <mergeCell ref="A77:D77"/>
    <mergeCell ref="A62:A64"/>
    <mergeCell ref="B1:M1"/>
    <mergeCell ref="A2:M2"/>
    <mergeCell ref="A3:M3"/>
    <mergeCell ref="A57:M57"/>
    <mergeCell ref="F4:G4"/>
    <mergeCell ref="H4:I4"/>
    <mergeCell ref="J4:K4"/>
    <mergeCell ref="L4:M4"/>
    <mergeCell ref="A4:A5"/>
    <mergeCell ref="B4:E4"/>
  </mergeCells>
  <pageMargins left="0.25" right="0.25" top="0.75" bottom="0.75" header="0.3" footer="0.3"/>
  <pageSetup paperSize="9" scale="5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4" tint="0.59999389629810485"/>
  </sheetPr>
  <dimension ref="A1:D20"/>
  <sheetViews>
    <sheetView workbookViewId="0">
      <selection activeCell="R15" sqref="R15"/>
    </sheetView>
  </sheetViews>
  <sheetFormatPr defaultRowHeight="15" x14ac:dyDescent="0.25"/>
  <cols>
    <col min="1" max="1" width="27.5703125" customWidth="1"/>
    <col min="2" max="2" width="14.42578125" customWidth="1"/>
    <col min="3" max="3" width="17.42578125" customWidth="1"/>
    <col min="4" max="4" width="15" customWidth="1"/>
  </cols>
  <sheetData>
    <row r="1" spans="1:4" ht="15.75" x14ac:dyDescent="0.25">
      <c r="A1" s="266" t="str">
        <f>Pasākumu_līmenis!A2</f>
        <v>Sagatavots 08.04.2025.</v>
      </c>
    </row>
    <row r="3" spans="1:4" x14ac:dyDescent="0.25">
      <c r="D3" s="57"/>
    </row>
    <row r="4" spans="1:4" ht="15" customHeight="1" x14ac:dyDescent="0.25">
      <c r="A4" s="545" t="s">
        <v>1609</v>
      </c>
      <c r="B4" s="545"/>
      <c r="C4" s="545"/>
      <c r="D4" s="57"/>
    </row>
    <row r="5" spans="1:4" ht="20.25" customHeight="1" x14ac:dyDescent="0.25">
      <c r="A5" s="547" t="s">
        <v>392</v>
      </c>
      <c r="B5" s="547" t="s">
        <v>2</v>
      </c>
      <c r="C5" s="548" t="s">
        <v>424</v>
      </c>
      <c r="D5" s="549"/>
    </row>
    <row r="6" spans="1:4" ht="60" customHeight="1" x14ac:dyDescent="0.25">
      <c r="A6" s="547"/>
      <c r="B6" s="547"/>
      <c r="C6" s="125" t="s">
        <v>425</v>
      </c>
      <c r="D6" s="126" t="s">
        <v>1254</v>
      </c>
    </row>
    <row r="7" spans="1:4" ht="13.5" customHeight="1" x14ac:dyDescent="0.25">
      <c r="A7" s="546" t="s">
        <v>1243</v>
      </c>
      <c r="B7" s="110" t="s">
        <v>346</v>
      </c>
      <c r="C7" s="127">
        <v>676704825</v>
      </c>
      <c r="D7" s="111">
        <f>C7/Fin_progress!H8</f>
        <v>1.0011528117716977</v>
      </c>
    </row>
    <row r="8" spans="1:4" ht="13.5" customHeight="1" x14ac:dyDescent="0.25">
      <c r="A8" s="546"/>
      <c r="B8" s="110" t="s">
        <v>345</v>
      </c>
      <c r="C8" s="127">
        <v>1246634592</v>
      </c>
      <c r="D8" s="111">
        <f>C8/Fin_progress!H11</f>
        <v>1.0068324104974791</v>
      </c>
    </row>
    <row r="9" spans="1:4" ht="13.5" customHeight="1" x14ac:dyDescent="0.25">
      <c r="A9" s="546"/>
      <c r="B9" s="110" t="s">
        <v>344</v>
      </c>
      <c r="C9" s="127">
        <v>2465883158</v>
      </c>
      <c r="D9" s="111">
        <f>C9/Fin_progress!H10</f>
        <v>1</v>
      </c>
    </row>
    <row r="10" spans="1:4" ht="13.5" customHeight="1" x14ac:dyDescent="0.25">
      <c r="A10" s="546"/>
      <c r="B10" s="110" t="s">
        <v>358</v>
      </c>
      <c r="C10" s="127">
        <v>29010639</v>
      </c>
      <c r="D10" s="111">
        <f>C10/Fin_progress!H9</f>
        <v>1</v>
      </c>
    </row>
    <row r="11" spans="1:4" ht="13.5" customHeight="1" x14ac:dyDescent="0.25">
      <c r="A11" s="379"/>
      <c r="B11" s="110" t="s">
        <v>1353</v>
      </c>
      <c r="C11" s="127">
        <v>199954500</v>
      </c>
      <c r="D11" s="111">
        <f>C11/Fin_progress!H12</f>
        <v>1</v>
      </c>
    </row>
    <row r="12" spans="1:4" ht="13.5" customHeight="1" x14ac:dyDescent="0.25">
      <c r="A12" s="379"/>
      <c r="B12" s="110" t="s">
        <v>1354</v>
      </c>
      <c r="C12" s="127">
        <v>22489087</v>
      </c>
      <c r="D12" s="111">
        <f>C12/Fin_progress!H13</f>
        <v>1</v>
      </c>
    </row>
    <row r="13" spans="1:4" ht="15.75" x14ac:dyDescent="0.25">
      <c r="A13" s="112" t="s">
        <v>393</v>
      </c>
      <c r="B13" s="113"/>
      <c r="C13" s="114">
        <f>SUM(C7:C12)</f>
        <v>4640676801</v>
      </c>
      <c r="D13" s="115">
        <f>C13/Fin_progress!H6</f>
        <v>1.0000000025858298</v>
      </c>
    </row>
    <row r="14" spans="1:4" x14ac:dyDescent="0.25">
      <c r="B14" s="57"/>
      <c r="C14" s="59"/>
      <c r="D14" s="57"/>
    </row>
    <row r="15" spans="1:4" x14ac:dyDescent="0.25">
      <c r="A15" s="60"/>
      <c r="B15" s="57"/>
      <c r="C15" s="59"/>
      <c r="D15" s="57"/>
    </row>
    <row r="16" spans="1:4" x14ac:dyDescent="0.25">
      <c r="A16" s="474" t="s">
        <v>616</v>
      </c>
      <c r="B16" s="57"/>
      <c r="C16" s="59"/>
      <c r="D16" s="57"/>
    </row>
    <row r="17" spans="1:1" x14ac:dyDescent="0.25">
      <c r="A17" s="58"/>
    </row>
    <row r="18" spans="1:1" x14ac:dyDescent="0.25">
      <c r="A18" s="58"/>
    </row>
    <row r="19" spans="1:1" x14ac:dyDescent="0.25">
      <c r="A19" s="58"/>
    </row>
    <row r="20" spans="1:1" x14ac:dyDescent="0.25">
      <c r="A20" s="58"/>
    </row>
  </sheetData>
  <mergeCells count="5">
    <mergeCell ref="A4:C4"/>
    <mergeCell ref="A7:A10"/>
    <mergeCell ref="A5:A6"/>
    <mergeCell ref="B5:B6"/>
    <mergeCell ref="C5:D5"/>
  </mergeCells>
  <hyperlinks>
    <hyperlink ref="A16" r:id="rId1" xr:uid="{8B9126DA-A705-458C-A02C-EE1169EB1EAB}"/>
  </hyperlinks>
  <pageMargins left="0.7" right="0.7" top="0.75" bottom="0.75" header="0.3" footer="0.3"/>
  <pageSetup paperSize="9"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4" tint="0.59999389629810485"/>
    <pageSetUpPr fitToPage="1"/>
  </sheetPr>
  <dimension ref="A1:L16"/>
  <sheetViews>
    <sheetView zoomScaleNormal="100" workbookViewId="0">
      <selection activeCell="A12" sqref="A12"/>
    </sheetView>
  </sheetViews>
  <sheetFormatPr defaultRowHeight="15" x14ac:dyDescent="0.25"/>
  <cols>
    <col min="1" max="1" width="24.42578125" customWidth="1"/>
    <col min="2" max="2" width="25.5703125" customWidth="1"/>
    <col min="3" max="3" width="20.42578125" customWidth="1"/>
    <col min="4" max="4" width="14.5703125" customWidth="1"/>
    <col min="5" max="5" width="20.42578125" customWidth="1"/>
    <col min="6" max="6" width="13.5703125" customWidth="1"/>
    <col min="7" max="7" width="19.5703125" customWidth="1"/>
    <col min="8" max="8" width="13.5703125" customWidth="1"/>
    <col min="9" max="9" width="21.5703125" bestFit="1" customWidth="1"/>
    <col min="10" max="10" width="15.5703125" customWidth="1"/>
    <col min="11" max="11" width="21.5703125" customWidth="1"/>
    <col min="12" max="12" width="19.42578125" customWidth="1"/>
  </cols>
  <sheetData>
    <row r="1" spans="1:12" ht="20.25" x14ac:dyDescent="0.25">
      <c r="A1" s="264" t="str">
        <f>Pasākumu_līmenis!A2</f>
        <v>Sagatavots 08.04.2025.</v>
      </c>
    </row>
    <row r="2" spans="1:12" ht="26.25" thickBot="1" x14ac:dyDescent="0.4">
      <c r="B2" s="241"/>
      <c r="C2" s="523" t="s">
        <v>1611</v>
      </c>
      <c r="D2" s="523"/>
      <c r="E2" s="523"/>
      <c r="F2" s="523"/>
      <c r="G2" s="523"/>
      <c r="H2" s="523"/>
      <c r="I2" s="523"/>
      <c r="J2" s="523"/>
      <c r="K2" s="523"/>
      <c r="L2" s="523"/>
    </row>
    <row r="3" spans="1:12" ht="36" customHeight="1" x14ac:dyDescent="0.25">
      <c r="A3" s="552" t="s">
        <v>2</v>
      </c>
      <c r="B3" s="554" t="s">
        <v>1246</v>
      </c>
      <c r="C3" s="556" t="s">
        <v>615</v>
      </c>
      <c r="D3" s="557"/>
      <c r="E3" s="550" t="s">
        <v>369</v>
      </c>
      <c r="F3" s="551"/>
      <c r="G3" s="550" t="s">
        <v>159</v>
      </c>
      <c r="H3" s="558"/>
      <c r="I3" s="550" t="s">
        <v>368</v>
      </c>
      <c r="J3" s="551"/>
      <c r="K3" s="550" t="str">
        <f>EK_maksājumi!A4</f>
        <v>No EK saņemtie ES fondu maksājumi, EUR  uz 30.11.2024.</v>
      </c>
      <c r="L3" s="551"/>
    </row>
    <row r="4" spans="1:12" ht="72.75" customHeight="1" x14ac:dyDescent="0.25">
      <c r="A4" s="553"/>
      <c r="B4" s="555"/>
      <c r="C4" s="50" t="str">
        <f>Fin_progress!L4</f>
        <v xml:space="preserve">Projektu apjoms
</v>
      </c>
      <c r="D4" s="51" t="str">
        <f>Fin_progress!M4</f>
        <v xml:space="preserve"> % no piešķiruma</v>
      </c>
      <c r="E4" s="52" t="str">
        <f>Fin_progress!S4</f>
        <v xml:space="preserve">Projektu apjoms
</v>
      </c>
      <c r="F4" s="49" t="str">
        <f>Fin_progress!T4</f>
        <v xml:space="preserve"> % no piešķiruma</v>
      </c>
      <c r="G4" s="52" t="str">
        <f>Fin_progress!Z4</f>
        <v xml:space="preserve">Projektu apjoms
</v>
      </c>
      <c r="H4" s="51" t="str">
        <f>Fin_progress!AA4</f>
        <v xml:space="preserve"> % no piešķiruma</v>
      </c>
      <c r="I4" s="52" t="str">
        <f>Fin_progress!AG4</f>
        <v>Maksājumu apjoms</v>
      </c>
      <c r="J4" s="49" t="str">
        <f>Fin_progress!AH4</f>
        <v>% no piešķiruma</v>
      </c>
      <c r="K4" s="52" t="s">
        <v>410</v>
      </c>
      <c r="L4" s="49" t="s">
        <v>471</v>
      </c>
    </row>
    <row r="5" spans="1:12" ht="19.5" x14ac:dyDescent="0.35">
      <c r="A5" s="45" t="s">
        <v>1354</v>
      </c>
      <c r="B5" s="46">
        <f>Fin_progress!H13</f>
        <v>22489087</v>
      </c>
      <c r="C5" s="46">
        <f>Fin_progress!L13</f>
        <v>21467834.219999999</v>
      </c>
      <c r="D5" s="47">
        <f>Fin_progress!M13</f>
        <v>0.95458896219308498</v>
      </c>
      <c r="E5" s="46">
        <f>Fin_progress!S13</f>
        <v>21467834.219999999</v>
      </c>
      <c r="F5" s="47">
        <f>Fin_progress!T13</f>
        <v>0.95458896219308498</v>
      </c>
      <c r="G5" s="46">
        <f>Fin_progress!Z13</f>
        <v>21467834.219999999</v>
      </c>
      <c r="H5" s="47">
        <f>Fin_progress!AA13</f>
        <v>0.95458896219308498</v>
      </c>
      <c r="I5" s="46">
        <f>Fin_progress!AG13</f>
        <v>21128869.52</v>
      </c>
      <c r="J5" s="47">
        <f>Fin_progress!AH13</f>
        <v>0.93951655396237288</v>
      </c>
      <c r="K5" s="46">
        <f>EK_maksājumi!C12</f>
        <v>22489087</v>
      </c>
      <c r="L5" s="47">
        <f>EK_maksājumi!D12</f>
        <v>1</v>
      </c>
    </row>
    <row r="6" spans="1:12" ht="19.5" x14ac:dyDescent="0.35">
      <c r="A6" s="45" t="s">
        <v>1353</v>
      </c>
      <c r="B6" s="46">
        <f>Fin_progress!H12</f>
        <v>199954500</v>
      </c>
      <c r="C6" s="46">
        <f>Fin_progress!L12</f>
        <v>172648849.45000002</v>
      </c>
      <c r="D6" s="47">
        <f>Fin_progress!M12</f>
        <v>0.8634406800047012</v>
      </c>
      <c r="E6" s="46">
        <f>Fin_progress!S12</f>
        <v>172648849.45000002</v>
      </c>
      <c r="F6" s="47">
        <f>Fin_progress!T12</f>
        <v>0.8634406800047012</v>
      </c>
      <c r="G6" s="46">
        <f>Fin_progress!Z12</f>
        <v>172648849.45000002</v>
      </c>
      <c r="H6" s="47">
        <f>Fin_progress!AA12</f>
        <v>0.8634406800047012</v>
      </c>
      <c r="I6" s="46">
        <f>Fin_progress!AG12</f>
        <v>170583248.70000002</v>
      </c>
      <c r="J6" s="47">
        <f>Fin_progress!AH12</f>
        <v>0.85311032609918769</v>
      </c>
      <c r="K6" s="46">
        <f>EK_maksājumi!C11</f>
        <v>199954500</v>
      </c>
      <c r="L6" s="47">
        <f>EK_maksājumi!D11</f>
        <v>1</v>
      </c>
    </row>
    <row r="7" spans="1:12" ht="19.5" x14ac:dyDescent="0.35">
      <c r="A7" s="45" t="s">
        <v>371</v>
      </c>
      <c r="B7" s="46">
        <f>Fin_progress!H9</f>
        <v>29010639</v>
      </c>
      <c r="C7" s="46">
        <f>Fin_progress!L9</f>
        <v>28810403.620000001</v>
      </c>
      <c r="D7" s="47">
        <f>Fin_progress!M9</f>
        <v>0.99309786385608401</v>
      </c>
      <c r="E7" s="46">
        <f>Fin_progress!S9</f>
        <v>28810403.620000001</v>
      </c>
      <c r="F7" s="47">
        <f>Fin_progress!T9</f>
        <v>0.99309786385608401</v>
      </c>
      <c r="G7" s="46">
        <f>Fin_progress!Z9</f>
        <v>28810403.620000001</v>
      </c>
      <c r="H7" s="47">
        <f>Fin_progress!AA9</f>
        <v>0.99309786385608401</v>
      </c>
      <c r="I7" s="46">
        <f>Fin_progress!AG9</f>
        <v>28810403.620000001</v>
      </c>
      <c r="J7" s="47">
        <f>Fin_progress!AH9</f>
        <v>0.99309786385608401</v>
      </c>
      <c r="K7" s="46">
        <f>EK_maksājumi!C10</f>
        <v>29010639</v>
      </c>
      <c r="L7" s="47">
        <f>EK_maksājumi!D10</f>
        <v>1</v>
      </c>
    </row>
    <row r="8" spans="1:12" ht="19.5" x14ac:dyDescent="0.35">
      <c r="A8" s="45" t="s">
        <v>370</v>
      </c>
      <c r="B8" s="46">
        <f>Fin_progress!H8</f>
        <v>675925610</v>
      </c>
      <c r="C8" s="46">
        <f>Fin_progress!L8</f>
        <v>667741575.72000027</v>
      </c>
      <c r="D8" s="47">
        <f>Fin_progress!M8</f>
        <v>0.98789210800875005</v>
      </c>
      <c r="E8" s="46">
        <f>Fin_progress!S8</f>
        <v>667741575.72000027</v>
      </c>
      <c r="F8" s="47">
        <f>Fin_progress!T8</f>
        <v>0.98789210800875005</v>
      </c>
      <c r="G8" s="46">
        <f>Fin_progress!Z8</f>
        <v>667741575.72000027</v>
      </c>
      <c r="H8" s="47">
        <f>Fin_progress!AA8</f>
        <v>0.98789210800875005</v>
      </c>
      <c r="I8" s="46">
        <f>Fin_progress!AG8</f>
        <v>666918626.21000016</v>
      </c>
      <c r="J8" s="47">
        <f>Fin_progress!AH8</f>
        <v>0.98667459309612515</v>
      </c>
      <c r="K8" s="46">
        <f>EK_maksājumi!C7</f>
        <v>676704825</v>
      </c>
      <c r="L8" s="47">
        <f>EK_maksājumi!D7</f>
        <v>1.0011528117716977</v>
      </c>
    </row>
    <row r="9" spans="1:12" ht="19.5" x14ac:dyDescent="0.35">
      <c r="A9" s="45" t="s">
        <v>345</v>
      </c>
      <c r="B9" s="46">
        <f>Fin_progress!H11</f>
        <v>1238174873</v>
      </c>
      <c r="C9" s="46">
        <f>Fin_progress!L11</f>
        <v>1291746455.01</v>
      </c>
      <c r="D9" s="47">
        <f>Fin_progress!M11</f>
        <v>1.0432665717728549</v>
      </c>
      <c r="E9" s="46">
        <f>Fin_progress!S11</f>
        <v>1291746455.01</v>
      </c>
      <c r="F9" s="47">
        <f>Fin_progress!T11</f>
        <v>1.0432665717728549</v>
      </c>
      <c r="G9" s="46">
        <f>Fin_progress!Z11</f>
        <v>1291746455.01</v>
      </c>
      <c r="H9" s="47">
        <f>Fin_progress!AA11</f>
        <v>1.0432665717728549</v>
      </c>
      <c r="I9" s="46">
        <f>Fin_progress!AG11</f>
        <v>1294530264.4199998</v>
      </c>
      <c r="J9" s="47">
        <f>Fin_progress!AH11</f>
        <v>1.0455148886065304</v>
      </c>
      <c r="K9" s="46">
        <f>EK_maksājumi!C8</f>
        <v>1246634592</v>
      </c>
      <c r="L9" s="47">
        <f>EK_maksājumi!D8</f>
        <v>1.0068324104974791</v>
      </c>
    </row>
    <row r="10" spans="1:12" ht="19.5" x14ac:dyDescent="0.35">
      <c r="A10" s="45" t="s">
        <v>344</v>
      </c>
      <c r="B10" s="46">
        <f>Fin_progress!H10</f>
        <v>2465883158</v>
      </c>
      <c r="C10" s="46">
        <f>Fin_progress!L10</f>
        <v>2353252208.1399999</v>
      </c>
      <c r="D10" s="47">
        <f>Fin_progress!M10</f>
        <v>0.95432429574183408</v>
      </c>
      <c r="E10" s="46">
        <f>Fin_progress!S10</f>
        <v>2353252208.1399999</v>
      </c>
      <c r="F10" s="47">
        <f>Fin_progress!T10</f>
        <v>0.95432429574183408</v>
      </c>
      <c r="G10" s="46">
        <f>Fin_progress!Z10</f>
        <v>2353252208.1399999</v>
      </c>
      <c r="H10" s="47">
        <f>Fin_progress!AA10</f>
        <v>0.95432429574183408</v>
      </c>
      <c r="I10" s="46">
        <f>Fin_progress!AG10</f>
        <v>2328229938.21</v>
      </c>
      <c r="J10" s="47">
        <f>Fin_progress!AH10</f>
        <v>0.94417690905450435</v>
      </c>
      <c r="K10" s="46">
        <f>EK_maksājumi!C9</f>
        <v>2465883158</v>
      </c>
      <c r="L10" s="47">
        <f>EK_maksājumi!D9</f>
        <v>1</v>
      </c>
    </row>
    <row r="11" spans="1:12" ht="39.75" customHeight="1" x14ac:dyDescent="0.25">
      <c r="A11" s="48" t="s">
        <v>372</v>
      </c>
      <c r="B11" s="43">
        <f>Fin_progress!H6</f>
        <v>4640676789</v>
      </c>
      <c r="C11" s="43">
        <f>Fin_progress!L6</f>
        <v>4535667326.1599998</v>
      </c>
      <c r="D11" s="44">
        <f>Fin_progress!M6</f>
        <v>0.97737195077043315</v>
      </c>
      <c r="E11" s="43">
        <f>Fin_progress!S6</f>
        <v>4535667326.1599998</v>
      </c>
      <c r="F11" s="44">
        <f>Fin_progress!T6</f>
        <v>0.97737195077043315</v>
      </c>
      <c r="G11" s="43">
        <f>Fin_progress!Z6</f>
        <v>4535667326.1599998</v>
      </c>
      <c r="H11" s="44">
        <f>Fin_progress!AA6</f>
        <v>0.97737195077043315</v>
      </c>
      <c r="I11" s="43">
        <f>Fin_progress!AG6</f>
        <v>4510201350.6800003</v>
      </c>
      <c r="J11" s="44">
        <f>Fin_progress!AH6</f>
        <v>0.9718843943992671</v>
      </c>
      <c r="K11" s="43">
        <f>EK_maksājumi!C13</f>
        <v>4640676801</v>
      </c>
      <c r="L11" s="44">
        <f>EK_maksājumi!D13</f>
        <v>1.0000000025858298</v>
      </c>
    </row>
    <row r="14" spans="1:12" ht="20.25" x14ac:dyDescent="0.25">
      <c r="A14" s="116" t="s">
        <v>1614</v>
      </c>
    </row>
    <row r="16" spans="1:12" ht="20.25" x14ac:dyDescent="0.25">
      <c r="B16" s="116"/>
      <c r="C16" s="116"/>
      <c r="D16" s="116"/>
      <c r="E16" s="116"/>
      <c r="F16" s="116"/>
    </row>
  </sheetData>
  <mergeCells count="8">
    <mergeCell ref="C2:L2"/>
    <mergeCell ref="K3:L3"/>
    <mergeCell ref="A3:A4"/>
    <mergeCell ref="B3:B4"/>
    <mergeCell ref="C3:D3"/>
    <mergeCell ref="E3:F3"/>
    <mergeCell ref="G3:H3"/>
    <mergeCell ref="I3:J3"/>
  </mergeCells>
  <pageMargins left="0.25" right="0.25" top="0.75" bottom="0.75" header="0.3" footer="0.3"/>
  <pageSetup paperSize="9" scale="5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59999389629810485"/>
    <pageSetUpPr fitToPage="1"/>
  </sheetPr>
  <dimension ref="A1:Z1"/>
  <sheetViews>
    <sheetView zoomScale="60" zoomScaleNormal="60" workbookViewId="0">
      <selection activeCell="B2" sqref="B2"/>
    </sheetView>
  </sheetViews>
  <sheetFormatPr defaultRowHeight="15" x14ac:dyDescent="0.25"/>
  <sheetData>
    <row r="1" spans="1:26" ht="26.25" x14ac:dyDescent="0.4">
      <c r="A1" s="472" t="s">
        <v>1613</v>
      </c>
      <c r="Z1" s="264" t="str">
        <f>Pasākumu_līmenis!A2</f>
        <v>Sagatavots 08.04.2025.</v>
      </c>
    </row>
  </sheetData>
  <pageMargins left="0.7" right="0.7" top="0.75" bottom="0.75" header="0.3" footer="0.3"/>
  <pageSetup paperSize="9" scale="31"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6" tint="0.59999389629810485"/>
    <pageSetUpPr fitToPage="1"/>
  </sheetPr>
  <dimension ref="A1:AN224"/>
  <sheetViews>
    <sheetView zoomScale="60" zoomScaleNormal="60" workbookViewId="0">
      <pane xSplit="1" ySplit="13" topLeftCell="B14" activePane="bottomRight" state="frozen"/>
      <selection pane="topRight" activeCell="B1" sqref="B1"/>
      <selection pane="bottomLeft" activeCell="A14" sqref="A14"/>
      <selection pane="bottomRight" activeCell="K17" sqref="K17"/>
    </sheetView>
  </sheetViews>
  <sheetFormatPr defaultColWidth="9.42578125" defaultRowHeight="18.75" outlineLevelCol="1" x14ac:dyDescent="0.3"/>
  <cols>
    <col min="1" max="1" width="11.5703125" style="17" customWidth="1"/>
    <col min="2" max="2" width="29.85546875" style="1" customWidth="1"/>
    <col min="3" max="3" width="35.5703125" style="1" customWidth="1" outlineLevel="1"/>
    <col min="4" max="4" width="13.42578125" style="1" customWidth="1"/>
    <col min="5" max="5" width="15.5703125" style="1" customWidth="1"/>
    <col min="6" max="6" width="24.42578125" style="1" customWidth="1"/>
    <col min="7" max="7" width="23.85546875" style="1" customWidth="1"/>
    <col min="8" max="8" width="18.5703125" style="1" customWidth="1"/>
    <col min="9" max="9" width="22" style="1" hidden="1" customWidth="1"/>
    <col min="10" max="10" width="19.42578125" style="1" customWidth="1"/>
    <col min="11" max="11" width="29.5703125" style="1" customWidth="1"/>
    <col min="12" max="12" width="23.5703125" style="1" customWidth="1"/>
    <col min="13" max="13" width="14.5703125" style="1" customWidth="1"/>
    <col min="14" max="14" width="10.5703125" style="1" customWidth="1"/>
    <col min="15" max="15" width="21.5703125" style="55" hidden="1" customWidth="1" outlineLevel="1"/>
    <col min="16" max="16" width="28.42578125" style="1" hidden="1" customWidth="1" outlineLevel="1"/>
    <col min="17" max="17" width="19.5703125" style="1" customWidth="1" collapsed="1"/>
    <col min="18" max="18" width="19.5703125" style="1" customWidth="1"/>
    <col min="19" max="20" width="15.5703125" style="1" customWidth="1"/>
    <col min="21" max="21" width="12.42578125" style="1" customWidth="1"/>
    <col min="22" max="22" width="19.42578125" style="1" hidden="1" customWidth="1" outlineLevel="1"/>
    <col min="23" max="23" width="12.5703125" style="53" hidden="1" customWidth="1" outlineLevel="1"/>
    <col min="24" max="24" width="21.5703125" style="23" customWidth="1" collapsed="1"/>
    <col min="25" max="25" width="17.42578125" style="1" customWidth="1"/>
    <col min="26" max="26" width="16.42578125" style="1" customWidth="1"/>
    <col min="27" max="27" width="12.5703125" style="1" customWidth="1"/>
    <col min="28" max="28" width="16" style="1" customWidth="1"/>
    <col min="29" max="29" width="20.42578125" style="1" hidden="1" customWidth="1" outlineLevel="1"/>
    <col min="30" max="30" width="15.5703125" style="53" hidden="1" customWidth="1" outlineLevel="1"/>
    <col min="31" max="31" width="23.5703125" style="1" bestFit="1" customWidth="1" collapsed="1"/>
    <col min="32" max="32" width="17.42578125" style="1" customWidth="1"/>
    <col min="33" max="33" width="16.42578125" style="1" customWidth="1"/>
    <col min="34" max="34" width="13.5703125" style="1" customWidth="1"/>
    <col min="35" max="35" width="18" style="55" hidden="1" customWidth="1" outlineLevel="1"/>
    <col min="36" max="36" width="18" style="53" hidden="1" customWidth="1" outlineLevel="1"/>
    <col min="37" max="37" width="9.42578125" style="1" customWidth="1" collapsed="1"/>
    <col min="38" max="38" width="19.42578125" style="1" customWidth="1"/>
    <col min="39" max="39" width="70.5703125" style="1" customWidth="1"/>
    <col min="40" max="40" width="14.42578125" style="1" bestFit="1" customWidth="1"/>
    <col min="41" max="16384" width="9.42578125" style="1"/>
  </cols>
  <sheetData>
    <row r="1" spans="1:40" ht="32.25" customHeight="1" x14ac:dyDescent="0.3">
      <c r="A1" s="141" t="s">
        <v>1611</v>
      </c>
      <c r="B1" s="141"/>
      <c r="C1" s="141"/>
      <c r="D1" s="141"/>
      <c r="E1" s="141"/>
      <c r="F1" s="141"/>
      <c r="G1" s="141"/>
      <c r="H1" s="141"/>
      <c r="I1" s="141"/>
      <c r="J1" s="141"/>
      <c r="K1" s="141"/>
      <c r="L1" s="141"/>
      <c r="M1" s="141"/>
      <c r="N1" s="141"/>
      <c r="O1" s="140"/>
      <c r="P1" s="140"/>
      <c r="Q1" s="141"/>
      <c r="R1" s="141"/>
      <c r="S1" s="141"/>
      <c r="T1" s="141"/>
      <c r="U1" s="141"/>
      <c r="V1" s="141"/>
      <c r="W1" s="141"/>
      <c r="X1" s="141"/>
      <c r="Y1" s="141"/>
      <c r="Z1" s="141"/>
      <c r="AA1" s="141"/>
      <c r="AB1" s="141"/>
      <c r="AC1" s="140"/>
      <c r="AD1" s="140"/>
      <c r="AE1" s="141"/>
      <c r="AF1" s="141"/>
      <c r="AG1" s="141"/>
      <c r="AH1" s="141"/>
    </row>
    <row r="2" spans="1:40" ht="20.25" customHeight="1" x14ac:dyDescent="0.35">
      <c r="A2" s="17" t="s">
        <v>1612</v>
      </c>
      <c r="B2" s="11"/>
      <c r="E2" s="55">
        <v>0</v>
      </c>
      <c r="F2" s="300">
        <v>0</v>
      </c>
      <c r="G2" s="300">
        <f>F2-F6</f>
        <v>-4640676789</v>
      </c>
      <c r="H2" s="300">
        <v>-91548</v>
      </c>
      <c r="I2" s="21"/>
      <c r="J2" s="300"/>
      <c r="K2" s="55"/>
      <c r="L2" s="55"/>
      <c r="P2" s="55"/>
      <c r="Q2" s="300"/>
      <c r="X2" s="147"/>
      <c r="AE2" s="23"/>
    </row>
    <row r="3" spans="1:40" ht="28.5" customHeight="1" x14ac:dyDescent="0.3">
      <c r="A3" s="142" t="s">
        <v>154</v>
      </c>
      <c r="B3" s="142"/>
      <c r="C3" s="142"/>
      <c r="D3" s="142"/>
      <c r="E3" s="142"/>
      <c r="F3" s="142" t="s">
        <v>156</v>
      </c>
      <c r="G3" s="142"/>
      <c r="H3" s="142"/>
      <c r="I3" s="143"/>
      <c r="J3" s="143" t="s">
        <v>615</v>
      </c>
      <c r="K3" s="144"/>
      <c r="L3" s="144"/>
      <c r="M3" s="144"/>
      <c r="N3" s="144"/>
      <c r="O3" s="144"/>
      <c r="P3" s="145"/>
      <c r="Q3" s="142" t="s">
        <v>413</v>
      </c>
      <c r="R3" s="142"/>
      <c r="S3" s="142"/>
      <c r="T3" s="142"/>
      <c r="U3" s="142"/>
      <c r="V3" s="142"/>
      <c r="W3" s="142"/>
      <c r="X3" s="143" t="s">
        <v>414</v>
      </c>
      <c r="Y3" s="144"/>
      <c r="Z3" s="144"/>
      <c r="AA3" s="144"/>
      <c r="AB3" s="144"/>
      <c r="AC3" s="144"/>
      <c r="AD3" s="145"/>
      <c r="AE3" s="143" t="s">
        <v>155</v>
      </c>
      <c r="AF3" s="144"/>
      <c r="AG3" s="144"/>
      <c r="AH3" s="144"/>
      <c r="AI3" s="144"/>
      <c r="AJ3" s="145"/>
    </row>
    <row r="4" spans="1:40" ht="120" customHeight="1" x14ac:dyDescent="0.3">
      <c r="A4" s="138" t="s">
        <v>3</v>
      </c>
      <c r="B4" s="66" t="s">
        <v>226</v>
      </c>
      <c r="C4" s="66" t="s">
        <v>11</v>
      </c>
      <c r="D4" s="26" t="s">
        <v>2</v>
      </c>
      <c r="E4" s="66" t="s">
        <v>463</v>
      </c>
      <c r="F4" s="66" t="s">
        <v>419</v>
      </c>
      <c r="G4" s="12" t="s">
        <v>158</v>
      </c>
      <c r="H4" s="12" t="s">
        <v>465</v>
      </c>
      <c r="I4" s="12" t="s">
        <v>1293</v>
      </c>
      <c r="J4" s="12" t="s">
        <v>406</v>
      </c>
      <c r="K4" s="12" t="s">
        <v>408</v>
      </c>
      <c r="L4" s="12" t="s">
        <v>387</v>
      </c>
      <c r="M4" s="12" t="s">
        <v>386</v>
      </c>
      <c r="N4" s="12" t="s">
        <v>412</v>
      </c>
      <c r="O4" s="13" t="s">
        <v>388</v>
      </c>
      <c r="P4" s="13" t="s">
        <v>382</v>
      </c>
      <c r="Q4" s="12" t="s">
        <v>406</v>
      </c>
      <c r="R4" s="12" t="s">
        <v>408</v>
      </c>
      <c r="S4" s="12" t="s">
        <v>387</v>
      </c>
      <c r="T4" s="12" t="s">
        <v>386</v>
      </c>
      <c r="U4" s="12" t="s">
        <v>412</v>
      </c>
      <c r="V4" s="54" t="s">
        <v>389</v>
      </c>
      <c r="W4" s="54" t="s">
        <v>383</v>
      </c>
      <c r="X4" s="12" t="s">
        <v>406</v>
      </c>
      <c r="Y4" s="12" t="s">
        <v>408</v>
      </c>
      <c r="Z4" s="12" t="s">
        <v>387</v>
      </c>
      <c r="AA4" s="12" t="s">
        <v>386</v>
      </c>
      <c r="AB4" s="12" t="s">
        <v>412</v>
      </c>
      <c r="AC4" s="54" t="s">
        <v>390</v>
      </c>
      <c r="AD4" s="54" t="s">
        <v>384</v>
      </c>
      <c r="AE4" s="12" t="s">
        <v>410</v>
      </c>
      <c r="AF4" s="12" t="s">
        <v>408</v>
      </c>
      <c r="AG4" s="12" t="s">
        <v>387</v>
      </c>
      <c r="AH4" s="12" t="s">
        <v>386</v>
      </c>
      <c r="AI4" s="13" t="s">
        <v>391</v>
      </c>
      <c r="AJ4" s="54" t="s">
        <v>385</v>
      </c>
      <c r="AL4" s="1" t="s">
        <v>1535</v>
      </c>
    </row>
    <row r="5" spans="1:40" x14ac:dyDescent="0.3">
      <c r="A5" s="2" t="s">
        <v>0</v>
      </c>
      <c r="B5" s="2" t="s">
        <v>4</v>
      </c>
      <c r="C5" s="2" t="s">
        <v>7</v>
      </c>
      <c r="D5" s="2" t="s">
        <v>153</v>
      </c>
      <c r="E5" s="2" t="s">
        <v>152</v>
      </c>
      <c r="F5" s="2" t="s">
        <v>12</v>
      </c>
      <c r="G5" s="88" t="s">
        <v>10</v>
      </c>
      <c r="H5" s="88" t="s">
        <v>427</v>
      </c>
      <c r="I5" s="88" t="s">
        <v>614</v>
      </c>
      <c r="J5" s="88" t="s">
        <v>18</v>
      </c>
      <c r="K5" s="88" t="s">
        <v>373</v>
      </c>
      <c r="L5" s="88" t="s">
        <v>22</v>
      </c>
      <c r="M5" s="88" t="s">
        <v>23</v>
      </c>
      <c r="N5" s="88" t="s">
        <v>24</v>
      </c>
      <c r="O5" s="101"/>
      <c r="P5" s="89"/>
      <c r="Q5" s="88">
        <v>4</v>
      </c>
      <c r="R5" s="88" t="s">
        <v>374</v>
      </c>
      <c r="S5" s="88" t="s">
        <v>32</v>
      </c>
      <c r="T5" s="88" t="s">
        <v>45</v>
      </c>
      <c r="U5" s="88" t="s">
        <v>47</v>
      </c>
      <c r="V5" s="88"/>
      <c r="W5" s="88"/>
      <c r="X5" s="88" t="s">
        <v>51</v>
      </c>
      <c r="Y5" s="88" t="s">
        <v>375</v>
      </c>
      <c r="Z5" s="88" t="s">
        <v>53</v>
      </c>
      <c r="AA5" s="88" t="s">
        <v>54</v>
      </c>
      <c r="AB5" s="88" t="s">
        <v>55</v>
      </c>
      <c r="AC5" s="88"/>
      <c r="AD5" s="88"/>
      <c r="AE5" s="88" t="s">
        <v>71</v>
      </c>
      <c r="AF5" s="88" t="s">
        <v>376</v>
      </c>
      <c r="AG5" s="88" t="s">
        <v>73</v>
      </c>
      <c r="AH5" s="88" t="s">
        <v>74</v>
      </c>
      <c r="AI5" s="101"/>
      <c r="AJ5" s="102"/>
      <c r="AM5" s="55"/>
      <c r="AN5" s="55"/>
    </row>
    <row r="6" spans="1:40" x14ac:dyDescent="0.3">
      <c r="A6" s="103"/>
      <c r="B6" s="91" t="s">
        <v>227</v>
      </c>
      <c r="C6" s="5"/>
      <c r="D6" s="4"/>
      <c r="E6" s="4"/>
      <c r="F6" s="27">
        <f>SUM(F7:F12)+SUM(F175:F180)</f>
        <v>4640676789</v>
      </c>
      <c r="G6" s="27">
        <f>SUM(G7:G12)+SUM(G175:G180)</f>
        <v>216793929</v>
      </c>
      <c r="H6" s="27">
        <f>SUM(H7:H12)+SUM(H175:H180)</f>
        <v>4857470718</v>
      </c>
      <c r="I6" s="27">
        <f>I14+I26+I30+I47+I56+I72+I86+I97+I119+I145+I149+I151</f>
        <v>192266425.6871691</v>
      </c>
      <c r="J6" s="27">
        <f>SUM(J7:J12)</f>
        <v>4535667326.1599998</v>
      </c>
      <c r="K6" s="28">
        <f>J6/$F6</f>
        <v>0.97737195077043315</v>
      </c>
      <c r="L6" s="28">
        <f t="shared" ref="L6:L12" si="0">K6-P6</f>
        <v>-6.7657699808837402E-3</v>
      </c>
      <c r="M6" s="28">
        <f>(J6-O6)/O6</f>
        <v>-6.8748203002711328E-3</v>
      </c>
      <c r="N6" s="27">
        <f>SUM(N7:N12)</f>
        <v>2452</v>
      </c>
      <c r="O6" s="27">
        <v>4567065077.8699999</v>
      </c>
      <c r="P6" s="28">
        <v>0.98413772075131689</v>
      </c>
      <c r="Q6" s="27">
        <f>SUM(Q7:Q12)</f>
        <v>4535667326.1599998</v>
      </c>
      <c r="R6" s="28">
        <f>Q6/F6</f>
        <v>0.97737195077043315</v>
      </c>
      <c r="S6" s="28">
        <f>R6-W6</f>
        <v>-6.7657699808837402E-3</v>
      </c>
      <c r="T6" s="28">
        <f>(Q6-V6)/V6</f>
        <v>-6.8748203002711328E-3</v>
      </c>
      <c r="U6" s="27">
        <f>SUM(U7:U12)</f>
        <v>2452</v>
      </c>
      <c r="V6" s="27">
        <v>4567065077.8699999</v>
      </c>
      <c r="W6" s="28">
        <v>0.98413772075131689</v>
      </c>
      <c r="X6" s="27">
        <f>SUM(X7:X12)</f>
        <v>4535667326.1599998</v>
      </c>
      <c r="Y6" s="28">
        <f t="shared" ref="Y6:Y12" si="1">X6/F6</f>
        <v>0.97737195077043315</v>
      </c>
      <c r="Z6" s="28">
        <f>Y6-AD6</f>
        <v>-6.7657699808837402E-3</v>
      </c>
      <c r="AA6" s="28">
        <f t="shared" ref="AA6:AA12" si="2">IFERROR(((X6-AC6)/AC6),0)</f>
        <v>-6.8748203002711328E-3</v>
      </c>
      <c r="AB6" s="27">
        <f>SUM(AB7:AB12)</f>
        <v>2452</v>
      </c>
      <c r="AC6" s="27">
        <v>4567065077.8699999</v>
      </c>
      <c r="AD6" s="28">
        <v>0.98413772075131689</v>
      </c>
      <c r="AE6" s="27">
        <f>SUM(AE7:AE12)</f>
        <v>4510201350.6800003</v>
      </c>
      <c r="AF6" s="28">
        <f>AE6/$F6</f>
        <v>0.9718843943992671</v>
      </c>
      <c r="AG6" s="28">
        <f>AF6-AJ6</f>
        <v>5.2731401286254531E-5</v>
      </c>
      <c r="AH6" s="28">
        <f>IFERROR(((AE6-AI6)/AI6),0)</f>
        <v>5.4259809897052177E-5</v>
      </c>
      <c r="AI6" s="27">
        <v>4509956641.29</v>
      </c>
      <c r="AJ6" s="28">
        <v>0.97183166299798085</v>
      </c>
      <c r="AM6" s="497">
        <v>4562973609.5100002</v>
      </c>
      <c r="AN6" s="497"/>
    </row>
    <row r="7" spans="1:40" x14ac:dyDescent="0.3">
      <c r="A7" s="103"/>
      <c r="B7" s="4" t="s">
        <v>228</v>
      </c>
      <c r="C7" s="4"/>
      <c r="D7" s="4"/>
      <c r="E7" s="4"/>
      <c r="F7" s="27">
        <f>SUMIF(D15:D172,"ESF",F15:F172)</f>
        <v>675925610</v>
      </c>
      <c r="G7" s="27">
        <f>SUMIF(D15:D172,"ESF",G15:G172)</f>
        <v>1589796</v>
      </c>
      <c r="H7" s="27">
        <f>SUMIF(D15:D172,"ESF",H15:H172)</f>
        <v>677515406</v>
      </c>
      <c r="I7" s="27">
        <f>I43+I44+I45+SUM(I87:I90)+I92+SUM(I94:I96)+SUM(I102:I118)+SUM(I120:I139)+SUM(I146:I148)+I46</f>
        <v>18276798.709648199</v>
      </c>
      <c r="J7" s="27">
        <f>SUMIF(D15:D172,"ESF",J15:J172)</f>
        <v>667741575.72000027</v>
      </c>
      <c r="K7" s="28">
        <f>J7/F7</f>
        <v>0.98789210800875005</v>
      </c>
      <c r="L7" s="28">
        <f t="shared" si="0"/>
        <v>-2.661772202983137E-6</v>
      </c>
      <c r="M7" s="28">
        <f>(J7-O7)/O7</f>
        <v>-2.6943883947780798E-6</v>
      </c>
      <c r="N7" s="27">
        <f>SUMIF(D15:D172,"ESF",N15:N172)</f>
        <v>325</v>
      </c>
      <c r="O7" s="27">
        <v>667743374.88000023</v>
      </c>
      <c r="P7" s="28">
        <v>0.98789476978095303</v>
      </c>
      <c r="Q7" s="27">
        <f>SUMIF(D15:D172,"ESF",Q15:Q172)</f>
        <v>667741575.72000027</v>
      </c>
      <c r="R7" s="28">
        <f>Q7/F7</f>
        <v>0.98789210800875005</v>
      </c>
      <c r="S7" s="28">
        <f>R7-W7</f>
        <v>-2.661772202983137E-6</v>
      </c>
      <c r="T7" s="28">
        <f>(Q7-V7)/V7</f>
        <v>-2.6943883947780798E-6</v>
      </c>
      <c r="U7" s="27">
        <f>SUMIF(D15:D172,"ESF",U15:U172)</f>
        <v>325</v>
      </c>
      <c r="V7" s="27">
        <v>667743374.88000023</v>
      </c>
      <c r="W7" s="28">
        <v>0.98789476978095303</v>
      </c>
      <c r="X7" s="27">
        <f>SUMIF(D15:D172,"ESF",X15:X172)</f>
        <v>667741575.72000027</v>
      </c>
      <c r="Y7" s="28">
        <f t="shared" si="1"/>
        <v>0.98789210800875005</v>
      </c>
      <c r="Z7" s="28">
        <f t="shared" ref="Z7:Z77" si="3">Y7-AD7</f>
        <v>-2.661772202983137E-6</v>
      </c>
      <c r="AA7" s="28">
        <f t="shared" si="2"/>
        <v>-2.6943883947780798E-6</v>
      </c>
      <c r="AB7" s="27">
        <f>SUMIF(D15:D172,"ESF",AB15:AB172)</f>
        <v>325</v>
      </c>
      <c r="AC7" s="27">
        <v>667743374.88000023</v>
      </c>
      <c r="AD7" s="28">
        <v>0.98789476978095303</v>
      </c>
      <c r="AE7" s="27">
        <f>SUMIF(D15:D172,"ESF",AE15:AE172)</f>
        <v>666918626.21000016</v>
      </c>
      <c r="AF7" s="28">
        <f>AE7/$F7</f>
        <v>0.98667459309612515</v>
      </c>
      <c r="AG7" s="28">
        <f>AF7-AJ7</f>
        <v>3.8705146857553885E-6</v>
      </c>
      <c r="AH7" s="28">
        <f t="shared" ref="AH7:AH78" si="4">IFERROR(((AE7-AI7)/AI7),0)</f>
        <v>3.9228028126508207E-6</v>
      </c>
      <c r="AI7" s="27">
        <v>666916010.03000021</v>
      </c>
      <c r="AJ7" s="28">
        <v>0.9866707225814394</v>
      </c>
      <c r="AM7" s="497">
        <v>2538211233.6399999</v>
      </c>
      <c r="AN7" s="497">
        <f>X9+X11-AM7</f>
        <v>-12310176.050000191</v>
      </c>
    </row>
    <row r="8" spans="1:40" x14ac:dyDescent="0.3">
      <c r="A8" s="103"/>
      <c r="B8" s="16" t="s">
        <v>232</v>
      </c>
      <c r="C8" s="4"/>
      <c r="D8" s="4"/>
      <c r="E8" s="4"/>
      <c r="F8" s="27">
        <f>SUMIF(D15:D172,"JNI",F15:F172)</f>
        <v>29010639</v>
      </c>
      <c r="G8" s="27">
        <f>SUMIF(D15:D172,"JNI",G15:G172)</f>
        <v>0</v>
      </c>
      <c r="H8" s="27">
        <f>SUMIF(D15:D172,"JNI",H15:H172)</f>
        <v>29010639</v>
      </c>
      <c r="I8" s="27">
        <f>I91+I93</f>
        <v>0</v>
      </c>
      <c r="J8" s="27">
        <f>SUMIF(D15:D172,"JNI",J15:J172)</f>
        <v>28810403.620000001</v>
      </c>
      <c r="K8" s="28">
        <f>J8/F8</f>
        <v>0.99309786385608401</v>
      </c>
      <c r="L8" s="28">
        <f t="shared" si="0"/>
        <v>0</v>
      </c>
      <c r="M8" s="28">
        <f>(J8-O8)/O8</f>
        <v>0</v>
      </c>
      <c r="N8" s="27">
        <f>SUMIF(D15:D172,"JNI",N15:N172)</f>
        <v>2</v>
      </c>
      <c r="O8" s="27">
        <v>28810403.620000001</v>
      </c>
      <c r="P8" s="28">
        <v>0.99309786385608401</v>
      </c>
      <c r="Q8" s="27">
        <f>SUMIF(D15:D172,"JNI",Q15:Q172)</f>
        <v>28810403.620000001</v>
      </c>
      <c r="R8" s="28">
        <f>Q8/F8</f>
        <v>0.99309786385608401</v>
      </c>
      <c r="S8" s="28">
        <f>R8-W8</f>
        <v>0</v>
      </c>
      <c r="T8" s="28">
        <f>(Q8-V8)/V8</f>
        <v>0</v>
      </c>
      <c r="U8" s="27">
        <f>SUMIF(D15:D172,"JNI",U15:U172)</f>
        <v>2</v>
      </c>
      <c r="V8" s="27">
        <v>28810403.620000001</v>
      </c>
      <c r="W8" s="28">
        <v>0.99309786385608401</v>
      </c>
      <c r="X8" s="27">
        <f>SUMIF(D15:D172,"JNI",X15:X172)</f>
        <v>28810403.620000001</v>
      </c>
      <c r="Y8" s="28">
        <f t="shared" si="1"/>
        <v>0.99309786385608401</v>
      </c>
      <c r="Z8" s="28">
        <f t="shared" si="3"/>
        <v>0</v>
      </c>
      <c r="AA8" s="28">
        <f t="shared" si="2"/>
        <v>0</v>
      </c>
      <c r="AB8" s="27">
        <f>SUMIF(D15:D172,"JNI",AB15:AB172)</f>
        <v>2</v>
      </c>
      <c r="AC8" s="27">
        <v>28810403.620000001</v>
      </c>
      <c r="AD8" s="28">
        <v>0.99309786385608401</v>
      </c>
      <c r="AE8" s="27">
        <f>SUMIF(D15:D172,"JNI",AE15:AE172)</f>
        <v>28810403.620000001</v>
      </c>
      <c r="AF8" s="28">
        <f>AE8/$F8</f>
        <v>0.99309786385608401</v>
      </c>
      <c r="AG8" s="28">
        <f>AF8-AJ8</f>
        <v>0</v>
      </c>
      <c r="AH8" s="28">
        <f t="shared" si="4"/>
        <v>0</v>
      </c>
      <c r="AI8" s="27">
        <v>28810403.620000001</v>
      </c>
      <c r="AJ8" s="28">
        <v>0.99309786385608401</v>
      </c>
      <c r="AM8" s="55"/>
      <c r="AN8" s="55"/>
    </row>
    <row r="9" spans="1:40" x14ac:dyDescent="0.3">
      <c r="A9" s="103"/>
      <c r="B9" s="4" t="s">
        <v>229</v>
      </c>
      <c r="C9" s="4"/>
      <c r="D9" s="4"/>
      <c r="E9" s="4"/>
      <c r="F9" s="27">
        <f>SUMIF(D15:D172,"ERAF",F15:F172)</f>
        <v>2465883158</v>
      </c>
      <c r="G9" s="27">
        <f>SUMIF(D15:D172,"ERAF",G15:G172)</f>
        <v>27390925</v>
      </c>
      <c r="H9" s="27">
        <f>SUMIF(D15:D172,"ERAF",H15:H172)</f>
        <v>2493274083</v>
      </c>
      <c r="I9" s="27" t="e">
        <f>I14+I26+SUM(I31:I42)+SUM(I49:I51)+I53+I57+I58+I63++SUM(I68:I71)+I85+SUM(I98:I101)+SUM(I141:I144)+I150+I177+#REF!</f>
        <v>#REF!</v>
      </c>
      <c r="J9" s="27">
        <f>SUMIF(D15:D172,"ERAF",J15:J172)</f>
        <v>2353252208.1399999</v>
      </c>
      <c r="K9" s="28">
        <f>J9/F9</f>
        <v>0.95432429574183408</v>
      </c>
      <c r="L9" s="28">
        <f t="shared" si="0"/>
        <v>-1.2732133089170428E-2</v>
      </c>
      <c r="M9" s="28">
        <f>(J9-O9)/O9</f>
        <v>-1.3165863655506845E-2</v>
      </c>
      <c r="N9" s="27">
        <f>SUMIF(D15:D172,"ERAF",N15:N172)</f>
        <v>1601</v>
      </c>
      <c r="O9" s="27">
        <v>2384648160.6899996</v>
      </c>
      <c r="P9" s="28">
        <v>0.96705642883100451</v>
      </c>
      <c r="Q9" s="27">
        <f>SUMIF(D15:D172,"ERAF",Q15:Q172)</f>
        <v>2353252208.1399999</v>
      </c>
      <c r="R9" s="28">
        <f>Q9/F9</f>
        <v>0.95432429574183408</v>
      </c>
      <c r="S9" s="28">
        <f>R9-W9</f>
        <v>-1.2732133089170428E-2</v>
      </c>
      <c r="T9" s="28">
        <f>(Q9-V9)/V9</f>
        <v>-1.3165863655506845E-2</v>
      </c>
      <c r="U9" s="27">
        <f>SUMIF(D15:D172,"ERAF",U15:U172)</f>
        <v>1601</v>
      </c>
      <c r="V9" s="27">
        <v>2384648160.6899996</v>
      </c>
      <c r="W9" s="28">
        <v>0.96705642883100451</v>
      </c>
      <c r="X9" s="27">
        <f>SUMIF(D15:D172,"ERAF",X15:X172)</f>
        <v>2353252208.1399999</v>
      </c>
      <c r="Y9" s="28">
        <f t="shared" si="1"/>
        <v>0.95432429574183408</v>
      </c>
      <c r="Z9" s="28">
        <f t="shared" si="3"/>
        <v>-1.2732133089170428E-2</v>
      </c>
      <c r="AA9" s="28">
        <f t="shared" si="2"/>
        <v>-1.3165863655506845E-2</v>
      </c>
      <c r="AB9" s="27">
        <f>SUMIF(D15:D172,"ERAF",AB15:AB172)</f>
        <v>1601</v>
      </c>
      <c r="AC9" s="27">
        <v>2384648160.6899996</v>
      </c>
      <c r="AD9" s="28">
        <v>0.96705642883100451</v>
      </c>
      <c r="AE9" s="27">
        <f>SUMIF(D15:D172,"ERAF",AE15:AE172)</f>
        <v>2328229938.21</v>
      </c>
      <c r="AF9" s="28">
        <f>AE9/$F9</f>
        <v>0.94417690905450435</v>
      </c>
      <c r="AG9" s="28">
        <f>AF9-AJ9</f>
        <v>1.0842087514673082E-4</v>
      </c>
      <c r="AH9" s="28">
        <f t="shared" si="4"/>
        <v>1.1484428990513099E-4</v>
      </c>
      <c r="AI9" s="27">
        <v>2327962585</v>
      </c>
      <c r="AJ9" s="28">
        <v>0.94406848817935762</v>
      </c>
      <c r="AM9" s="55"/>
      <c r="AN9" s="55"/>
    </row>
    <row r="10" spans="1:40" x14ac:dyDescent="0.3">
      <c r="A10" s="103"/>
      <c r="B10" s="4" t="s">
        <v>230</v>
      </c>
      <c r="C10" s="4"/>
      <c r="D10" s="4"/>
      <c r="E10" s="4"/>
      <c r="F10" s="27">
        <f>SUMIF(D15:D172,"KF",F15:F172)</f>
        <v>1238174873</v>
      </c>
      <c r="G10" s="27">
        <f>SUMIF(D15:D172,"KF",G15:G172)</f>
        <v>195212967</v>
      </c>
      <c r="H10" s="27">
        <f>SUMIF(D15:D172,"KF",H15:H172)</f>
        <v>1433387840</v>
      </c>
      <c r="I10" s="27">
        <f>I48+I52+I54+I55+SUM(I59:I62)+I64+I65+I66+SUM(I73:I84)+I152</f>
        <v>67553262.617205307</v>
      </c>
      <c r="J10" s="27">
        <f>SUMIF(D15:D172,"KF",J15:J172)</f>
        <v>1291746455.01</v>
      </c>
      <c r="K10" s="28">
        <f>J10/F10</f>
        <v>1.0432665717728549</v>
      </c>
      <c r="L10" s="28">
        <f t="shared" si="0"/>
        <v>0</v>
      </c>
      <c r="M10" s="28">
        <f>(J10-O10)/O10</f>
        <v>0</v>
      </c>
      <c r="N10" s="27">
        <f>SUMIF(D15:D172,"KF",N15:N172)</f>
        <v>394</v>
      </c>
      <c r="O10" s="27">
        <v>1291746455.01</v>
      </c>
      <c r="P10" s="28">
        <v>1.0432665717728549</v>
      </c>
      <c r="Q10" s="27">
        <f>SUMIF(D15:D172,"KF",Q15:Q172)</f>
        <v>1291746455.01</v>
      </c>
      <c r="R10" s="28">
        <f>Q10/F10</f>
        <v>1.0432665717728549</v>
      </c>
      <c r="S10" s="28">
        <f>R10-W10</f>
        <v>0</v>
      </c>
      <c r="T10" s="28">
        <f>(Q10-V10)/V10</f>
        <v>0</v>
      </c>
      <c r="U10" s="27">
        <f>SUMIF(D15:D172,"KF",U15:U172)</f>
        <v>394</v>
      </c>
      <c r="V10" s="27">
        <v>1291746455.01</v>
      </c>
      <c r="W10" s="28">
        <v>1.0432665717728549</v>
      </c>
      <c r="X10" s="27">
        <f>SUMIF(D15:D172,"KF",X15:X172)</f>
        <v>1291746455.01</v>
      </c>
      <c r="Y10" s="28">
        <f t="shared" si="1"/>
        <v>1.0432665717728549</v>
      </c>
      <c r="Z10" s="28">
        <f t="shared" si="3"/>
        <v>0</v>
      </c>
      <c r="AA10" s="28">
        <f t="shared" si="2"/>
        <v>0</v>
      </c>
      <c r="AB10" s="27">
        <f>SUMIF(D15:D172,"KF",AB15:AB172)</f>
        <v>394</v>
      </c>
      <c r="AC10" s="27">
        <v>1291746455.01</v>
      </c>
      <c r="AD10" s="28">
        <v>1.0432665717728549</v>
      </c>
      <c r="AE10" s="27">
        <f>SUMIF(D15:D172,"KF",AE15:AE172)</f>
        <v>1294530264.4199998</v>
      </c>
      <c r="AF10" s="28">
        <f>AE10/$F10</f>
        <v>1.0455148886065304</v>
      </c>
      <c r="AG10" s="28">
        <f>AF10-AJ10</f>
        <v>-2.0400995490055251E-5</v>
      </c>
      <c r="AH10" s="28">
        <f t="shared" si="4"/>
        <v>-1.9512488667735782E-5</v>
      </c>
      <c r="AI10" s="27">
        <v>1294555524.4199998</v>
      </c>
      <c r="AJ10" s="28">
        <v>1.0455352896020205</v>
      </c>
      <c r="AM10" s="55"/>
      <c r="AN10" s="55"/>
    </row>
    <row r="11" spans="1:40" x14ac:dyDescent="0.3">
      <c r="A11" s="103"/>
      <c r="B11" s="4" t="s">
        <v>1348</v>
      </c>
      <c r="C11" s="4"/>
      <c r="D11" s="4"/>
      <c r="E11" s="4"/>
      <c r="F11" s="27">
        <f>SUMIF(D15:D172,"ReactEU ERAF",F15:F172)</f>
        <v>197429858</v>
      </c>
      <c r="G11" s="27">
        <f>SUMIF(D15:D172,"ReactEU ERAF",G15:G172)</f>
        <v>1</v>
      </c>
      <c r="H11" s="27">
        <f>SUMIF(D15:D172,"ReactEU ERAF",H15:H172)</f>
        <v>197429859</v>
      </c>
      <c r="I11" s="27">
        <v>0</v>
      </c>
      <c r="J11" s="27">
        <f>SUMIF(D15:D172,"ReactEU ERAF",J15:J172)</f>
        <v>172648849.45000002</v>
      </c>
      <c r="K11" s="28">
        <f t="shared" ref="K11:K12" si="5">J11/F11</f>
        <v>0.87448196133535194</v>
      </c>
      <c r="L11" s="28">
        <f t="shared" si="0"/>
        <v>0</v>
      </c>
      <c r="M11" s="28">
        <f>IFERROR((J11-O11)/O11,0)</f>
        <v>0</v>
      </c>
      <c r="N11" s="27">
        <f>SUMIF(D15:D172,"ReactEU ERAF",N15:N172)</f>
        <v>126</v>
      </c>
      <c r="O11" s="27">
        <v>172648849.45000002</v>
      </c>
      <c r="P11" s="27">
        <v>0.87448196133535194</v>
      </c>
      <c r="Q11" s="27">
        <f>SUMIF(D15:D172,"ReactEU ERAF",Q15:Q172)</f>
        <v>172648849.45000002</v>
      </c>
      <c r="R11" s="28">
        <f t="shared" ref="R11:R12" si="6">Q11/F11</f>
        <v>0.87448196133535194</v>
      </c>
      <c r="S11" s="28">
        <f t="shared" ref="S11:S12" si="7">R11-W11</f>
        <v>0</v>
      </c>
      <c r="T11" s="28">
        <f>IFERROR((Q11-V11)/V11,0)</f>
        <v>0</v>
      </c>
      <c r="U11" s="27">
        <f>SUMIF(D15:D172,"ReactEU ERAF",U15:U172)</f>
        <v>126</v>
      </c>
      <c r="V11" s="27">
        <v>172648849.45000002</v>
      </c>
      <c r="W11" s="27">
        <v>0.87448196133535194</v>
      </c>
      <c r="X11" s="27">
        <f>SUMIF(D15:D172,"ReactEU ERAF",X15:X172)</f>
        <v>172648849.45000002</v>
      </c>
      <c r="Y11" s="28">
        <f t="shared" si="1"/>
        <v>0.87448196133535194</v>
      </c>
      <c r="Z11" s="28">
        <f t="shared" ref="Z11:Z12" si="8">Y11-AD11</f>
        <v>0</v>
      </c>
      <c r="AA11" s="28">
        <f t="shared" si="2"/>
        <v>0</v>
      </c>
      <c r="AB11" s="27">
        <f>SUMIF(D15:D172,"ReactEU ERAF",AB15:AB172)</f>
        <v>126</v>
      </c>
      <c r="AC11" s="27">
        <v>172648849.45000002</v>
      </c>
      <c r="AD11" s="27">
        <v>0.87448196133535194</v>
      </c>
      <c r="AE11" s="27">
        <f>SUMIF(D15:D172,"ReactEU ERAF",AE15:AE172)</f>
        <v>170583248.70000002</v>
      </c>
      <c r="AF11" s="28">
        <f t="shared" ref="AF11:AF12" si="9">AE11/$F11</f>
        <v>0.86401950762685564</v>
      </c>
      <c r="AG11" s="28">
        <f t="shared" ref="AG11:AG12" si="10">AF11-AJ11</f>
        <v>0</v>
      </c>
      <c r="AH11" s="28">
        <f t="shared" ref="AH11:AH12" si="11">IFERROR(((AE11-AI11)/AI11),0)</f>
        <v>0</v>
      </c>
      <c r="AI11" s="27">
        <v>170583248.70000002</v>
      </c>
      <c r="AJ11" s="28">
        <v>0.86401950762685564</v>
      </c>
    </row>
    <row r="12" spans="1:40" x14ac:dyDescent="0.3">
      <c r="A12" s="103"/>
      <c r="B12" s="4" t="s">
        <v>1349</v>
      </c>
      <c r="C12" s="4"/>
      <c r="D12" s="4"/>
      <c r="E12" s="4"/>
      <c r="F12" s="27">
        <f>SUMIF(D15:D172,"ReactEU ESF",F15:F172)</f>
        <v>22489087</v>
      </c>
      <c r="G12" s="27">
        <f>SUMIF(D15:D172,"ReactEU ESF",G15:G172)</f>
        <v>0</v>
      </c>
      <c r="H12" s="27">
        <f>SUMIF(D15:D172,"ReactEU ESF",H15:H172)</f>
        <v>22489087</v>
      </c>
      <c r="I12" s="27">
        <v>0</v>
      </c>
      <c r="J12" s="27">
        <f>SUMIF(D15:D172,"ReactEU ESF",J15:J172)</f>
        <v>21467834.219999999</v>
      </c>
      <c r="K12" s="28">
        <f t="shared" si="5"/>
        <v>0.95458896219308498</v>
      </c>
      <c r="L12" s="28">
        <f t="shared" si="0"/>
        <v>0</v>
      </c>
      <c r="M12" s="28">
        <f>IFERROR((J12-O12)/O12,0)</f>
        <v>0</v>
      </c>
      <c r="N12" s="27">
        <f>SUMIF(D15:D172,"ReactEU ESF",N15:N172)</f>
        <v>4</v>
      </c>
      <c r="O12" s="27">
        <v>21467834.219999999</v>
      </c>
      <c r="P12" s="27">
        <v>0.95458896219308498</v>
      </c>
      <c r="Q12" s="27">
        <f>SUMIF(D15:D172,"ReactEU ESF",Q15:Q172)</f>
        <v>21467834.219999999</v>
      </c>
      <c r="R12" s="28">
        <f t="shared" si="6"/>
        <v>0.95458896219308498</v>
      </c>
      <c r="S12" s="28">
        <f t="shared" si="7"/>
        <v>0</v>
      </c>
      <c r="T12" s="28">
        <f>IFERROR((Q12-V12)/V12,0)</f>
        <v>0</v>
      </c>
      <c r="U12" s="27">
        <f>SUMIF(D15:D172,"ReactEU ESF",U15:U172)</f>
        <v>4</v>
      </c>
      <c r="V12" s="27">
        <v>21467834.219999999</v>
      </c>
      <c r="W12" s="27">
        <v>0.95458896219308498</v>
      </c>
      <c r="X12" s="27">
        <f>SUMIF(D15:D172,"ReactEU ESF",X15:X172)</f>
        <v>21467834.219999999</v>
      </c>
      <c r="Y12" s="28">
        <f t="shared" si="1"/>
        <v>0.95458896219308498</v>
      </c>
      <c r="Z12" s="28">
        <f t="shared" si="8"/>
        <v>0</v>
      </c>
      <c r="AA12" s="28">
        <f t="shared" si="2"/>
        <v>0</v>
      </c>
      <c r="AB12" s="27">
        <f>SUMIF(D15:D172,"ReactEU ESF",AB15:AB172)</f>
        <v>4</v>
      </c>
      <c r="AC12" s="27">
        <v>21467834.219999999</v>
      </c>
      <c r="AD12" s="27">
        <v>0.95458896219308498</v>
      </c>
      <c r="AE12" s="27">
        <f>SUMIF(D15:D172,"ReactEU ESF",AE15:AE172)</f>
        <v>21128869.52</v>
      </c>
      <c r="AF12" s="28">
        <f t="shared" si="9"/>
        <v>0.93951655396237288</v>
      </c>
      <c r="AG12" s="28">
        <f t="shared" si="10"/>
        <v>0</v>
      </c>
      <c r="AH12" s="28">
        <f t="shared" si="11"/>
        <v>0</v>
      </c>
      <c r="AI12" s="27">
        <v>21128869.52</v>
      </c>
      <c r="AJ12" s="28">
        <v>0.93951655396237288</v>
      </c>
    </row>
    <row r="13" spans="1:40" x14ac:dyDescent="0.3">
      <c r="A13" s="100"/>
      <c r="B13" s="99"/>
      <c r="C13" s="2"/>
      <c r="D13" s="6"/>
      <c r="E13" s="6"/>
      <c r="F13" s="24"/>
      <c r="G13" s="24"/>
      <c r="H13" s="24"/>
      <c r="I13" s="24"/>
      <c r="J13" s="24"/>
      <c r="K13" s="25"/>
      <c r="L13" s="25"/>
      <c r="M13" s="25"/>
      <c r="N13" s="25"/>
      <c r="O13" s="24"/>
      <c r="P13" s="25"/>
      <c r="Q13" s="24"/>
      <c r="R13" s="25"/>
      <c r="S13" s="25"/>
      <c r="T13" s="25"/>
      <c r="U13" s="25"/>
      <c r="V13" s="24"/>
      <c r="W13" s="25"/>
      <c r="X13" s="24"/>
      <c r="Y13" s="25"/>
      <c r="Z13" s="25"/>
      <c r="AA13" s="25"/>
      <c r="AB13" s="25"/>
      <c r="AC13" s="24"/>
      <c r="AD13" s="25"/>
      <c r="AE13" s="24"/>
      <c r="AF13" s="25"/>
      <c r="AG13" s="25"/>
      <c r="AH13" s="25"/>
      <c r="AI13" s="24"/>
      <c r="AJ13" s="25"/>
    </row>
    <row r="14" spans="1:40" x14ac:dyDescent="0.3">
      <c r="A14" s="19" t="s">
        <v>0</v>
      </c>
      <c r="B14" s="8" t="str">
        <f>VLOOKUP(A14,saīsinājumi_LV_ENG!A:G,5,FALSE)</f>
        <v>P&amp;A&amp;I</v>
      </c>
      <c r="C14" s="8"/>
      <c r="D14" s="8"/>
      <c r="E14" s="8"/>
      <c r="F14" s="35">
        <f>SUM(F15:F25)</f>
        <v>448221139</v>
      </c>
      <c r="G14" s="35">
        <f>SUM(G15:G25)</f>
        <v>2927032</v>
      </c>
      <c r="H14" s="35">
        <f>SUM(H15:H25)</f>
        <v>451148171</v>
      </c>
      <c r="I14" s="35">
        <f>SUM(I15:I25)</f>
        <v>13053849.871961923</v>
      </c>
      <c r="J14" s="35">
        <f>SUM(J15:J25)</f>
        <v>419955774.0200001</v>
      </c>
      <c r="K14" s="31">
        <f t="shared" ref="K14:K85" si="12">J14/F14</f>
        <v>0.93693879533870017</v>
      </c>
      <c r="L14" s="31">
        <f t="shared" ref="L14:L48" si="13">K14-P14</f>
        <v>-1.1557176668546165E-2</v>
      </c>
      <c r="M14" s="31">
        <f>IFERROR(((J14-O14)/O14),0)</f>
        <v>-1.218473985091195E-2</v>
      </c>
      <c r="N14" s="35">
        <f>SUM(N15:N25)</f>
        <v>330</v>
      </c>
      <c r="O14" s="35">
        <v>425135944.91000009</v>
      </c>
      <c r="P14" s="31">
        <v>0.94849597200724634</v>
      </c>
      <c r="Q14" s="35">
        <f>SUM(Q15:Q25)</f>
        <v>419955774.0200001</v>
      </c>
      <c r="R14" s="31">
        <f t="shared" ref="R14:R21" si="14">Q14/F14</f>
        <v>0.93693879533870017</v>
      </c>
      <c r="S14" s="31">
        <f t="shared" ref="S14:S48" si="15">R14-W14</f>
        <v>-1.1557176668546165E-2</v>
      </c>
      <c r="T14" s="31">
        <f t="shared" ref="T14:T86" si="16">IFERROR(((Q14-V14)/V14),0)</f>
        <v>-1.218473985091195E-2</v>
      </c>
      <c r="U14" s="35">
        <f>SUM(U15:U25)</f>
        <v>330</v>
      </c>
      <c r="V14" s="35">
        <v>425135944.91000009</v>
      </c>
      <c r="W14" s="31">
        <v>0.94849597200724634</v>
      </c>
      <c r="X14" s="35">
        <f>SUM(X15:X25)</f>
        <v>419955774.0200001</v>
      </c>
      <c r="Y14" s="31">
        <f t="shared" ref="Y14:Y21" si="17">X14/F14</f>
        <v>0.93693879533870017</v>
      </c>
      <c r="Z14" s="31">
        <f t="shared" si="3"/>
        <v>-1.1557176668546165E-2</v>
      </c>
      <c r="AA14" s="31">
        <f t="shared" ref="AA14:AA86" si="18">IFERROR(((X14-AC14)/AC14),0)</f>
        <v>-1.218473985091195E-2</v>
      </c>
      <c r="AB14" s="35">
        <f>SUM(AB15:AB25)</f>
        <v>330</v>
      </c>
      <c r="AC14" s="35">
        <v>425135944.91000009</v>
      </c>
      <c r="AD14" s="31">
        <v>0.94849597200724634</v>
      </c>
      <c r="AE14" s="35">
        <f>SUM(AE15:AE25)</f>
        <v>407819159.95000005</v>
      </c>
      <c r="AF14" s="31">
        <f>IFERROR((AE14/$F14),0)</f>
        <v>0.90986150465786053</v>
      </c>
      <c r="AG14" s="31">
        <f>SUM(AG15:AG24)</f>
        <v>6.5201445991501794E-3</v>
      </c>
      <c r="AH14" s="31">
        <f t="shared" si="4"/>
        <v>4.84981935724652E-4</v>
      </c>
      <c r="AI14" s="35">
        <v>407621470.90000004</v>
      </c>
      <c r="AJ14" s="31">
        <v>0.90942045216658118</v>
      </c>
    </row>
    <row r="15" spans="1:40" ht="37.5" x14ac:dyDescent="0.3">
      <c r="A15" s="18" t="s">
        <v>239</v>
      </c>
      <c r="B15" s="10" t="str">
        <f>VLOOKUP(A15,saīsinājumi_LV_ENG!A:G,5,FALSE)</f>
        <v>Praktiskas ievirzes pētījumi</v>
      </c>
      <c r="C15" s="10"/>
      <c r="D15" s="38" t="s">
        <v>344</v>
      </c>
      <c r="E15" s="38" t="s">
        <v>348</v>
      </c>
      <c r="F15" s="33">
        <f>89853072-2524642</f>
        <v>87328430</v>
      </c>
      <c r="G15" s="33">
        <f>2524642</f>
        <v>2524642</v>
      </c>
      <c r="H15" s="33">
        <f>F15+G15</f>
        <v>89853072</v>
      </c>
      <c r="I15" s="33">
        <v>0</v>
      </c>
      <c r="J15" s="445">
        <f>IFERROR((VLOOKUP(A15,AtskaiteStatusuTabula!B:AI,10,0)),0)-AtskaiteStatusuTabula!L24</f>
        <v>86531693.079999998</v>
      </c>
      <c r="K15" s="29">
        <f t="shared" si="12"/>
        <v>0.99087654593126195</v>
      </c>
      <c r="L15" s="29">
        <f t="shared" si="13"/>
        <v>0</v>
      </c>
      <c r="M15" s="29">
        <f t="shared" ref="M15:M87" si="19">IFERROR(((J15-O15)/O15),0)</f>
        <v>0</v>
      </c>
      <c r="N15" s="445">
        <f>IFERROR((VLOOKUP(A15,AtskaiteStatusuTabula!B:AI,17,0)),0)-N158</f>
        <v>201</v>
      </c>
      <c r="O15" s="33">
        <v>86531693.079999998</v>
      </c>
      <c r="P15" s="29">
        <v>0.99087654593126195</v>
      </c>
      <c r="Q15" s="445">
        <f>IFERROR((VLOOKUP(A15,AtskaiteStatusuTabula!B:AI,18,0)),0)-AtskaiteStatusuTabula!T24</f>
        <v>86531693.079999998</v>
      </c>
      <c r="R15" s="29">
        <f>Q15/F15</f>
        <v>0.99087654593126195</v>
      </c>
      <c r="S15" s="29">
        <f t="shared" si="15"/>
        <v>0</v>
      </c>
      <c r="T15" s="29">
        <f t="shared" si="16"/>
        <v>0</v>
      </c>
      <c r="U15" s="445">
        <f>IFERROR((VLOOKUP(A15,AtskaiteStatusuTabula!B:AI,23,0)),0)-U158</f>
        <v>201</v>
      </c>
      <c r="V15" s="33">
        <v>86531693.079999998</v>
      </c>
      <c r="W15" s="29">
        <v>0.99087654593126195</v>
      </c>
      <c r="X15" s="445">
        <f>IFERROR((VLOOKUP(A15,AtskaiteStatusuTabula!B:AI,24,0)),0)-AtskaiteStatusuTabula!Z24</f>
        <v>86531693.079999998</v>
      </c>
      <c r="Y15" s="29">
        <f t="shared" si="17"/>
        <v>0.99087654593126195</v>
      </c>
      <c r="Z15" s="29">
        <f t="shared" si="3"/>
        <v>0</v>
      </c>
      <c r="AA15" s="29">
        <f t="shared" si="18"/>
        <v>0</v>
      </c>
      <c r="AB15" s="445">
        <f>IFERROR((VLOOKUP(A15,AtskaiteStatusuTabula!B:AI,30,0)),0)-AB158</f>
        <v>201</v>
      </c>
      <c r="AC15" s="33">
        <v>86531693.079999998</v>
      </c>
      <c r="AD15" s="29">
        <v>0.99087654593126195</v>
      </c>
      <c r="AE15" s="445">
        <f>IFERROR((VLOOKUP(A15,AtskaiteStatusuTabula!B:AI,31,0)),0)-AtskaiteStatusuTabula!AG24</f>
        <v>85668926.370000005</v>
      </c>
      <c r="AF15" s="29">
        <f>IFERROR((AE15/$F15),0)</f>
        <v>0.98099698311305961</v>
      </c>
      <c r="AG15" s="29">
        <f t="shared" ref="AG15:AG49" si="20">AF15-AJ15</f>
        <v>0</v>
      </c>
      <c r="AH15" s="29">
        <f t="shared" si="4"/>
        <v>0</v>
      </c>
      <c r="AI15" s="33">
        <v>85668926.370000005</v>
      </c>
      <c r="AJ15" s="29">
        <v>0.98099698311305961</v>
      </c>
      <c r="AL15" s="55">
        <f>IF(X15&gt;(F15+G15),F15+G15-X15,0)</f>
        <v>0</v>
      </c>
    </row>
    <row r="16" spans="1:40" ht="37.5" x14ac:dyDescent="0.3">
      <c r="A16" s="18" t="s">
        <v>240</v>
      </c>
      <c r="B16" s="10" t="str">
        <f>VLOOKUP(A16,saīsinājumi_LV_ENG!A:G,5,FALSE)</f>
        <v>Pēcdoktorantūras pētniecība</v>
      </c>
      <c r="C16" s="10"/>
      <c r="D16" s="38" t="s">
        <v>344</v>
      </c>
      <c r="E16" s="38" t="s">
        <v>348</v>
      </c>
      <c r="F16" s="33">
        <v>39898294</v>
      </c>
      <c r="G16" s="33">
        <v>0</v>
      </c>
      <c r="H16" s="33">
        <f t="shared" ref="H16:H25" si="21">F16+G16</f>
        <v>39898294</v>
      </c>
      <c r="I16" s="33">
        <v>0</v>
      </c>
      <c r="J16" s="33">
        <f>IFERROR((VLOOKUP(A16,AtskaiteStatusuTabula!B:AI,10,0)),0)</f>
        <v>38000134.719999999</v>
      </c>
      <c r="K16" s="29">
        <f t="shared" si="12"/>
        <v>0.95242505155734225</v>
      </c>
      <c r="L16" s="29">
        <f t="shared" si="13"/>
        <v>0</v>
      </c>
      <c r="M16" s="29">
        <f t="shared" si="19"/>
        <v>0</v>
      </c>
      <c r="N16" s="33">
        <f>IFERROR((VLOOKUP(A16,AtskaiteStatusuTabula!B:AI,17,0)),0)</f>
        <v>1</v>
      </c>
      <c r="O16" s="33">
        <v>38000134.719999999</v>
      </c>
      <c r="P16" s="29">
        <v>0.95242505155734225</v>
      </c>
      <c r="Q16" s="33">
        <f>IFERROR((VLOOKUP(A16,AtskaiteStatusuTabula!B:AI,18,0)),0)</f>
        <v>38000134.719999999</v>
      </c>
      <c r="R16" s="29">
        <f t="shared" si="14"/>
        <v>0.95242505155734225</v>
      </c>
      <c r="S16" s="29">
        <f t="shared" si="15"/>
        <v>0</v>
      </c>
      <c r="T16" s="29">
        <f t="shared" si="16"/>
        <v>0</v>
      </c>
      <c r="U16" s="33">
        <f>IFERROR((VLOOKUP(A16,AtskaiteStatusuTabula!B:AI,23,0)),0)</f>
        <v>1</v>
      </c>
      <c r="V16" s="33">
        <v>38000134.719999999</v>
      </c>
      <c r="W16" s="29">
        <v>0.95242505155734225</v>
      </c>
      <c r="X16" s="33">
        <f>IFERROR((VLOOKUP(A16,AtskaiteStatusuTabula!B:AI,24,0)),0)</f>
        <v>38000134.719999999</v>
      </c>
      <c r="Y16" s="29">
        <f t="shared" si="17"/>
        <v>0.95242505155734225</v>
      </c>
      <c r="Z16" s="29">
        <f t="shared" si="3"/>
        <v>0</v>
      </c>
      <c r="AA16" s="29">
        <f t="shared" si="18"/>
        <v>0</v>
      </c>
      <c r="AB16" s="33">
        <f>IFERROR((VLOOKUP(A16,AtskaiteStatusuTabula!B:AI,30,0)),0)</f>
        <v>1</v>
      </c>
      <c r="AC16" s="33">
        <v>38000134.719999999</v>
      </c>
      <c r="AD16" s="29">
        <v>0.95242505155734225</v>
      </c>
      <c r="AE16" s="33">
        <f>IFERROR((VLOOKUP(A16,AtskaiteStatusuTabula!B:AI,31,0)),0)</f>
        <v>38000134.719999999</v>
      </c>
      <c r="AF16" s="29">
        <f t="shared" ref="AF16:AF86" si="22">IFERROR((AE16/$F16),0)</f>
        <v>0.95242505155734225</v>
      </c>
      <c r="AG16" s="29">
        <f t="shared" si="20"/>
        <v>0</v>
      </c>
      <c r="AH16" s="29">
        <f t="shared" si="4"/>
        <v>0</v>
      </c>
      <c r="AI16" s="33">
        <v>38000134.719999999</v>
      </c>
      <c r="AJ16" s="29">
        <v>0.95242505155734225</v>
      </c>
      <c r="AL16" s="55">
        <f t="shared" ref="AL16:AL77" si="23">IF(X16&gt;(F16+G16),F16+G16-X16,0)</f>
        <v>0</v>
      </c>
    </row>
    <row r="17" spans="1:38" ht="37.5" x14ac:dyDescent="0.3">
      <c r="A17" s="18" t="s">
        <v>241</v>
      </c>
      <c r="B17" s="10" t="str">
        <f>VLOOKUP(A17,saīsinājumi_LV_ENG!A:G,5,FALSE)</f>
        <v>Inovāciju granti studentiem</v>
      </c>
      <c r="C17" s="10"/>
      <c r="D17" s="38" t="s">
        <v>344</v>
      </c>
      <c r="E17" s="38" t="s">
        <v>348</v>
      </c>
      <c r="F17" s="33">
        <v>15370399</v>
      </c>
      <c r="G17" s="33">
        <v>0</v>
      </c>
      <c r="H17" s="33">
        <f t="shared" si="21"/>
        <v>15370399</v>
      </c>
      <c r="I17" s="33">
        <v>0</v>
      </c>
      <c r="J17" s="33">
        <f>IFERROR((VLOOKUP(A17,AtskaiteStatusuTabula!B:AI,10,0)),0)</f>
        <v>11654365.91</v>
      </c>
      <c r="K17" s="29">
        <f t="shared" si="12"/>
        <v>0.75823444205970192</v>
      </c>
      <c r="L17" s="29">
        <f t="shared" si="13"/>
        <v>0</v>
      </c>
      <c r="M17" s="29">
        <f t="shared" si="19"/>
        <v>0</v>
      </c>
      <c r="N17" s="33">
        <f>IFERROR((VLOOKUP(A17,AtskaiteStatusuTabula!B:AI,17,0)),0)</f>
        <v>11</v>
      </c>
      <c r="O17" s="33">
        <v>11654365.91</v>
      </c>
      <c r="P17" s="29">
        <v>0.75823444205970192</v>
      </c>
      <c r="Q17" s="33">
        <f>IFERROR((VLOOKUP(A17,AtskaiteStatusuTabula!B:AI,18,0)),0)</f>
        <v>11654365.91</v>
      </c>
      <c r="R17" s="29">
        <f t="shared" si="14"/>
        <v>0.75823444205970192</v>
      </c>
      <c r="S17" s="29">
        <f t="shared" si="15"/>
        <v>0</v>
      </c>
      <c r="T17" s="29">
        <f t="shared" si="16"/>
        <v>0</v>
      </c>
      <c r="U17" s="33">
        <f>IFERROR((VLOOKUP(A17,AtskaiteStatusuTabula!B:AI,23,0)),0)</f>
        <v>11</v>
      </c>
      <c r="V17" s="33">
        <v>11654365.91</v>
      </c>
      <c r="W17" s="29">
        <v>0.75823444205970192</v>
      </c>
      <c r="X17" s="33">
        <f>IFERROR((VLOOKUP(A17,AtskaiteStatusuTabula!B:AI,24,0)),0)</f>
        <v>11654365.91</v>
      </c>
      <c r="Y17" s="29">
        <f t="shared" si="17"/>
        <v>0.75823444205970192</v>
      </c>
      <c r="Z17" s="29">
        <f t="shared" si="3"/>
        <v>0</v>
      </c>
      <c r="AA17" s="29">
        <f t="shared" si="18"/>
        <v>0</v>
      </c>
      <c r="AB17" s="33">
        <f>IFERROR((VLOOKUP(A17,AtskaiteStatusuTabula!B:AI,30,0)),0)</f>
        <v>11</v>
      </c>
      <c r="AC17" s="33">
        <v>11654365.91</v>
      </c>
      <c r="AD17" s="29">
        <v>0.75823444205970192</v>
      </c>
      <c r="AE17" s="33">
        <f>IFERROR((VLOOKUP(A17,AtskaiteStatusuTabula!B:AI,31,0)),0)</f>
        <v>10860993.67</v>
      </c>
      <c r="AF17" s="29">
        <f t="shared" si="22"/>
        <v>0.70661754909550489</v>
      </c>
      <c r="AG17" s="29">
        <f t="shared" si="20"/>
        <v>0</v>
      </c>
      <c r="AH17" s="29">
        <f t="shared" si="4"/>
        <v>0</v>
      </c>
      <c r="AI17" s="33">
        <v>10860993.67</v>
      </c>
      <c r="AJ17" s="29">
        <v>0.70661754909550489</v>
      </c>
      <c r="AL17" s="55">
        <f t="shared" si="23"/>
        <v>0</v>
      </c>
    </row>
    <row r="18" spans="1:38" x14ac:dyDescent="0.3">
      <c r="A18" s="18" t="s">
        <v>242</v>
      </c>
      <c r="B18" s="10" t="str">
        <f>VLOOKUP(A18,saīsinājumi_LV_ENG!A:G,5,FALSE)</f>
        <v>P&amp;A infrastruktūra</v>
      </c>
      <c r="C18" s="10"/>
      <c r="D18" s="38" t="s">
        <v>344</v>
      </c>
      <c r="E18" s="38" t="s">
        <v>348</v>
      </c>
      <c r="F18" s="33">
        <v>111692482</v>
      </c>
      <c r="G18" s="33">
        <v>0</v>
      </c>
      <c r="H18" s="33">
        <f t="shared" si="21"/>
        <v>111692482</v>
      </c>
      <c r="I18" s="33">
        <v>0</v>
      </c>
      <c r="J18" s="33">
        <f>IFERROR((VLOOKUP(A18,AtskaiteStatusuTabula!B:AI,10,0)),0)</f>
        <v>111452668.62</v>
      </c>
      <c r="K18" s="29">
        <f t="shared" si="12"/>
        <v>0.99785291386039754</v>
      </c>
      <c r="L18" s="29">
        <f t="shared" si="13"/>
        <v>0</v>
      </c>
      <c r="M18" s="29">
        <f>IFERROR(((J18-O18)/O18),0)</f>
        <v>0</v>
      </c>
      <c r="N18" s="33">
        <f>IFERROR((VLOOKUP(A18,AtskaiteStatusuTabula!B:AI,17,0)),0)</f>
        <v>14</v>
      </c>
      <c r="O18" s="33">
        <v>111452668.62</v>
      </c>
      <c r="P18" s="29">
        <v>0.99785291386039754</v>
      </c>
      <c r="Q18" s="33">
        <f>IFERROR((VLOOKUP(A18,AtskaiteStatusuTabula!B:AI,18,0)),0)</f>
        <v>111452668.62</v>
      </c>
      <c r="R18" s="29">
        <f t="shared" si="14"/>
        <v>0.99785291386039754</v>
      </c>
      <c r="S18" s="29">
        <f t="shared" si="15"/>
        <v>0</v>
      </c>
      <c r="T18" s="29">
        <f t="shared" si="16"/>
        <v>0</v>
      </c>
      <c r="U18" s="33">
        <f>IFERROR((VLOOKUP(A18,AtskaiteStatusuTabula!B:AI,23,0)),0)</f>
        <v>14</v>
      </c>
      <c r="V18" s="33">
        <v>111452668.62</v>
      </c>
      <c r="W18" s="29">
        <v>0.99785291386039754</v>
      </c>
      <c r="X18" s="33">
        <f>IFERROR((VLOOKUP(A18,AtskaiteStatusuTabula!B:AI,24,0)),0)</f>
        <v>111452668.62</v>
      </c>
      <c r="Y18" s="29">
        <f t="shared" si="17"/>
        <v>0.99785291386039754</v>
      </c>
      <c r="Z18" s="29">
        <f t="shared" si="3"/>
        <v>0</v>
      </c>
      <c r="AA18" s="29">
        <f t="shared" si="18"/>
        <v>0</v>
      </c>
      <c r="AB18" s="33">
        <f>IFERROR((VLOOKUP(A18,AtskaiteStatusuTabula!B:AI,30,0)),0)</f>
        <v>14</v>
      </c>
      <c r="AC18" s="33">
        <v>111452668.62</v>
      </c>
      <c r="AD18" s="29">
        <v>0.99785291386039754</v>
      </c>
      <c r="AE18" s="33">
        <f>IFERROR((VLOOKUP(A18,AtskaiteStatusuTabula!B:AI,31,0)),0)</f>
        <v>109826066.93000001</v>
      </c>
      <c r="AF18" s="29">
        <f t="shared" si="22"/>
        <v>0.98328969831649016</v>
      </c>
      <c r="AG18" s="29">
        <f t="shared" si="20"/>
        <v>0</v>
      </c>
      <c r="AH18" s="29">
        <f t="shared" si="4"/>
        <v>0</v>
      </c>
      <c r="AI18" s="33">
        <v>109826066.93000001</v>
      </c>
      <c r="AJ18" s="29">
        <v>0.98328969831649016</v>
      </c>
      <c r="AL18" s="55">
        <f t="shared" si="23"/>
        <v>0</v>
      </c>
    </row>
    <row r="19" spans="1:38" ht="37.5" x14ac:dyDescent="0.3">
      <c r="A19" s="18" t="s">
        <v>243</v>
      </c>
      <c r="B19" s="10" t="str">
        <f>VLOOKUP(A19,saīsinājumi_LV_ENG!A:G,5,FALSE)</f>
        <v>Starptautiskā sadarbība P&amp;I</v>
      </c>
      <c r="C19" s="10"/>
      <c r="D19" s="38" t="s">
        <v>344</v>
      </c>
      <c r="E19" s="38" t="s">
        <v>348</v>
      </c>
      <c r="F19" s="33">
        <v>30675928</v>
      </c>
      <c r="G19" s="33">
        <v>402390</v>
      </c>
      <c r="H19" s="33">
        <f t="shared" si="21"/>
        <v>31078318</v>
      </c>
      <c r="I19" s="33">
        <v>0</v>
      </c>
      <c r="J19" s="33">
        <f>IFERROR((VLOOKUP(A19,AtskaiteStatusuTabula!B:AI,10,0)),0)</f>
        <v>27624703.48</v>
      </c>
      <c r="K19" s="29">
        <f t="shared" si="12"/>
        <v>0.90053358711756004</v>
      </c>
      <c r="L19" s="29">
        <f t="shared" si="13"/>
        <v>0</v>
      </c>
      <c r="M19" s="29">
        <f t="shared" si="19"/>
        <v>0</v>
      </c>
      <c r="N19" s="33">
        <f>IFERROR((VLOOKUP(A19,AtskaiteStatusuTabula!B:AI,17,0)),0)</f>
        <v>33</v>
      </c>
      <c r="O19" s="33">
        <v>27624703.48</v>
      </c>
      <c r="P19" s="29">
        <v>0.90053358711756004</v>
      </c>
      <c r="Q19" s="33">
        <f>IFERROR((VLOOKUP(A19,AtskaiteStatusuTabula!B:AI,18,0)),0)</f>
        <v>27624703.48</v>
      </c>
      <c r="R19" s="29">
        <f t="shared" si="14"/>
        <v>0.90053358711756004</v>
      </c>
      <c r="S19" s="29">
        <f t="shared" si="15"/>
        <v>0</v>
      </c>
      <c r="T19" s="29">
        <f t="shared" si="16"/>
        <v>0</v>
      </c>
      <c r="U19" s="33">
        <f>IFERROR((VLOOKUP(A19,AtskaiteStatusuTabula!B:AI,23,0)),0)</f>
        <v>33</v>
      </c>
      <c r="V19" s="33">
        <v>27624703.48</v>
      </c>
      <c r="W19" s="29">
        <v>0.90053358711756004</v>
      </c>
      <c r="X19" s="33">
        <f>IFERROR((VLOOKUP(A19,AtskaiteStatusuTabula!B:AI,24,0)),0)</f>
        <v>27624703.48</v>
      </c>
      <c r="Y19" s="29">
        <f t="shared" si="17"/>
        <v>0.90053358711756004</v>
      </c>
      <c r="Z19" s="29">
        <f t="shared" si="3"/>
        <v>0</v>
      </c>
      <c r="AA19" s="29">
        <f t="shared" si="18"/>
        <v>0</v>
      </c>
      <c r="AB19" s="33">
        <f>IFERROR((VLOOKUP(A19,AtskaiteStatusuTabula!B:AI,30,0)),0)</f>
        <v>33</v>
      </c>
      <c r="AC19" s="33">
        <v>27624703.48</v>
      </c>
      <c r="AD19" s="29">
        <v>0.90053358711756004</v>
      </c>
      <c r="AE19" s="33">
        <f>IFERROR((VLOOKUP(A19,AtskaiteStatusuTabula!B:AI,31,0)),0)</f>
        <v>27563554.23</v>
      </c>
      <c r="AF19" s="29">
        <f t="shared" si="22"/>
        <v>0.89854019184032508</v>
      </c>
      <c r="AG19" s="29">
        <f t="shared" si="20"/>
        <v>0</v>
      </c>
      <c r="AH19" s="29">
        <f t="shared" si="4"/>
        <v>0</v>
      </c>
      <c r="AI19" s="33">
        <v>27563554.23</v>
      </c>
      <c r="AJ19" s="29">
        <v>0.89854019184032508</v>
      </c>
      <c r="AL19" s="55">
        <f t="shared" si="23"/>
        <v>0</v>
      </c>
    </row>
    <row r="20" spans="1:38" x14ac:dyDescent="0.3">
      <c r="A20" s="18" t="s">
        <v>244</v>
      </c>
      <c r="B20" s="10" t="str">
        <f>VLOOKUP(A20,saīsinājumi_LV_ENG!A:G,5,FALSE)</f>
        <v>Kompetences centri</v>
      </c>
      <c r="C20" s="10"/>
      <c r="D20" s="38" t="s">
        <v>344</v>
      </c>
      <c r="E20" s="38" t="s">
        <v>349</v>
      </c>
      <c r="F20" s="33">
        <v>63150605</v>
      </c>
      <c r="G20" s="33">
        <v>0</v>
      </c>
      <c r="H20" s="33">
        <f t="shared" si="21"/>
        <v>63150605</v>
      </c>
      <c r="I20" s="33">
        <v>0</v>
      </c>
      <c r="J20" s="33">
        <f>IFERROR((VLOOKUP(A20,AtskaiteStatusuTabula!B:AI,10,0)),0)</f>
        <v>62365526.159999996</v>
      </c>
      <c r="K20" s="29">
        <f t="shared" si="12"/>
        <v>0.98756815013886246</v>
      </c>
      <c r="L20" s="29">
        <f t="shared" si="13"/>
        <v>0</v>
      </c>
      <c r="M20" s="29">
        <f t="shared" si="19"/>
        <v>0</v>
      </c>
      <c r="N20" s="33">
        <f>IFERROR((VLOOKUP(A20,AtskaiteStatusuTabula!B:AI,17,0)),0)</f>
        <v>17</v>
      </c>
      <c r="O20" s="33">
        <v>62365526.159999996</v>
      </c>
      <c r="P20" s="29">
        <v>0.98756815013886246</v>
      </c>
      <c r="Q20" s="33">
        <f>IFERROR((VLOOKUP(A20,AtskaiteStatusuTabula!B:AI,18,0)),0)</f>
        <v>62365526.159999996</v>
      </c>
      <c r="R20" s="29">
        <f t="shared" si="14"/>
        <v>0.98756815013886246</v>
      </c>
      <c r="S20" s="29">
        <f t="shared" si="15"/>
        <v>0</v>
      </c>
      <c r="T20" s="29">
        <f t="shared" si="16"/>
        <v>0</v>
      </c>
      <c r="U20" s="33">
        <f>IFERROR((VLOOKUP(A20,AtskaiteStatusuTabula!B:AI,23,0)),0)</f>
        <v>17</v>
      </c>
      <c r="V20" s="33">
        <v>62365526.159999996</v>
      </c>
      <c r="W20" s="29">
        <v>0.98756815013886246</v>
      </c>
      <c r="X20" s="33">
        <f>IFERROR((VLOOKUP(A20,AtskaiteStatusuTabula!B:AI,24,0)),0)</f>
        <v>62365526.159999996</v>
      </c>
      <c r="Y20" s="29">
        <f t="shared" si="17"/>
        <v>0.98756815013886246</v>
      </c>
      <c r="Z20" s="29">
        <f t="shared" si="3"/>
        <v>0</v>
      </c>
      <c r="AA20" s="29">
        <f t="shared" si="18"/>
        <v>0</v>
      </c>
      <c r="AB20" s="33">
        <f>IFERROR((VLOOKUP(A20,AtskaiteStatusuTabula!B:AI,30,0)),0)</f>
        <v>17</v>
      </c>
      <c r="AC20" s="33">
        <v>62365526.159999996</v>
      </c>
      <c r="AD20" s="29">
        <v>0.98756815013886246</v>
      </c>
      <c r="AE20" s="33">
        <f>IFERROR((VLOOKUP(A20,AtskaiteStatusuTabula!B:AI,31,0)),0)</f>
        <v>55285734.359999999</v>
      </c>
      <c r="AF20" s="29">
        <f t="shared" si="22"/>
        <v>0.87545850685040938</v>
      </c>
      <c r="AG20" s="29">
        <f t="shared" si="20"/>
        <v>0</v>
      </c>
      <c r="AH20" s="29">
        <f t="shared" si="4"/>
        <v>0</v>
      </c>
      <c r="AI20" s="33">
        <v>55285734.359999999</v>
      </c>
      <c r="AJ20" s="29">
        <v>0.87545850685040938</v>
      </c>
      <c r="AL20" s="55">
        <f t="shared" si="23"/>
        <v>0</v>
      </c>
    </row>
    <row r="21" spans="1:38" ht="37.5" x14ac:dyDescent="0.3">
      <c r="A21" s="18" t="s">
        <v>245</v>
      </c>
      <c r="B21" s="10" t="str">
        <f>VLOOKUP(A21,saīsinājumi_LV_ENG!A:G,5,FALSE)</f>
        <v>Tehnoloģiju pārneses sistēma</v>
      </c>
      <c r="C21" s="10"/>
      <c r="D21" s="38" t="s">
        <v>344</v>
      </c>
      <c r="E21" s="38" t="s">
        <v>349</v>
      </c>
      <c r="F21" s="33">
        <v>30779847</v>
      </c>
      <c r="G21" s="33">
        <v>0</v>
      </c>
      <c r="H21" s="33">
        <f>F21+G21</f>
        <v>30779847</v>
      </c>
      <c r="I21" s="33">
        <v>12761000</v>
      </c>
      <c r="J21" s="33">
        <f>IFERROR((VLOOKUP(A21,AtskaiteStatusuTabula!B:AI,10,0)),0)</f>
        <v>25072837.949999999</v>
      </c>
      <c r="K21" s="29">
        <f t="shared" si="12"/>
        <v>0.81458617874221395</v>
      </c>
      <c r="L21" s="29">
        <f t="shared" si="13"/>
        <v>-0.16829748666392008</v>
      </c>
      <c r="M21" s="29">
        <f t="shared" si="19"/>
        <v>-0.1712282873216521</v>
      </c>
      <c r="N21" s="33">
        <f>IFERROR((VLOOKUP(A21,AtskaiteStatusuTabula!B:AI,17,0)),0)</f>
        <v>1</v>
      </c>
      <c r="O21" s="33">
        <v>30253008.84</v>
      </c>
      <c r="P21" s="29">
        <v>0.98288366540613403</v>
      </c>
      <c r="Q21" s="33">
        <f>IFERROR((VLOOKUP(A21,AtskaiteStatusuTabula!B:AI,18,0)),0)</f>
        <v>25072837.949999999</v>
      </c>
      <c r="R21" s="29">
        <f t="shared" si="14"/>
        <v>0.81458617874221395</v>
      </c>
      <c r="S21" s="29">
        <f t="shared" si="15"/>
        <v>-0.16829748666392008</v>
      </c>
      <c r="T21" s="29">
        <f t="shared" si="16"/>
        <v>-0.1712282873216521</v>
      </c>
      <c r="U21" s="33">
        <f>IFERROR((VLOOKUP(A21,AtskaiteStatusuTabula!B:AI,23,0)),0)</f>
        <v>1</v>
      </c>
      <c r="V21" s="33">
        <v>30253008.84</v>
      </c>
      <c r="W21" s="29">
        <v>0.98288366540613403</v>
      </c>
      <c r="X21" s="33">
        <f>IFERROR((VLOOKUP(A21,AtskaiteStatusuTabula!B:AI,24,0)),0)</f>
        <v>25072837.949999999</v>
      </c>
      <c r="Y21" s="29">
        <f t="shared" si="17"/>
        <v>0.81458617874221395</v>
      </c>
      <c r="Z21" s="29">
        <f t="shared" si="3"/>
        <v>-0.16829748666392008</v>
      </c>
      <c r="AA21" s="29">
        <f t="shared" si="18"/>
        <v>-0.1712282873216521</v>
      </c>
      <c r="AB21" s="33">
        <f>IFERROR((VLOOKUP(A21,AtskaiteStatusuTabula!B:AI,30,0)),0)</f>
        <v>1</v>
      </c>
      <c r="AC21" s="33">
        <v>30253008.84</v>
      </c>
      <c r="AD21" s="29">
        <v>0.98288366540613403</v>
      </c>
      <c r="AE21" s="33">
        <f>IFERROR((VLOOKUP(A21,AtskaiteStatusuTabula!B:AI,31,0)),0)</f>
        <v>25072837.949999999</v>
      </c>
      <c r="AF21" s="29">
        <f t="shared" si="22"/>
        <v>0.81458617874221395</v>
      </c>
      <c r="AG21" s="29">
        <f t="shared" si="20"/>
        <v>6.5201448207328205E-3</v>
      </c>
      <c r="AH21" s="29">
        <f t="shared" si="4"/>
        <v>8.068826738194982E-3</v>
      </c>
      <c r="AI21" s="33">
        <v>24872148.890000001</v>
      </c>
      <c r="AJ21" s="29">
        <v>0.80806603392148113</v>
      </c>
      <c r="AL21" s="55">
        <f t="shared" si="23"/>
        <v>0</v>
      </c>
    </row>
    <row r="22" spans="1:38" x14ac:dyDescent="0.3">
      <c r="A22" s="18" t="s">
        <v>246</v>
      </c>
      <c r="B22" s="10" t="str">
        <f>VLOOKUP(A22,saīsinājumi_LV_ENG!A:G,5,FALSE)</f>
        <v xml:space="preserve">Jaunu produktu ieviešana </v>
      </c>
      <c r="C22" s="10"/>
      <c r="D22" s="38" t="s">
        <v>344</v>
      </c>
      <c r="E22" s="38" t="s">
        <v>349</v>
      </c>
      <c r="F22" s="33">
        <v>45129876</v>
      </c>
      <c r="G22" s="33">
        <v>0</v>
      </c>
      <c r="H22" s="33">
        <f t="shared" si="21"/>
        <v>45129876</v>
      </c>
      <c r="I22" s="33">
        <v>0</v>
      </c>
      <c r="J22" s="33">
        <f>IFERROR((VLOOKUP(A22,AtskaiteStatusuTabula!B:AI,10,0)),0)</f>
        <v>37454815.280000001</v>
      </c>
      <c r="K22" s="29">
        <f t="shared" si="12"/>
        <v>0.82993392846902569</v>
      </c>
      <c r="L22" s="29">
        <f>K22-P22</f>
        <v>0</v>
      </c>
      <c r="M22" s="29">
        <f>IFERROR(((J22-O22)/O22),0)</f>
        <v>0</v>
      </c>
      <c r="N22" s="33">
        <f>IFERROR((VLOOKUP(A22,AtskaiteStatusuTabula!B:AI,17,0)),0)</f>
        <v>33</v>
      </c>
      <c r="O22" s="33">
        <v>37454815.280000001</v>
      </c>
      <c r="P22" s="29">
        <v>0.82993392846902569</v>
      </c>
      <c r="Q22" s="33">
        <f>IFERROR((VLOOKUP(A22,AtskaiteStatusuTabula!B:AI,18,0)),0)</f>
        <v>37454815.280000001</v>
      </c>
      <c r="R22" s="29">
        <f>Q22/F22</f>
        <v>0.82993392846902569</v>
      </c>
      <c r="S22" s="29">
        <f t="shared" si="15"/>
        <v>0</v>
      </c>
      <c r="T22" s="29">
        <f t="shared" si="16"/>
        <v>0</v>
      </c>
      <c r="U22" s="33">
        <f>IFERROR((VLOOKUP(A22,AtskaiteStatusuTabula!B:AI,23,0)),0)</f>
        <v>33</v>
      </c>
      <c r="V22" s="33">
        <v>37454815.280000001</v>
      </c>
      <c r="W22" s="29">
        <v>0.82993392846902569</v>
      </c>
      <c r="X22" s="33">
        <f>IFERROR((VLOOKUP(A22,AtskaiteStatusuTabula!B:AI,24,0)),0)</f>
        <v>37454815.280000001</v>
      </c>
      <c r="Y22" s="29">
        <f>X22/F22</f>
        <v>0.82993392846902569</v>
      </c>
      <c r="Z22" s="29">
        <f t="shared" si="3"/>
        <v>0</v>
      </c>
      <c r="AA22" s="29">
        <f t="shared" si="18"/>
        <v>0</v>
      </c>
      <c r="AB22" s="33">
        <f>IFERROR((VLOOKUP(A22,AtskaiteStatusuTabula!B:AI,30,0)),0)</f>
        <v>33</v>
      </c>
      <c r="AC22" s="33">
        <v>37454815.280000001</v>
      </c>
      <c r="AD22" s="29">
        <v>0.82993392846902569</v>
      </c>
      <c r="AE22" s="33">
        <f>IFERROR((VLOOKUP(A22,AtskaiteStatusuTabula!B:AI,31,0)),0)</f>
        <v>37228874.539999999</v>
      </c>
      <c r="AF22" s="29">
        <f t="shared" si="22"/>
        <v>0.82492747243533304</v>
      </c>
      <c r="AG22" s="29">
        <f t="shared" si="20"/>
        <v>-2.2158264112448478E-10</v>
      </c>
      <c r="AH22" s="29">
        <f t="shared" si="4"/>
        <v>-2.6860865483341433E-10</v>
      </c>
      <c r="AI22" s="33">
        <v>37228874.549999997</v>
      </c>
      <c r="AJ22" s="29">
        <v>0.82492747265691568</v>
      </c>
      <c r="AL22" s="55">
        <f t="shared" si="23"/>
        <v>0</v>
      </c>
    </row>
    <row r="23" spans="1:38" x14ac:dyDescent="0.3">
      <c r="A23" s="18" t="s">
        <v>247</v>
      </c>
      <c r="B23" s="10" t="str">
        <f>VLOOKUP(A23,saīsinājumi_LV_ENG!A:G,5,FALSE)</f>
        <v>Nodarbināto apmācības</v>
      </c>
      <c r="C23" s="9"/>
      <c r="D23" s="38" t="s">
        <v>344</v>
      </c>
      <c r="E23" s="38" t="s">
        <v>349</v>
      </c>
      <c r="F23" s="33">
        <v>14735844</v>
      </c>
      <c r="G23" s="33">
        <v>0</v>
      </c>
      <c r="H23" s="33">
        <f t="shared" si="21"/>
        <v>14735844</v>
      </c>
      <c r="I23" s="33">
        <v>0</v>
      </c>
      <c r="J23" s="445">
        <f>IFERROR((VLOOKUP(A23,AtskaiteStatusuTabula!B:AI,10,0)),0)-AtskaiteStatusuTabula!L35</f>
        <v>10450395.23</v>
      </c>
      <c r="K23" s="29">
        <f t="shared" si="12"/>
        <v>0.70918199391904535</v>
      </c>
      <c r="L23" s="29">
        <f t="shared" si="13"/>
        <v>0</v>
      </c>
      <c r="M23" s="29">
        <f t="shared" si="19"/>
        <v>0</v>
      </c>
      <c r="N23" s="33">
        <f>IFERROR((VLOOKUP(A23,AtskaiteStatusuTabula!B:AI,17,0)),0)</f>
        <v>15</v>
      </c>
      <c r="O23" s="33">
        <v>10450395.23</v>
      </c>
      <c r="P23" s="29">
        <v>0.70918199391904535</v>
      </c>
      <c r="Q23" s="445">
        <f>IFERROR((VLOOKUP(A23,AtskaiteStatusuTabula!B:AI,18,0)),0)-AtskaiteStatusuTabula!T35</f>
        <v>10450395.23</v>
      </c>
      <c r="R23" s="29">
        <f>Q23/F23</f>
        <v>0.70918199391904535</v>
      </c>
      <c r="S23" s="29">
        <f t="shared" si="15"/>
        <v>0</v>
      </c>
      <c r="T23" s="29">
        <f t="shared" si="16"/>
        <v>0</v>
      </c>
      <c r="U23" s="33">
        <f>IFERROR((VLOOKUP(A23,AtskaiteStatusuTabula!B:AI,23,0)),0)</f>
        <v>15</v>
      </c>
      <c r="V23" s="33">
        <v>10450395.23</v>
      </c>
      <c r="W23" s="29">
        <v>0.70918199391904535</v>
      </c>
      <c r="X23" s="445">
        <f>IFERROR((VLOOKUP(A23,AtskaiteStatusuTabula!B:AI,24,0)),0)-AtskaiteStatusuTabula!Z35</f>
        <v>10450395.23</v>
      </c>
      <c r="Y23" s="29">
        <f>X23/F23</f>
        <v>0.70918199391904535</v>
      </c>
      <c r="Z23" s="29">
        <f t="shared" si="3"/>
        <v>0</v>
      </c>
      <c r="AA23" s="29">
        <f t="shared" si="18"/>
        <v>0</v>
      </c>
      <c r="AB23" s="33">
        <f>IFERROR((VLOOKUP(A23,AtskaiteStatusuTabula!B:AI,30,0)),0)</f>
        <v>15</v>
      </c>
      <c r="AC23" s="33">
        <v>10450395.23</v>
      </c>
      <c r="AD23" s="29">
        <v>0.70918199391904535</v>
      </c>
      <c r="AE23" s="445">
        <f>IFERROR((VLOOKUP(A23,AtskaiteStatusuTabula!B:AI,31,0)),0)-AtskaiteStatusuTabula!AG35</f>
        <v>10498076.439999999</v>
      </c>
      <c r="AF23" s="29">
        <f t="shared" si="22"/>
        <v>0.71241772374897561</v>
      </c>
      <c r="AG23" s="29">
        <f t="shared" si="20"/>
        <v>0</v>
      </c>
      <c r="AH23" s="29">
        <f t="shared" si="4"/>
        <v>0</v>
      </c>
      <c r="AI23" s="33">
        <v>10498076.439999999</v>
      </c>
      <c r="AJ23" s="29">
        <v>0.71241772374897561</v>
      </c>
      <c r="AL23" s="55">
        <f t="shared" si="23"/>
        <v>0</v>
      </c>
    </row>
    <row r="24" spans="1:38" x14ac:dyDescent="0.3">
      <c r="A24" s="18" t="s">
        <v>248</v>
      </c>
      <c r="B24" s="10" t="str">
        <f>VLOOKUP(A24,saīsinājumi_LV_ENG!A:G,5,FALSE)</f>
        <v>Inovāciju motivācija</v>
      </c>
      <c r="C24" s="9"/>
      <c r="D24" s="38" t="s">
        <v>344</v>
      </c>
      <c r="E24" s="38" t="s">
        <v>349</v>
      </c>
      <c r="F24" s="33">
        <v>4801192</v>
      </c>
      <c r="G24" s="33">
        <v>0</v>
      </c>
      <c r="H24" s="33">
        <f t="shared" si="21"/>
        <v>4801192</v>
      </c>
      <c r="I24" s="33">
        <v>292849.87196192303</v>
      </c>
      <c r="J24" s="33">
        <f>IFERROR((VLOOKUP(A24,AtskaiteStatusuTabula!B:AI,10,0)),0)</f>
        <v>4785304.3499999996</v>
      </c>
      <c r="K24" s="29">
        <f t="shared" si="12"/>
        <v>0.99669089467782157</v>
      </c>
      <c r="L24" s="29">
        <f t="shared" si="13"/>
        <v>0</v>
      </c>
      <c r="M24" s="29">
        <f t="shared" si="19"/>
        <v>0</v>
      </c>
      <c r="N24" s="33">
        <f>IFERROR((VLOOKUP(A24,AtskaiteStatusuTabula!B:AI,17,0)),0)</f>
        <v>1</v>
      </c>
      <c r="O24" s="33">
        <v>4785304.3499999996</v>
      </c>
      <c r="P24" s="29">
        <v>0.99669089467782157</v>
      </c>
      <c r="Q24" s="33">
        <f>IFERROR((VLOOKUP(A24,AtskaiteStatusuTabula!B:AI,18,0)),0)</f>
        <v>4785304.3499999996</v>
      </c>
      <c r="R24" s="29">
        <f>Q24/F24</f>
        <v>0.99669089467782157</v>
      </c>
      <c r="S24" s="29">
        <f t="shared" si="15"/>
        <v>0</v>
      </c>
      <c r="T24" s="29">
        <f t="shared" si="16"/>
        <v>0</v>
      </c>
      <c r="U24" s="33">
        <f>IFERROR((VLOOKUP(A24,AtskaiteStatusuTabula!B:AI,23,0)),0)</f>
        <v>1</v>
      </c>
      <c r="V24" s="33">
        <v>4785304.3499999996</v>
      </c>
      <c r="W24" s="29">
        <v>0.99669089467782157</v>
      </c>
      <c r="X24" s="33">
        <f>IFERROR((VLOOKUP(A24,AtskaiteStatusuTabula!B:AI,24,0)),0)</f>
        <v>4785304.3499999996</v>
      </c>
      <c r="Y24" s="29">
        <f>X24/F24</f>
        <v>0.99669089467782157</v>
      </c>
      <c r="Z24" s="29">
        <f t="shared" si="3"/>
        <v>0</v>
      </c>
      <c r="AA24" s="29">
        <f t="shared" si="18"/>
        <v>0</v>
      </c>
      <c r="AB24" s="33">
        <f>IFERROR((VLOOKUP(A24,AtskaiteStatusuTabula!B:AI,30,0)),0)</f>
        <v>1</v>
      </c>
      <c r="AC24" s="33">
        <v>4785304.3499999996</v>
      </c>
      <c r="AD24" s="29">
        <v>0.99669089467782157</v>
      </c>
      <c r="AE24" s="33">
        <f>IFERROR((VLOOKUP(A24,AtskaiteStatusuTabula!B:AI,31,0)),0)</f>
        <v>4785304.3499999996</v>
      </c>
      <c r="AF24" s="29">
        <f t="shared" si="22"/>
        <v>0.99669089467782157</v>
      </c>
      <c r="AG24" s="29">
        <f t="shared" si="20"/>
        <v>0</v>
      </c>
      <c r="AH24" s="29">
        <f t="shared" si="4"/>
        <v>0</v>
      </c>
      <c r="AI24" s="33">
        <v>4785304.3499999996</v>
      </c>
      <c r="AJ24" s="29">
        <v>0.99669089467782157</v>
      </c>
      <c r="AL24" s="55">
        <f t="shared" si="23"/>
        <v>0</v>
      </c>
    </row>
    <row r="25" spans="1:38" ht="37.5" x14ac:dyDescent="0.3">
      <c r="A25" s="18" t="s">
        <v>395</v>
      </c>
      <c r="B25" s="10" t="str">
        <f>VLOOKUP(A25,saīsinājumi_LV_ENG!A:G,5,FALSE)</f>
        <v>IKT un netehnoloģiskās apmācības</v>
      </c>
      <c r="C25" s="9"/>
      <c r="D25" s="38" t="s">
        <v>344</v>
      </c>
      <c r="E25" s="38" t="s">
        <v>349</v>
      </c>
      <c r="F25" s="33">
        <v>4658242</v>
      </c>
      <c r="G25" s="33">
        <v>0</v>
      </c>
      <c r="H25" s="33">
        <f t="shared" si="21"/>
        <v>4658242</v>
      </c>
      <c r="I25" s="33">
        <v>0</v>
      </c>
      <c r="J25" s="445">
        <f>IFERROR((VLOOKUP(A25,AtskaiteStatusuTabula!B:AI,10,0)),0)-AtskaiteStatusuTabula!L37</f>
        <v>4563329.24</v>
      </c>
      <c r="K25" s="29">
        <f>J25/F25</f>
        <v>0.97962476831388323</v>
      </c>
      <c r="L25" s="29">
        <f>K25-P25</f>
        <v>0</v>
      </c>
      <c r="M25" s="29">
        <f>IFERROR(((J25-O25)/O25),0)</f>
        <v>0</v>
      </c>
      <c r="N25" s="33">
        <f>IFERROR((VLOOKUP(A25,AtskaiteStatusuTabula!B:AI,17,0)),0)</f>
        <v>3</v>
      </c>
      <c r="O25" s="33">
        <v>4563329.24</v>
      </c>
      <c r="P25" s="29">
        <v>0.97962476831388323</v>
      </c>
      <c r="Q25" s="445">
        <f>IFERROR((VLOOKUP(A25,AtskaiteStatusuTabula!B:AI,18,0)),0)-AtskaiteStatusuTabula!T37</f>
        <v>4563329.24</v>
      </c>
      <c r="R25" s="29">
        <f>Q25/F25</f>
        <v>0.97962476831388323</v>
      </c>
      <c r="S25" s="29">
        <f>R25-W25</f>
        <v>0</v>
      </c>
      <c r="T25" s="29">
        <f>IFERROR(((Q25-V25)/V25),0)</f>
        <v>0</v>
      </c>
      <c r="U25" s="33">
        <f>IFERROR((VLOOKUP(A25,AtskaiteStatusuTabula!B:AI,23,0)),0)</f>
        <v>3</v>
      </c>
      <c r="V25" s="33">
        <v>4563329.24</v>
      </c>
      <c r="W25" s="29">
        <v>0.97962476831388323</v>
      </c>
      <c r="X25" s="445">
        <f>IFERROR((VLOOKUP(A25,AtskaiteStatusuTabula!B:AI,24,0)),0)-AtskaiteStatusuTabula!Z37</f>
        <v>4563329.24</v>
      </c>
      <c r="Y25" s="29">
        <f>X25/F25</f>
        <v>0.97962476831388323</v>
      </c>
      <c r="Z25" s="29">
        <f>Y25-AD25</f>
        <v>0</v>
      </c>
      <c r="AA25" s="29">
        <f>IFERROR(((X25-AC25)/AC25),0)</f>
        <v>0</v>
      </c>
      <c r="AB25" s="33">
        <f>IFERROR((VLOOKUP(A25,AtskaiteStatusuTabula!B:AI,30,0)),0)</f>
        <v>3</v>
      </c>
      <c r="AC25" s="33">
        <v>4563329.24</v>
      </c>
      <c r="AD25" s="29">
        <v>0.97962476831388323</v>
      </c>
      <c r="AE25" s="445">
        <f>IFERROR((VLOOKUP(A25,AtskaiteStatusuTabula!B:AI,31,0)),0)-AtskaiteStatusuTabula!AG37</f>
        <v>3028656.3900000006</v>
      </c>
      <c r="AF25" s="29">
        <f t="shared" si="22"/>
        <v>0.65017154325601823</v>
      </c>
      <c r="AG25" s="29">
        <f>AF25-AJ25</f>
        <v>-6.4401978257022652E-4</v>
      </c>
      <c r="AH25" s="29">
        <f>IFERROR(((AE25-AI25)/AI25),0)</f>
        <v>-9.895580547635873E-4</v>
      </c>
      <c r="AI25" s="33">
        <v>3031656.3900000006</v>
      </c>
      <c r="AJ25" s="29">
        <v>0.65081556303858845</v>
      </c>
      <c r="AL25" s="55">
        <f t="shared" si="23"/>
        <v>0</v>
      </c>
    </row>
    <row r="26" spans="1:38" s="22" customFormat="1" ht="56.25" x14ac:dyDescent="0.3">
      <c r="A26" s="19" t="s">
        <v>12</v>
      </c>
      <c r="B26" s="8" t="str">
        <f>VLOOKUP(A26,saīsinājumi_LV_ENG!A:G,5,FALSE)</f>
        <v>Informāciju un komunikāciju tehnoloģijas (IKT)</v>
      </c>
      <c r="C26" s="7"/>
      <c r="D26" s="39"/>
      <c r="E26" s="39"/>
      <c r="F26" s="34">
        <f>SUM(F27:F29)</f>
        <v>171083829</v>
      </c>
      <c r="G26" s="34">
        <f>SUM(G27:G29)</f>
        <v>0</v>
      </c>
      <c r="H26" s="34">
        <f>SUM(H27:H29)</f>
        <v>171083829</v>
      </c>
      <c r="I26" s="34">
        <f>SUM(I27:I29)</f>
        <v>7856779.6605614899</v>
      </c>
      <c r="J26" s="34">
        <f>SUM(J27:J29)</f>
        <v>165233954.75</v>
      </c>
      <c r="K26" s="30">
        <f t="shared" si="12"/>
        <v>0.96580697144672856</v>
      </c>
      <c r="L26" s="30">
        <f t="shared" si="13"/>
        <v>5.1742552476996551E-4</v>
      </c>
      <c r="M26" s="30">
        <f t="shared" si="19"/>
        <v>5.3603141871364597E-4</v>
      </c>
      <c r="N26" s="34">
        <f>SUM(N27:N29)</f>
        <v>59</v>
      </c>
      <c r="O26" s="34">
        <v>165145431.61000001</v>
      </c>
      <c r="P26" s="30">
        <v>0.96528954592195859</v>
      </c>
      <c r="Q26" s="34">
        <f>SUM(Q27:Q29)</f>
        <v>165233954.75</v>
      </c>
      <c r="R26" s="30">
        <f t="shared" ref="R26:R48" si="24">Q26/F26</f>
        <v>0.96580697144672856</v>
      </c>
      <c r="S26" s="30">
        <f t="shared" si="15"/>
        <v>5.1742552476996551E-4</v>
      </c>
      <c r="T26" s="30">
        <f t="shared" si="16"/>
        <v>5.3603141871364597E-4</v>
      </c>
      <c r="U26" s="34">
        <f>SUM(U27:U29)</f>
        <v>59</v>
      </c>
      <c r="V26" s="34">
        <v>165145431.61000001</v>
      </c>
      <c r="W26" s="30">
        <v>0.96528954592195859</v>
      </c>
      <c r="X26" s="34">
        <f>SUM(X27:X29)</f>
        <v>165233954.75</v>
      </c>
      <c r="Y26" s="30">
        <f t="shared" ref="Y26:Y48" si="25">X26/F26</f>
        <v>0.96580697144672856</v>
      </c>
      <c r="Z26" s="30">
        <f t="shared" si="3"/>
        <v>5.1742552476996551E-4</v>
      </c>
      <c r="AA26" s="30">
        <f t="shared" si="18"/>
        <v>5.3603141871364597E-4</v>
      </c>
      <c r="AB26" s="34">
        <f>SUM(AB27:AB29)</f>
        <v>59</v>
      </c>
      <c r="AC26" s="34">
        <v>165145431.61000001</v>
      </c>
      <c r="AD26" s="30">
        <v>0.96528954592195859</v>
      </c>
      <c r="AE26" s="34">
        <f>SUM(AE27:AE29)</f>
        <v>165233206.75</v>
      </c>
      <c r="AF26" s="30">
        <f t="shared" si="22"/>
        <v>0.96580259932106149</v>
      </c>
      <c r="AG26" s="30">
        <f t="shared" si="20"/>
        <v>5.1742552476996551E-4</v>
      </c>
      <c r="AH26" s="30">
        <f t="shared" si="4"/>
        <v>5.3603384659380797E-4</v>
      </c>
      <c r="AI26" s="34">
        <v>165144683.61000001</v>
      </c>
      <c r="AJ26" s="30">
        <v>0.96528517379629153</v>
      </c>
      <c r="AL26" s="55">
        <f t="shared" si="23"/>
        <v>0</v>
      </c>
    </row>
    <row r="27" spans="1:38" x14ac:dyDescent="0.3">
      <c r="A27" s="18" t="s">
        <v>250</v>
      </c>
      <c r="B27" s="10" t="str">
        <f>VLOOKUP(A27,saīsinājumi_LV_ENG!A:G,5,FALSE)</f>
        <v>Platjoslas infrastruktūra</v>
      </c>
      <c r="C27" s="9"/>
      <c r="D27" s="38" t="s">
        <v>344</v>
      </c>
      <c r="E27" s="38" t="s">
        <v>347</v>
      </c>
      <c r="F27" s="33">
        <v>42274115</v>
      </c>
      <c r="G27" s="33">
        <v>0</v>
      </c>
      <c r="H27" s="33">
        <f>F27+G27</f>
        <v>42274115</v>
      </c>
      <c r="I27" s="33">
        <v>0</v>
      </c>
      <c r="J27" s="33">
        <f>IFERROR((VLOOKUP(A27,AtskaiteStatusuTabula!B:AI,10,0)),0)</f>
        <v>39542253.600000001</v>
      </c>
      <c r="K27" s="29">
        <f>J27/F27</f>
        <v>0.93537744314694704</v>
      </c>
      <c r="L27" s="29">
        <f t="shared" si="13"/>
        <v>0</v>
      </c>
      <c r="M27" s="29">
        <f t="shared" si="19"/>
        <v>0</v>
      </c>
      <c r="N27" s="33">
        <f>IFERROR((VLOOKUP(A27,AtskaiteStatusuTabula!B:AI,17,0)),0)</f>
        <v>1</v>
      </c>
      <c r="O27" s="33">
        <v>39542253.600000001</v>
      </c>
      <c r="P27" s="29">
        <v>0.93537744314694704</v>
      </c>
      <c r="Q27" s="33">
        <f>IFERROR((VLOOKUP(A27,AtskaiteStatusuTabula!B:AI,18,0)),0)</f>
        <v>39542253.600000001</v>
      </c>
      <c r="R27" s="29">
        <f t="shared" si="24"/>
        <v>0.93537744314694704</v>
      </c>
      <c r="S27" s="29">
        <f t="shared" si="15"/>
        <v>0</v>
      </c>
      <c r="T27" s="29">
        <f t="shared" si="16"/>
        <v>0</v>
      </c>
      <c r="U27" s="33">
        <f>IFERROR((VLOOKUP(A27,AtskaiteStatusuTabula!B:AI,23,0)),0)</f>
        <v>1</v>
      </c>
      <c r="V27" s="33">
        <v>39542253.600000001</v>
      </c>
      <c r="W27" s="29">
        <v>0.93537744314694704</v>
      </c>
      <c r="X27" s="33">
        <f>IFERROR((VLOOKUP(A27,AtskaiteStatusuTabula!B:AI,24,0)),0)</f>
        <v>39542253.600000001</v>
      </c>
      <c r="Y27" s="29">
        <f t="shared" si="25"/>
        <v>0.93537744314694704</v>
      </c>
      <c r="Z27" s="29">
        <f t="shared" si="3"/>
        <v>0</v>
      </c>
      <c r="AA27" s="29">
        <f t="shared" si="18"/>
        <v>0</v>
      </c>
      <c r="AB27" s="33">
        <f>IFERROR((VLOOKUP(A27,AtskaiteStatusuTabula!B:AI,30,0)),0)</f>
        <v>1</v>
      </c>
      <c r="AC27" s="33">
        <v>39542253.600000001</v>
      </c>
      <c r="AD27" s="29">
        <v>0.93537744314694704</v>
      </c>
      <c r="AE27" s="33">
        <f>IFERROR((VLOOKUP(A27,AtskaiteStatusuTabula!B:AI,31,0)),0)</f>
        <v>39542253.600000001</v>
      </c>
      <c r="AF27" s="29">
        <f t="shared" si="22"/>
        <v>0.93537744314694704</v>
      </c>
      <c r="AG27" s="29">
        <f t="shared" si="20"/>
        <v>0</v>
      </c>
      <c r="AH27" s="29">
        <f t="shared" si="4"/>
        <v>0</v>
      </c>
      <c r="AI27" s="33">
        <v>39542253.600000001</v>
      </c>
      <c r="AJ27" s="29">
        <v>0.93537744314694704</v>
      </c>
      <c r="AL27" s="55">
        <f t="shared" si="23"/>
        <v>0</v>
      </c>
    </row>
    <row r="28" spans="1:38" x14ac:dyDescent="0.3">
      <c r="A28" s="18" t="s">
        <v>251</v>
      </c>
      <c r="B28" s="10" t="str">
        <f>VLOOKUP(A28,saīsinājumi_LV_ENG!A:G,5,FALSE)</f>
        <v>IKT</v>
      </c>
      <c r="C28" s="9"/>
      <c r="D28" s="38" t="s">
        <v>344</v>
      </c>
      <c r="E28" s="38" t="s">
        <v>350</v>
      </c>
      <c r="F28" s="33">
        <v>118694714</v>
      </c>
      <c r="G28" s="33">
        <v>0</v>
      </c>
      <c r="H28" s="33">
        <f>F28+G28</f>
        <v>118694714</v>
      </c>
      <c r="I28" s="33">
        <f>7130936.66056149+725843</f>
        <v>7856779.6605614899</v>
      </c>
      <c r="J28" s="33">
        <f>IFERROR((VLOOKUP(A28,AtskaiteStatusuTabula!B:AI,10,0)),0)</f>
        <v>115807330.93000001</v>
      </c>
      <c r="K28" s="29">
        <f t="shared" si="12"/>
        <v>0.97567386977317294</v>
      </c>
      <c r="L28" s="29">
        <f t="shared" si="13"/>
        <v>7.4580524285183802E-4</v>
      </c>
      <c r="M28" s="29">
        <f t="shared" si="19"/>
        <v>7.649848947687693E-4</v>
      </c>
      <c r="N28" s="33">
        <f>IFERROR((VLOOKUP(A28,AtskaiteStatusuTabula!B:AI,17,0)),0)</f>
        <v>56</v>
      </c>
      <c r="O28" s="33">
        <v>115718807.79000001</v>
      </c>
      <c r="P28" s="29">
        <v>0.9749280645303211</v>
      </c>
      <c r="Q28" s="33">
        <f>IFERROR((VLOOKUP(A28,AtskaiteStatusuTabula!B:AI,18,0)),0)</f>
        <v>115807330.93000001</v>
      </c>
      <c r="R28" s="29">
        <f t="shared" si="24"/>
        <v>0.97567386977317294</v>
      </c>
      <c r="S28" s="29">
        <f t="shared" si="15"/>
        <v>7.4580524285183802E-4</v>
      </c>
      <c r="T28" s="29">
        <f t="shared" si="16"/>
        <v>7.649848947687693E-4</v>
      </c>
      <c r="U28" s="33">
        <f>IFERROR((VLOOKUP(A28,AtskaiteStatusuTabula!B:AI,23,0)),0)</f>
        <v>56</v>
      </c>
      <c r="V28" s="33">
        <v>115718807.79000001</v>
      </c>
      <c r="W28" s="29">
        <v>0.9749280645303211</v>
      </c>
      <c r="X28" s="33">
        <f>IFERROR((VLOOKUP(A28,AtskaiteStatusuTabula!B:AI,24,0)),0)</f>
        <v>115807330.93000001</v>
      </c>
      <c r="Y28" s="29">
        <f t="shared" si="25"/>
        <v>0.97567386977317294</v>
      </c>
      <c r="Z28" s="29">
        <f t="shared" si="3"/>
        <v>7.4580524285183802E-4</v>
      </c>
      <c r="AA28" s="29">
        <f t="shared" si="18"/>
        <v>7.649848947687693E-4</v>
      </c>
      <c r="AB28" s="33">
        <f>IFERROR((VLOOKUP(A28,AtskaiteStatusuTabula!B:AI,30,0)),0)</f>
        <v>56</v>
      </c>
      <c r="AC28" s="33">
        <v>115718807.79000001</v>
      </c>
      <c r="AD28" s="29">
        <v>0.9749280645303211</v>
      </c>
      <c r="AE28" s="33">
        <f>IFERROR((VLOOKUP(A28,AtskaiteStatusuTabula!B:AI,31,0)),0)</f>
        <v>115806582.93000001</v>
      </c>
      <c r="AF28" s="29">
        <f t="shared" si="22"/>
        <v>0.97566756789186082</v>
      </c>
      <c r="AG28" s="29">
        <f t="shared" si="20"/>
        <v>7.4580524285183802E-4</v>
      </c>
      <c r="AH28" s="29">
        <f t="shared" si="4"/>
        <v>7.6498983962095858E-4</v>
      </c>
      <c r="AI28" s="33">
        <v>115718059.79000001</v>
      </c>
      <c r="AJ28" s="29">
        <v>0.97492176264900898</v>
      </c>
      <c r="AL28" s="55">
        <f t="shared" si="23"/>
        <v>0</v>
      </c>
    </row>
    <row r="29" spans="1:38" ht="37.5" x14ac:dyDescent="0.3">
      <c r="A29" s="18" t="s">
        <v>252</v>
      </c>
      <c r="B29" s="10" t="str">
        <f>VLOOKUP(A29,saīsinājumi_LV_ENG!A:G,5,FALSE)</f>
        <v>Kultūras mantojuma digitalizācija</v>
      </c>
      <c r="C29" s="9"/>
      <c r="D29" s="38" t="s">
        <v>344</v>
      </c>
      <c r="E29" s="38" t="s">
        <v>350</v>
      </c>
      <c r="F29" s="33">
        <v>10115000</v>
      </c>
      <c r="G29" s="33">
        <v>0</v>
      </c>
      <c r="H29" s="33">
        <f>F29+G29</f>
        <v>10115000</v>
      </c>
      <c r="I29" s="33">
        <v>0</v>
      </c>
      <c r="J29" s="33">
        <f>IFERROR((VLOOKUP(A29,AtskaiteStatusuTabula!B:AI,10,0)),0)</f>
        <v>9884370.2200000007</v>
      </c>
      <c r="K29" s="29">
        <f t="shared" si="12"/>
        <v>0.97719923084527938</v>
      </c>
      <c r="L29" s="29">
        <f t="shared" si="13"/>
        <v>0</v>
      </c>
      <c r="M29" s="29">
        <f t="shared" si="19"/>
        <v>0</v>
      </c>
      <c r="N29" s="33">
        <f>IFERROR((VLOOKUP(A29,AtskaiteStatusuTabula!B:AI,17,0)),0)</f>
        <v>2</v>
      </c>
      <c r="O29" s="33">
        <v>9884370.2200000007</v>
      </c>
      <c r="P29" s="29">
        <v>0.97719923084527938</v>
      </c>
      <c r="Q29" s="33">
        <f>IFERROR((VLOOKUP(A29,AtskaiteStatusuTabula!B:AI,18,0)),0)</f>
        <v>9884370.2200000007</v>
      </c>
      <c r="R29" s="29">
        <f t="shared" si="24"/>
        <v>0.97719923084527938</v>
      </c>
      <c r="S29" s="29">
        <f t="shared" si="15"/>
        <v>0</v>
      </c>
      <c r="T29" s="29">
        <f t="shared" si="16"/>
        <v>0</v>
      </c>
      <c r="U29" s="33">
        <f>IFERROR((VLOOKUP(A29,AtskaiteStatusuTabula!B:AI,23,0)),0)</f>
        <v>2</v>
      </c>
      <c r="V29" s="33">
        <v>9884370.2200000007</v>
      </c>
      <c r="W29" s="29">
        <v>0.97719923084527938</v>
      </c>
      <c r="X29" s="33">
        <f>IFERROR((VLOOKUP(A29,AtskaiteStatusuTabula!B:AI,24,0)),0)</f>
        <v>9884370.2200000007</v>
      </c>
      <c r="Y29" s="29">
        <f t="shared" si="25"/>
        <v>0.97719923084527938</v>
      </c>
      <c r="Z29" s="29">
        <f t="shared" si="3"/>
        <v>0</v>
      </c>
      <c r="AA29" s="29">
        <f t="shared" si="18"/>
        <v>0</v>
      </c>
      <c r="AB29" s="33">
        <f>IFERROR((VLOOKUP(A29,AtskaiteStatusuTabula!B:AI,30,0)),0)</f>
        <v>2</v>
      </c>
      <c r="AC29" s="33">
        <v>9884370.2200000007</v>
      </c>
      <c r="AD29" s="29">
        <v>0.97719923084527938</v>
      </c>
      <c r="AE29" s="33">
        <f>IFERROR((VLOOKUP(A29,AtskaiteStatusuTabula!B:AI,31,0)),0)</f>
        <v>9884370.2200000007</v>
      </c>
      <c r="AF29" s="29">
        <f t="shared" si="22"/>
        <v>0.97719923084527938</v>
      </c>
      <c r="AG29" s="29">
        <f t="shared" si="20"/>
        <v>0</v>
      </c>
      <c r="AH29" s="29">
        <f t="shared" si="4"/>
        <v>0</v>
      </c>
      <c r="AI29" s="33">
        <v>9884370.2200000007</v>
      </c>
      <c r="AJ29" s="29">
        <v>0.97719923084527938</v>
      </c>
      <c r="AL29" s="55">
        <f t="shared" si="23"/>
        <v>0</v>
      </c>
    </row>
    <row r="30" spans="1:38" x14ac:dyDescent="0.3">
      <c r="A30" s="19" t="s">
        <v>18</v>
      </c>
      <c r="B30" s="8" t="str">
        <f>VLOOKUP(A30,saīsinājumi_LV_ENG!A:G,5,FALSE)</f>
        <v>MVK konkurētspēja</v>
      </c>
      <c r="C30" s="8"/>
      <c r="D30" s="40"/>
      <c r="E30" s="40"/>
      <c r="F30" s="35">
        <f>SUM(F31:F46)</f>
        <v>370305153</v>
      </c>
      <c r="G30" s="35">
        <f>SUM(G31:G46)</f>
        <v>290005</v>
      </c>
      <c r="H30" s="35">
        <f>SUM(H31:H46)</f>
        <v>370595158</v>
      </c>
      <c r="I30" s="35">
        <f>SUM(I31:I46)</f>
        <v>18670727.728510205</v>
      </c>
      <c r="J30" s="35">
        <f>SUM(J31:J46)</f>
        <v>354668846.10000002</v>
      </c>
      <c r="K30" s="31">
        <f t="shared" si="12"/>
        <v>0.95777453601894658</v>
      </c>
      <c r="L30" s="31">
        <f t="shared" si="13"/>
        <v>0</v>
      </c>
      <c r="M30" s="31">
        <f t="shared" si="19"/>
        <v>0</v>
      </c>
      <c r="N30" s="35">
        <f>SUM(N31:N46)</f>
        <v>178</v>
      </c>
      <c r="O30" s="35">
        <v>354668846.10000002</v>
      </c>
      <c r="P30" s="31">
        <v>0.95777453601894658</v>
      </c>
      <c r="Q30" s="35">
        <f>SUM(Q31:Q46)</f>
        <v>354668846.10000002</v>
      </c>
      <c r="R30" s="31">
        <f t="shared" si="24"/>
        <v>0.95777453601894658</v>
      </c>
      <c r="S30" s="31">
        <f t="shared" si="15"/>
        <v>0</v>
      </c>
      <c r="T30" s="31">
        <f t="shared" si="16"/>
        <v>0</v>
      </c>
      <c r="U30" s="35">
        <f>SUM(U31:U46)</f>
        <v>178</v>
      </c>
      <c r="V30" s="35">
        <v>354668846.10000002</v>
      </c>
      <c r="W30" s="31">
        <v>0.95777453601894658</v>
      </c>
      <c r="X30" s="35">
        <f>SUM(X31:X46)</f>
        <v>354668846.10000002</v>
      </c>
      <c r="Y30" s="31">
        <f t="shared" si="25"/>
        <v>0.95777453601894658</v>
      </c>
      <c r="Z30" s="31">
        <f t="shared" si="3"/>
        <v>0</v>
      </c>
      <c r="AA30" s="31">
        <f t="shared" si="18"/>
        <v>0</v>
      </c>
      <c r="AB30" s="35">
        <f>SUM(AB31:AB46)</f>
        <v>178</v>
      </c>
      <c r="AC30" s="35">
        <v>354668846.10000002</v>
      </c>
      <c r="AD30" s="31">
        <v>0.95777453601894658</v>
      </c>
      <c r="AE30" s="35">
        <f>SUM(AE31:AE46)</f>
        <v>347391382.50999999</v>
      </c>
      <c r="AF30" s="31">
        <f t="shared" si="22"/>
        <v>0.93812192375837666</v>
      </c>
      <c r="AG30" s="31">
        <f t="shared" si="20"/>
        <v>0</v>
      </c>
      <c r="AH30" s="31">
        <f t="shared" si="4"/>
        <v>0</v>
      </c>
      <c r="AI30" s="35">
        <v>347391382.50999999</v>
      </c>
      <c r="AJ30" s="31">
        <v>0.93812192375837666</v>
      </c>
      <c r="AL30" s="55">
        <f t="shared" si="23"/>
        <v>0</v>
      </c>
    </row>
    <row r="31" spans="1:38" x14ac:dyDescent="0.3">
      <c r="A31" s="18" t="s">
        <v>254</v>
      </c>
      <c r="B31" s="10" t="str">
        <f>VLOOKUP(A31,saīsinājumi_LV_ENG!A:G,5,FALSE)</f>
        <v>Aizdevumu garantijas</v>
      </c>
      <c r="C31" s="9">
        <v>2</v>
      </c>
      <c r="D31" s="38" t="s">
        <v>344</v>
      </c>
      <c r="E31" s="38" t="s">
        <v>349</v>
      </c>
      <c r="F31" s="33">
        <v>43800000</v>
      </c>
      <c r="G31" s="33">
        <v>0</v>
      </c>
      <c r="H31" s="33">
        <f t="shared" ref="H31:H45" si="26">F31+G31</f>
        <v>43800000</v>
      </c>
      <c r="I31" s="33">
        <v>6510677</v>
      </c>
      <c r="J31" s="146">
        <f>H31/(SUM(H31:H32)+H34+SUM(H37:H39))*AtskaiteStatusuTabula!K54</f>
        <v>43787912.446367651</v>
      </c>
      <c r="K31" s="29">
        <f t="shared" si="12"/>
        <v>0.99972402845588249</v>
      </c>
      <c r="L31" s="29">
        <f t="shared" si="13"/>
        <v>0</v>
      </c>
      <c r="M31" s="29">
        <f t="shared" si="19"/>
        <v>0</v>
      </c>
      <c r="N31" s="146">
        <v>0</v>
      </c>
      <c r="O31" s="33">
        <v>43787912.446367651</v>
      </c>
      <c r="P31" s="29">
        <v>0.99972402845588249</v>
      </c>
      <c r="Q31" s="146">
        <f>H31/(SUM(H31:H32)+H34+SUM(H37:H39))*AtskaiteStatusuTabula!S54</f>
        <v>43787912.446367651</v>
      </c>
      <c r="R31" s="29">
        <f t="shared" si="24"/>
        <v>0.99972402845588249</v>
      </c>
      <c r="S31" s="29">
        <f t="shared" si="15"/>
        <v>0</v>
      </c>
      <c r="T31" s="29">
        <f t="shared" si="16"/>
        <v>0</v>
      </c>
      <c r="U31" s="146">
        <v>0</v>
      </c>
      <c r="V31" s="33">
        <v>43787912.446367651</v>
      </c>
      <c r="W31" s="29">
        <v>0.99972402845588249</v>
      </c>
      <c r="X31" s="146">
        <f>H31/(SUM(H31:H32)+H34+SUM(H37:H39))*AtskaiteStatusuTabula!Y54</f>
        <v>43787912.446367651</v>
      </c>
      <c r="Y31" s="29">
        <f t="shared" si="25"/>
        <v>0.99972402845588249</v>
      </c>
      <c r="Z31" s="29">
        <f t="shared" si="3"/>
        <v>0</v>
      </c>
      <c r="AA31" s="29">
        <f t="shared" si="18"/>
        <v>0</v>
      </c>
      <c r="AB31" s="146">
        <v>0</v>
      </c>
      <c r="AC31" s="33">
        <v>43787912.446367651</v>
      </c>
      <c r="AD31" s="29">
        <v>0.99972402845588249</v>
      </c>
      <c r="AE31" s="146">
        <f>H31/(SUM(H31:H32)+H34+SUM(H37:H39))*(AtskaiteStatusuTabula!AF54-AtskaiteStatusuTabula!AG54)</f>
        <v>43229711.504117653</v>
      </c>
      <c r="AF31" s="29">
        <f t="shared" si="22"/>
        <v>0.98697971470588253</v>
      </c>
      <c r="AG31" s="29">
        <f t="shared" si="20"/>
        <v>0</v>
      </c>
      <c r="AH31" s="29">
        <f t="shared" si="4"/>
        <v>0</v>
      </c>
      <c r="AI31" s="33">
        <v>43229711.504117653</v>
      </c>
      <c r="AJ31" s="29">
        <v>0.98697971470588253</v>
      </c>
      <c r="AL31" s="55">
        <f t="shared" si="23"/>
        <v>0</v>
      </c>
    </row>
    <row r="32" spans="1:38" x14ac:dyDescent="0.3">
      <c r="A32" s="18" t="s">
        <v>255</v>
      </c>
      <c r="B32" s="10" t="str">
        <f>VLOOKUP(A32,saīsinājumi_LV_ENG!A:G,5,FALSE)</f>
        <v>Mezanīna aizdevumi</v>
      </c>
      <c r="C32" s="9">
        <v>2</v>
      </c>
      <c r="D32" s="38" t="s">
        <v>344</v>
      </c>
      <c r="E32" s="38" t="s">
        <v>349</v>
      </c>
      <c r="F32" s="33">
        <v>7000000</v>
      </c>
      <c r="G32" s="33">
        <v>0</v>
      </c>
      <c r="H32" s="33">
        <f t="shared" si="26"/>
        <v>7000000</v>
      </c>
      <c r="I32" s="33">
        <v>0</v>
      </c>
      <c r="J32" s="146">
        <f>H32/(SUM(H31:H32)+H34+SUM(H37:H39))*AtskaiteStatusuTabula!K54</f>
        <v>6998068.1991911763</v>
      </c>
      <c r="K32" s="29">
        <f t="shared" si="12"/>
        <v>0.99972402845588237</v>
      </c>
      <c r="L32" s="29">
        <f t="shared" si="13"/>
        <v>0</v>
      </c>
      <c r="M32" s="29">
        <f t="shared" si="19"/>
        <v>0</v>
      </c>
      <c r="N32" s="146">
        <v>0</v>
      </c>
      <c r="O32" s="33">
        <v>6998068.1991911763</v>
      </c>
      <c r="P32" s="29">
        <v>0.99972402845588237</v>
      </c>
      <c r="Q32" s="146">
        <f>H32/(SUM(H31:H32)+H34+SUM(H37:H39))*AtskaiteStatusuTabula!S54</f>
        <v>6998068.1991911763</v>
      </c>
      <c r="R32" s="29">
        <f t="shared" si="24"/>
        <v>0.99972402845588237</v>
      </c>
      <c r="S32" s="29">
        <f t="shared" si="15"/>
        <v>0</v>
      </c>
      <c r="T32" s="29">
        <f t="shared" si="16"/>
        <v>0</v>
      </c>
      <c r="U32" s="146">
        <v>0</v>
      </c>
      <c r="V32" s="33">
        <v>6998068.1991911763</v>
      </c>
      <c r="W32" s="29">
        <v>0.99972402845588237</v>
      </c>
      <c r="X32" s="146">
        <f>H32/(SUM(H31:H32)+H34+SUM(H37:H39))*AtskaiteStatusuTabula!Y54</f>
        <v>6998068.1991911763</v>
      </c>
      <c r="Y32" s="29">
        <f t="shared" si="25"/>
        <v>0.99972402845588237</v>
      </c>
      <c r="Z32" s="29">
        <f t="shared" si="3"/>
        <v>0</v>
      </c>
      <c r="AA32" s="29">
        <f t="shared" si="18"/>
        <v>0</v>
      </c>
      <c r="AB32" s="146">
        <v>0</v>
      </c>
      <c r="AC32" s="33">
        <v>6998068.1991911763</v>
      </c>
      <c r="AD32" s="29">
        <v>0.99972402845588237</v>
      </c>
      <c r="AE32" s="146">
        <f>H32/(SUM(H31:H32)+H34+SUM(H37:H39))*(AtskaiteStatusuTabula!AF54-AtskaiteStatusuTabula!AG54)</f>
        <v>6908858.0029411772</v>
      </c>
      <c r="AF32" s="29">
        <f t="shared" si="22"/>
        <v>0.98697971470588242</v>
      </c>
      <c r="AG32" s="29">
        <f t="shared" si="20"/>
        <v>0</v>
      </c>
      <c r="AH32" s="29">
        <f t="shared" si="4"/>
        <v>0</v>
      </c>
      <c r="AI32" s="33">
        <v>6908858.0029411772</v>
      </c>
      <c r="AJ32" s="29">
        <v>0.98697971470588242</v>
      </c>
      <c r="AL32" s="55">
        <f t="shared" si="23"/>
        <v>0</v>
      </c>
    </row>
    <row r="33" spans="1:39" ht="56.25" x14ac:dyDescent="0.3">
      <c r="A33" s="18" t="s">
        <v>256</v>
      </c>
      <c r="B33" s="93" t="str">
        <f>VLOOKUP(A33,saīsinājumi_LV_ENG!A:G,5,FALSE)</f>
        <v>Atbalsts MVK finansējuma piesaistei kapitāla tirgos</v>
      </c>
      <c r="C33" s="94"/>
      <c r="D33" s="38" t="s">
        <v>344</v>
      </c>
      <c r="E33" s="38" t="s">
        <v>349</v>
      </c>
      <c r="F33" s="33">
        <v>1000000</v>
      </c>
      <c r="G33" s="33">
        <v>0</v>
      </c>
      <c r="H33" s="33">
        <f t="shared" si="26"/>
        <v>1000000</v>
      </c>
      <c r="I33" s="33">
        <v>0</v>
      </c>
      <c r="J33" s="33">
        <f>IFERROR((VLOOKUP(A33,AtskaiteStatusuTabula!B:AI,10,0)),0)</f>
        <v>76800</v>
      </c>
      <c r="K33" s="29">
        <f t="shared" si="12"/>
        <v>7.6799999999999993E-2</v>
      </c>
      <c r="L33" s="29">
        <f t="shared" si="13"/>
        <v>0</v>
      </c>
      <c r="M33" s="29">
        <f t="shared" si="19"/>
        <v>0</v>
      </c>
      <c r="N33" s="33">
        <f>IFERROR((VLOOKUP(A33,AtskaiteStatusuTabula!B:AI,17,0)),0)</f>
        <v>1</v>
      </c>
      <c r="O33" s="33">
        <v>76800</v>
      </c>
      <c r="P33" s="29">
        <v>7.6799999999999993E-2</v>
      </c>
      <c r="Q33" s="33">
        <f>IFERROR((VLOOKUP(A33,AtskaiteStatusuTabula!B:AI,18,0)),0)</f>
        <v>76800</v>
      </c>
      <c r="R33" s="29">
        <f t="shared" ref="R33" si="27">Q33/F33</f>
        <v>7.6799999999999993E-2</v>
      </c>
      <c r="S33" s="29">
        <f t="shared" ref="S33" si="28">R33-W33</f>
        <v>0</v>
      </c>
      <c r="T33" s="29">
        <f t="shared" ref="T33" si="29">IFERROR(((Q33-V33)/V33),0)</f>
        <v>0</v>
      </c>
      <c r="U33" s="33">
        <f>IFERROR((VLOOKUP(A33,AtskaiteStatusuTabula!B:AI,23,0)),0)</f>
        <v>1</v>
      </c>
      <c r="V33" s="33">
        <v>76800</v>
      </c>
      <c r="W33" s="29">
        <v>7.6799999999999993E-2</v>
      </c>
      <c r="X33" s="33">
        <f>IFERROR((VLOOKUP(A33,AtskaiteStatusuTabula!B:AI,24,0)),0)</f>
        <v>76800</v>
      </c>
      <c r="Y33" s="29">
        <f t="shared" ref="Y33" si="30">X33/F33</f>
        <v>7.6799999999999993E-2</v>
      </c>
      <c r="Z33" s="29">
        <f t="shared" ref="Z33" si="31">Y33-AD33</f>
        <v>0</v>
      </c>
      <c r="AA33" s="29">
        <f t="shared" ref="AA33" si="32">IFERROR(((X33-AC33)/AC33),0)</f>
        <v>0</v>
      </c>
      <c r="AB33" s="33">
        <f>IFERROR((VLOOKUP(A33,AtskaiteStatusuTabula!B:AI,30,0)),0)</f>
        <v>1</v>
      </c>
      <c r="AC33" s="33">
        <v>76800</v>
      </c>
      <c r="AD33" s="29">
        <v>7.6799999999999993E-2</v>
      </c>
      <c r="AE33" s="33">
        <f>IFERROR((VLOOKUP(A33,AtskaiteStatusuTabula!B:AI,31,0)),0)</f>
        <v>56200</v>
      </c>
      <c r="AF33" s="29">
        <f t="shared" ref="AF33" si="33">IFERROR((AE33/$F33),0)</f>
        <v>5.62E-2</v>
      </c>
      <c r="AG33" s="29">
        <f t="shared" ref="AG33" si="34">AF33-AJ33</f>
        <v>0</v>
      </c>
      <c r="AH33" s="29">
        <f t="shared" ref="AH33" si="35">IFERROR(((AE33-AI33)/AI33),0)</f>
        <v>0</v>
      </c>
      <c r="AI33" s="33">
        <v>56200</v>
      </c>
      <c r="AJ33" s="29">
        <v>5.62E-2</v>
      </c>
      <c r="AL33" s="55">
        <f t="shared" si="23"/>
        <v>0</v>
      </c>
    </row>
    <row r="34" spans="1:39" ht="37.5" x14ac:dyDescent="0.3">
      <c r="A34" s="18" t="s">
        <v>257</v>
      </c>
      <c r="B34" s="10" t="str">
        <f>VLOOKUP(A34,saīsinājumi_LV_ENG!A:G,5,FALSE)</f>
        <v>Mikrokredīti un starta aizdevumi</v>
      </c>
      <c r="C34" s="9">
        <v>2</v>
      </c>
      <c r="D34" s="38" t="s">
        <v>344</v>
      </c>
      <c r="E34" s="38" t="s">
        <v>349</v>
      </c>
      <c r="F34" s="33">
        <v>15000000</v>
      </c>
      <c r="G34" s="33">
        <v>0</v>
      </c>
      <c r="H34" s="33">
        <f t="shared" si="26"/>
        <v>15000000</v>
      </c>
      <c r="I34" s="33">
        <v>0</v>
      </c>
      <c r="J34" s="146">
        <f>H34/(SUM(H31:H32)+H34+SUM(H37:H39))*AtskaiteStatusuTabula!K54</f>
        <v>14995860.426838236</v>
      </c>
      <c r="K34" s="29">
        <f t="shared" si="12"/>
        <v>0.99972402845588237</v>
      </c>
      <c r="L34" s="29">
        <f t="shared" si="13"/>
        <v>0</v>
      </c>
      <c r="M34" s="29">
        <f t="shared" si="19"/>
        <v>0</v>
      </c>
      <c r="N34" s="146">
        <v>0</v>
      </c>
      <c r="O34" s="33">
        <v>14995860.426838236</v>
      </c>
      <c r="P34" s="29">
        <v>0.99972402845588237</v>
      </c>
      <c r="Q34" s="146">
        <f>H34/(SUM(H31:H32)+H34+SUM(H37:H39))*AtskaiteStatusuTabula!S54</f>
        <v>14995860.426838236</v>
      </c>
      <c r="R34" s="29">
        <f t="shared" si="24"/>
        <v>0.99972402845588237</v>
      </c>
      <c r="S34" s="29">
        <f t="shared" si="15"/>
        <v>0</v>
      </c>
      <c r="T34" s="29">
        <f t="shared" si="16"/>
        <v>0</v>
      </c>
      <c r="U34" s="146">
        <v>0</v>
      </c>
      <c r="V34" s="33">
        <v>14995860.426838236</v>
      </c>
      <c r="W34" s="29">
        <v>0.99972402845588237</v>
      </c>
      <c r="X34" s="146">
        <f>H34/(SUM(H31:H32)+H34+SUM(H37:H39))*AtskaiteStatusuTabula!Y54</f>
        <v>14995860.426838236</v>
      </c>
      <c r="Y34" s="29">
        <f t="shared" si="25"/>
        <v>0.99972402845588237</v>
      </c>
      <c r="Z34" s="29">
        <f t="shared" si="3"/>
        <v>0</v>
      </c>
      <c r="AA34" s="29">
        <f t="shared" si="18"/>
        <v>0</v>
      </c>
      <c r="AB34" s="146">
        <v>0</v>
      </c>
      <c r="AC34" s="33">
        <v>14995860.426838236</v>
      </c>
      <c r="AD34" s="29">
        <v>0.99972402845588237</v>
      </c>
      <c r="AE34" s="146">
        <f>H34/(SUM(H31:H32)+H34+SUM(H37:H39))*(AtskaiteStatusuTabula!AF54-AtskaiteStatusuTabula!AG54)</f>
        <v>14804695.720588237</v>
      </c>
      <c r="AF34" s="29">
        <f t="shared" si="22"/>
        <v>0.98697971470588242</v>
      </c>
      <c r="AG34" s="29">
        <f t="shared" si="20"/>
        <v>0</v>
      </c>
      <c r="AH34" s="29">
        <f t="shared" si="4"/>
        <v>0</v>
      </c>
      <c r="AI34" s="33">
        <v>14804695.720588237</v>
      </c>
      <c r="AJ34" s="29">
        <v>0.98697971470588242</v>
      </c>
      <c r="AL34" s="55">
        <f t="shared" si="23"/>
        <v>0</v>
      </c>
    </row>
    <row r="35" spans="1:39" x14ac:dyDescent="0.3">
      <c r="A35" s="18" t="s">
        <v>258</v>
      </c>
      <c r="B35" s="10" t="str">
        <f>VLOOKUP(A35,saīsinājumi_LV_ENG!A:G,5,FALSE)</f>
        <v>Ražošanas telpas</v>
      </c>
      <c r="C35" s="9">
        <v>9</v>
      </c>
      <c r="D35" s="38" t="s">
        <v>344</v>
      </c>
      <c r="E35" s="38" t="s">
        <v>349</v>
      </c>
      <c r="F35" s="33">
        <f>49547202-532852-6000000-1864738-1600000</f>
        <v>39549612</v>
      </c>
      <c r="G35" s="33">
        <v>0</v>
      </c>
      <c r="H35" s="33">
        <f t="shared" si="26"/>
        <v>39549612</v>
      </c>
      <c r="I35" s="33">
        <v>532852</v>
      </c>
      <c r="J35" s="33">
        <f>IFERROR((VLOOKUP(A35,AtskaiteStatusuTabula!B:AI,10,0)),0)</f>
        <v>31580340.609999999</v>
      </c>
      <c r="K35" s="29">
        <f t="shared" si="12"/>
        <v>0.79849937870439791</v>
      </c>
      <c r="L35" s="29">
        <f t="shared" si="13"/>
        <v>0</v>
      </c>
      <c r="M35" s="29">
        <f t="shared" si="19"/>
        <v>0</v>
      </c>
      <c r="N35" s="33">
        <f>IFERROR((VLOOKUP(A35,AtskaiteStatusuTabula!B:AI,17,0)),0)</f>
        <v>51</v>
      </c>
      <c r="O35" s="33">
        <v>31580340.609999999</v>
      </c>
      <c r="P35" s="29">
        <v>0.79849937870439791</v>
      </c>
      <c r="Q35" s="33">
        <f>IFERROR((VLOOKUP(A35,AtskaiteStatusuTabula!B:AI,18,0)),0)</f>
        <v>31580340.609999999</v>
      </c>
      <c r="R35" s="29">
        <f t="shared" si="24"/>
        <v>0.79849937870439791</v>
      </c>
      <c r="S35" s="29">
        <f>R35-W35</f>
        <v>0</v>
      </c>
      <c r="T35" s="29">
        <f t="shared" si="16"/>
        <v>0</v>
      </c>
      <c r="U35" s="33">
        <f>IFERROR((VLOOKUP(A35,AtskaiteStatusuTabula!B:AI,23,0)),0)</f>
        <v>51</v>
      </c>
      <c r="V35" s="33">
        <v>31580340.609999999</v>
      </c>
      <c r="W35" s="29">
        <v>0.79849937870439791</v>
      </c>
      <c r="X35" s="33">
        <f>IFERROR((VLOOKUP(A35,AtskaiteStatusuTabula!B:AI,24,0)),0)</f>
        <v>31580340.609999999</v>
      </c>
      <c r="Y35" s="29">
        <f t="shared" si="25"/>
        <v>0.79849937870439791</v>
      </c>
      <c r="Z35" s="29">
        <f t="shared" si="3"/>
        <v>0</v>
      </c>
      <c r="AA35" s="29">
        <f t="shared" si="18"/>
        <v>0</v>
      </c>
      <c r="AB35" s="33">
        <f>IFERROR((VLOOKUP(A35,AtskaiteStatusuTabula!B:AI,30,0)),0)</f>
        <v>51</v>
      </c>
      <c r="AC35" s="33">
        <v>31580340.609999999</v>
      </c>
      <c r="AD35" s="29">
        <v>0.79849937870439791</v>
      </c>
      <c r="AE35" s="33">
        <f>IFERROR((VLOOKUP(A35,AtskaiteStatusuTabula!B:AI,31,0)),0)</f>
        <v>29792032.300000001</v>
      </c>
      <c r="AF35" s="29">
        <f t="shared" si="22"/>
        <v>0.75328254294884112</v>
      </c>
      <c r="AG35" s="29">
        <f t="shared" si="20"/>
        <v>0</v>
      </c>
      <c r="AH35" s="29">
        <f t="shared" si="4"/>
        <v>0</v>
      </c>
      <c r="AI35" s="33">
        <v>29792032.300000001</v>
      </c>
      <c r="AJ35" s="29">
        <v>0.75328254294884112</v>
      </c>
      <c r="AL35" s="55">
        <f t="shared" si="23"/>
        <v>0</v>
      </c>
      <c r="AM35" s="471"/>
    </row>
    <row r="36" spans="1:39" x14ac:dyDescent="0.3">
      <c r="A36" s="18" t="s">
        <v>259</v>
      </c>
      <c r="B36" s="10" t="str">
        <f>VLOOKUP(A36,saīsinājumi_LV_ENG!A:G,5,FALSE)</f>
        <v>Biznesa inkubatori</v>
      </c>
      <c r="C36" s="9"/>
      <c r="D36" s="38" t="s">
        <v>344</v>
      </c>
      <c r="E36" s="38" t="s">
        <v>349</v>
      </c>
      <c r="F36" s="33">
        <f>27209738+4555000</f>
        <v>31764738</v>
      </c>
      <c r="G36" s="33">
        <v>0</v>
      </c>
      <c r="H36" s="33">
        <f t="shared" si="26"/>
        <v>31764738</v>
      </c>
      <c r="I36" s="33">
        <v>1691500</v>
      </c>
      <c r="J36" s="445">
        <f>IFERROR((VLOOKUP(A36,AtskaiteStatusuTabula!B:AI,10,0)),0)-AtskaiteStatusuTabula!L51</f>
        <v>28753769.219999999</v>
      </c>
      <c r="K36" s="29">
        <f t="shared" si="12"/>
        <v>0.90521033795399164</v>
      </c>
      <c r="L36" s="29">
        <f t="shared" si="13"/>
        <v>0</v>
      </c>
      <c r="M36" s="29">
        <f t="shared" si="19"/>
        <v>0</v>
      </c>
      <c r="N36" s="33">
        <f>IFERROR((VLOOKUP(A36,AtskaiteStatusuTabula!B:AI,17,0)),0)</f>
        <v>1</v>
      </c>
      <c r="O36" s="33">
        <v>28753769.219999999</v>
      </c>
      <c r="P36" s="29">
        <v>0.90521033795399164</v>
      </c>
      <c r="Q36" s="445">
        <f>IFERROR((VLOOKUP(A36,AtskaiteStatusuTabula!B:AI,18,0)),0)-AtskaiteStatusuTabula!T51</f>
        <v>28753769.219999999</v>
      </c>
      <c r="R36" s="29">
        <f t="shared" si="24"/>
        <v>0.90521033795399164</v>
      </c>
      <c r="S36" s="29">
        <f t="shared" si="15"/>
        <v>0</v>
      </c>
      <c r="T36" s="29">
        <f t="shared" si="16"/>
        <v>0</v>
      </c>
      <c r="U36" s="33">
        <f>IFERROR((VLOOKUP(A36,AtskaiteStatusuTabula!B:AI,23,0)),0)</f>
        <v>1</v>
      </c>
      <c r="V36" s="33">
        <v>28753769.219999999</v>
      </c>
      <c r="W36" s="29">
        <v>0.90521033795399164</v>
      </c>
      <c r="X36" s="445">
        <f>IFERROR((VLOOKUP(A36,AtskaiteStatusuTabula!B:AI,24,0)),0)-AtskaiteStatusuTabula!Z51</f>
        <v>28753769.219999999</v>
      </c>
      <c r="Y36" s="29">
        <f t="shared" si="25"/>
        <v>0.90521033795399164</v>
      </c>
      <c r="Z36" s="29">
        <f t="shared" si="3"/>
        <v>0</v>
      </c>
      <c r="AA36" s="29">
        <f t="shared" si="18"/>
        <v>0</v>
      </c>
      <c r="AB36" s="33">
        <f>IFERROR((VLOOKUP(A36,AtskaiteStatusuTabula!B:AI,30,0)),0)</f>
        <v>1</v>
      </c>
      <c r="AC36" s="33">
        <v>28753769.219999999</v>
      </c>
      <c r="AD36" s="29">
        <v>0.90521033795399164</v>
      </c>
      <c r="AE36" s="445">
        <f>IFERROR((VLOOKUP(A36,AtskaiteStatusuTabula!B:AI,31,0)),0)-AtskaiteStatusuTabula!AG51</f>
        <v>29095698.419999998</v>
      </c>
      <c r="AF36" s="29">
        <f t="shared" si="22"/>
        <v>0.91597476484773765</v>
      </c>
      <c r="AG36" s="29">
        <f t="shared" si="20"/>
        <v>0</v>
      </c>
      <c r="AH36" s="29">
        <f t="shared" si="4"/>
        <v>0</v>
      </c>
      <c r="AI36" s="33">
        <v>29095698.419999998</v>
      </c>
      <c r="AJ36" s="29">
        <v>0.91597476484773765</v>
      </c>
      <c r="AL36" s="55">
        <f t="shared" si="23"/>
        <v>0</v>
      </c>
    </row>
    <row r="37" spans="1:39" x14ac:dyDescent="0.3">
      <c r="A37" s="18" t="s">
        <v>1361</v>
      </c>
      <c r="B37" s="10" t="s">
        <v>1529</v>
      </c>
      <c r="C37" s="9">
        <v>2</v>
      </c>
      <c r="D37" s="38" t="s">
        <v>344</v>
      </c>
      <c r="E37" s="38" t="s">
        <v>349</v>
      </c>
      <c r="F37" s="33">
        <v>25000000</v>
      </c>
      <c r="G37" s="33">
        <v>0</v>
      </c>
      <c r="H37" s="33">
        <f t="shared" ref="H37" si="36">F37+G37</f>
        <v>25000000</v>
      </c>
      <c r="I37" s="426">
        <v>1691501</v>
      </c>
      <c r="J37" s="146">
        <f>H37/(SUM(H31:H32)+H34+SUM(H37:H39))*AtskaiteStatusuTabula!K54</f>
        <v>24993100.711397063</v>
      </c>
      <c r="K37" s="29">
        <f t="shared" ref="K37" si="37">J37/F37</f>
        <v>0.99972402845588249</v>
      </c>
      <c r="L37" s="29">
        <f t="shared" ref="L37" si="38">K37-P37</f>
        <v>0</v>
      </c>
      <c r="M37" s="29">
        <f t="shared" ref="M37" si="39">IFERROR(((J37-O37)/O37),0)</f>
        <v>0</v>
      </c>
      <c r="N37" s="146">
        <v>0</v>
      </c>
      <c r="O37" s="33">
        <v>24993100.711397063</v>
      </c>
      <c r="P37" s="29">
        <v>0.99972402845588249</v>
      </c>
      <c r="Q37" s="146">
        <f>H37/(SUM(H31:H32)+H34+SUM(H37:H39))*AtskaiteStatusuTabula!S54</f>
        <v>24993100.711397063</v>
      </c>
      <c r="R37" s="29">
        <f t="shared" ref="R37" si="40">Q37/F37</f>
        <v>0.99972402845588249</v>
      </c>
      <c r="S37" s="29">
        <f t="shared" ref="S37" si="41">R37-W37</f>
        <v>0</v>
      </c>
      <c r="T37" s="29">
        <f t="shared" ref="T37" si="42">IFERROR(((Q37-V37)/V37),0)</f>
        <v>0</v>
      </c>
      <c r="U37" s="146">
        <v>0</v>
      </c>
      <c r="V37" s="426">
        <v>24993100.711397063</v>
      </c>
      <c r="W37" s="429">
        <v>0.99972402845588249</v>
      </c>
      <c r="X37" s="146">
        <f>H37/(SUM(H31:H32)+H34+SUM(H37:H39))*AtskaiteStatusuTabula!Y54</f>
        <v>24993100.711397063</v>
      </c>
      <c r="Y37" s="29">
        <f t="shared" ref="Y37" si="43">X37/F37</f>
        <v>0.99972402845588249</v>
      </c>
      <c r="Z37" s="29">
        <f t="shared" ref="Z37" si="44">Y37-AD37</f>
        <v>0</v>
      </c>
      <c r="AA37" s="29">
        <f t="shared" ref="AA37" si="45">IFERROR(((X37-AC37)/AC37),0)</f>
        <v>0</v>
      </c>
      <c r="AB37" s="146">
        <v>0</v>
      </c>
      <c r="AC37" s="426">
        <v>24993100.711397063</v>
      </c>
      <c r="AD37" s="429">
        <v>0.99972402845588249</v>
      </c>
      <c r="AE37" s="146">
        <f>H37/(SUM(H31:H32)+H34+SUM(H37:H39))*(AtskaiteStatusuTabula!AF54-AtskaiteStatusuTabula!AG54)</f>
        <v>24674492.867647063</v>
      </c>
      <c r="AF37" s="29">
        <f t="shared" ref="AF37" si="46">IFERROR((AE37/$F37),0)</f>
        <v>0.98697971470588253</v>
      </c>
      <c r="AG37" s="29">
        <f t="shared" ref="AG37" si="47">AF37-AJ37</f>
        <v>0</v>
      </c>
      <c r="AH37" s="29">
        <f t="shared" ref="AH37" si="48">IFERROR(((AE37-AI37)/AI37),0)</f>
        <v>0</v>
      </c>
      <c r="AI37" s="426">
        <v>24674492.867647063</v>
      </c>
      <c r="AJ37" s="429">
        <v>0.98697971470588253</v>
      </c>
      <c r="AL37" s="55">
        <f t="shared" si="23"/>
        <v>0</v>
      </c>
    </row>
    <row r="38" spans="1:39" x14ac:dyDescent="0.3">
      <c r="A38" s="18" t="s">
        <v>260</v>
      </c>
      <c r="B38" s="10" t="str">
        <f>VLOOKUP(A38,saīsinājumi_LV_ENG!A:G,5,FALSE)</f>
        <v>Riska kapitāls</v>
      </c>
      <c r="C38" s="9">
        <v>2</v>
      </c>
      <c r="D38" s="38" t="s">
        <v>344</v>
      </c>
      <c r="E38" s="38" t="s">
        <v>349</v>
      </c>
      <c r="F38" s="33">
        <f>30580000-1380000</f>
        <v>29200000</v>
      </c>
      <c r="G38" s="33">
        <v>0</v>
      </c>
      <c r="H38" s="33">
        <f t="shared" si="26"/>
        <v>29200000</v>
      </c>
      <c r="I38" s="33">
        <v>0</v>
      </c>
      <c r="J38" s="146">
        <f>H38/(SUM(H31:H32)+H34+SUM(H37:H39))*AtskaiteStatusuTabula!K54</f>
        <v>29191941.630911764</v>
      </c>
      <c r="K38" s="29">
        <f t="shared" si="12"/>
        <v>0.99972402845588237</v>
      </c>
      <c r="L38" s="29">
        <f t="shared" si="13"/>
        <v>0</v>
      </c>
      <c r="M38" s="29">
        <f t="shared" si="19"/>
        <v>0</v>
      </c>
      <c r="N38" s="146">
        <v>1</v>
      </c>
      <c r="O38" s="33">
        <v>29191941.630911764</v>
      </c>
      <c r="P38" s="29">
        <v>0.99972402845588237</v>
      </c>
      <c r="Q38" s="146">
        <f>H38/(SUM(H31:H32)+H34+SUM(H37:H39))*AtskaiteStatusuTabula!S54</f>
        <v>29191941.630911764</v>
      </c>
      <c r="R38" s="29">
        <f t="shared" si="24"/>
        <v>0.99972402845588237</v>
      </c>
      <c r="S38" s="29">
        <f t="shared" si="15"/>
        <v>0</v>
      </c>
      <c r="T38" s="29">
        <f t="shared" si="16"/>
        <v>0</v>
      </c>
      <c r="U38" s="146">
        <v>1</v>
      </c>
      <c r="V38" s="33">
        <v>29191941.630911764</v>
      </c>
      <c r="W38" s="29">
        <v>0.99972402845588237</v>
      </c>
      <c r="X38" s="146">
        <f>H38/(SUM(H31:H32)+H34+SUM(H37:H39))*AtskaiteStatusuTabula!Y54</f>
        <v>29191941.630911764</v>
      </c>
      <c r="Y38" s="29">
        <f t="shared" si="25"/>
        <v>0.99972402845588237</v>
      </c>
      <c r="Z38" s="29">
        <f t="shared" si="3"/>
        <v>0</v>
      </c>
      <c r="AA38" s="29">
        <f t="shared" si="18"/>
        <v>0</v>
      </c>
      <c r="AB38" s="146">
        <v>1</v>
      </c>
      <c r="AC38" s="33">
        <v>29191941.630911764</v>
      </c>
      <c r="AD38" s="29">
        <v>0.99972402845588237</v>
      </c>
      <c r="AE38" s="146">
        <f>H38/(SUM(H31:H32)+H34+SUM(H37:H39))*(AtskaiteStatusuTabula!AF54-AtskaiteStatusuTabula!AG54)</f>
        <v>28819807.669411767</v>
      </c>
      <c r="AF38" s="29">
        <f t="shared" si="22"/>
        <v>0.98697971470588242</v>
      </c>
      <c r="AG38" s="29">
        <f t="shared" si="20"/>
        <v>0</v>
      </c>
      <c r="AH38" s="29">
        <f t="shared" si="4"/>
        <v>0</v>
      </c>
      <c r="AI38" s="33">
        <v>28819807.669411767</v>
      </c>
      <c r="AJ38" s="29">
        <v>0.98697971470588242</v>
      </c>
      <c r="AL38" s="55">
        <f t="shared" si="23"/>
        <v>0</v>
      </c>
    </row>
    <row r="39" spans="1:39" x14ac:dyDescent="0.3">
      <c r="A39" s="18" t="s">
        <v>261</v>
      </c>
      <c r="B39" s="10" t="str">
        <f>VLOOKUP(A39,saīsinājumi_LV_ENG!A:G,5,FALSE)</f>
        <v>Tehnoloģiju akselerators</v>
      </c>
      <c r="C39" s="9">
        <v>2</v>
      </c>
      <c r="D39" s="38" t="s">
        <v>344</v>
      </c>
      <c r="E39" s="38" t="s">
        <v>349</v>
      </c>
      <c r="F39" s="33">
        <f>14620000+1380000</f>
        <v>16000000</v>
      </c>
      <c r="G39" s="33">
        <v>0</v>
      </c>
      <c r="H39" s="33">
        <f t="shared" si="26"/>
        <v>16000000</v>
      </c>
      <c r="I39" s="33">
        <v>0</v>
      </c>
      <c r="J39" s="146">
        <f>H39/(SUM(H31:H32)+H34+SUM(H37:H39))*AtskaiteStatusuTabula!K54</f>
        <v>15995584.455294117</v>
      </c>
      <c r="K39" s="29">
        <f t="shared" si="12"/>
        <v>0.99972402845588237</v>
      </c>
      <c r="L39" s="29">
        <f t="shared" si="13"/>
        <v>0</v>
      </c>
      <c r="M39" s="29">
        <f t="shared" si="19"/>
        <v>0</v>
      </c>
      <c r="N39" s="146">
        <v>0</v>
      </c>
      <c r="O39" s="33">
        <v>15995584.455294117</v>
      </c>
      <c r="P39" s="29">
        <v>0.99972402845588237</v>
      </c>
      <c r="Q39" s="146">
        <f>H39/(SUM(H31:H32)+H34+SUM(H37:H39))*AtskaiteStatusuTabula!S54</f>
        <v>15995584.455294117</v>
      </c>
      <c r="R39" s="29">
        <f t="shared" si="24"/>
        <v>0.99972402845588237</v>
      </c>
      <c r="S39" s="29">
        <f t="shared" si="15"/>
        <v>0</v>
      </c>
      <c r="T39" s="29">
        <f t="shared" si="16"/>
        <v>0</v>
      </c>
      <c r="U39" s="146">
        <v>0</v>
      </c>
      <c r="V39" s="33">
        <v>15995584.455294117</v>
      </c>
      <c r="W39" s="29">
        <v>0.99972402845588237</v>
      </c>
      <c r="X39" s="146">
        <f>H39/(SUM(H31:H32)+H34+SUM(H37:H39))*AtskaiteStatusuTabula!Y54</f>
        <v>15995584.455294117</v>
      </c>
      <c r="Y39" s="29">
        <f t="shared" si="25"/>
        <v>0.99972402845588237</v>
      </c>
      <c r="Z39" s="29">
        <f t="shared" si="3"/>
        <v>0</v>
      </c>
      <c r="AA39" s="29">
        <f t="shared" si="18"/>
        <v>0</v>
      </c>
      <c r="AB39" s="146">
        <v>0</v>
      </c>
      <c r="AC39" s="33">
        <v>15995584.455294117</v>
      </c>
      <c r="AD39" s="29">
        <v>0.99972402845588237</v>
      </c>
      <c r="AE39" s="146">
        <f>H39/(SUM(H31:H32)+H34+SUM(H37:H39))*(AtskaiteStatusuTabula!AF54-AtskaiteStatusuTabula!AG54)</f>
        <v>15791675.43529412</v>
      </c>
      <c r="AF39" s="29">
        <f t="shared" si="22"/>
        <v>0.98697971470588253</v>
      </c>
      <c r="AG39" s="29">
        <f t="shared" si="20"/>
        <v>0</v>
      </c>
      <c r="AH39" s="29">
        <f t="shared" si="4"/>
        <v>0</v>
      </c>
      <c r="AI39" s="33">
        <v>15791675.43529412</v>
      </c>
      <c r="AJ39" s="29">
        <v>0.98697971470588253</v>
      </c>
      <c r="AL39" s="55">
        <f t="shared" si="23"/>
        <v>0</v>
      </c>
    </row>
    <row r="40" spans="1:39" x14ac:dyDescent="0.3">
      <c r="A40" s="18" t="s">
        <v>411</v>
      </c>
      <c r="B40" s="10" t="str">
        <f>VLOOKUP(A40,saīsinājumi_LV_ENG!A:G,5,FALSE)</f>
        <v>Klasteru programma</v>
      </c>
      <c r="C40" s="9"/>
      <c r="D40" s="38" t="s">
        <v>344</v>
      </c>
      <c r="E40" s="38" t="s">
        <v>349</v>
      </c>
      <c r="F40" s="33">
        <f>6200001+532852</f>
        <v>6732853</v>
      </c>
      <c r="G40" s="33">
        <v>0</v>
      </c>
      <c r="H40" s="33">
        <f t="shared" si="26"/>
        <v>6732853</v>
      </c>
      <c r="I40" s="33">
        <v>378170.56093902799</v>
      </c>
      <c r="J40" s="33">
        <f>IFERROR((VLOOKUP(A40,AtskaiteStatusuTabula!B:AI,10,0)),0)</f>
        <v>6552472.9299999997</v>
      </c>
      <c r="K40" s="29">
        <f t="shared" si="12"/>
        <v>0.97320896951114177</v>
      </c>
      <c r="L40" s="29">
        <f t="shared" si="13"/>
        <v>0</v>
      </c>
      <c r="M40" s="29">
        <f t="shared" si="19"/>
        <v>0</v>
      </c>
      <c r="N40" s="33">
        <f>IFERROR((VLOOKUP(A40,AtskaiteStatusuTabula!B:AI,17,0)),0)</f>
        <v>14</v>
      </c>
      <c r="O40" s="33">
        <v>6552472.9299999997</v>
      </c>
      <c r="P40" s="29">
        <v>0.97320896951114177</v>
      </c>
      <c r="Q40" s="33">
        <f>IFERROR((VLOOKUP(A40,AtskaiteStatusuTabula!B:AI,18,0)),0)</f>
        <v>6552472.9299999997</v>
      </c>
      <c r="R40" s="29">
        <f t="shared" si="24"/>
        <v>0.97320896951114177</v>
      </c>
      <c r="S40" s="29">
        <f t="shared" si="15"/>
        <v>0</v>
      </c>
      <c r="T40" s="29">
        <f t="shared" si="16"/>
        <v>0</v>
      </c>
      <c r="U40" s="33">
        <f>IFERROR((VLOOKUP(A40,AtskaiteStatusuTabula!B:AI,23,0)),0)</f>
        <v>14</v>
      </c>
      <c r="V40" s="33">
        <v>6552472.9299999997</v>
      </c>
      <c r="W40" s="29">
        <v>0.97320896951114177</v>
      </c>
      <c r="X40" s="33">
        <f>IFERROR((VLOOKUP(A40,AtskaiteStatusuTabula!B:AI,24,0)),0)</f>
        <v>6552472.9299999997</v>
      </c>
      <c r="Y40" s="29">
        <f t="shared" si="25"/>
        <v>0.97320896951114177</v>
      </c>
      <c r="Z40" s="29">
        <f t="shared" si="3"/>
        <v>0</v>
      </c>
      <c r="AA40" s="29">
        <f t="shared" si="18"/>
        <v>0</v>
      </c>
      <c r="AB40" s="33">
        <f>IFERROR((VLOOKUP(A40,AtskaiteStatusuTabula!B:AI,30,0)),0)</f>
        <v>14</v>
      </c>
      <c r="AC40" s="33">
        <v>6552472.9299999997</v>
      </c>
      <c r="AD40" s="29">
        <v>0.97320896951114177</v>
      </c>
      <c r="AE40" s="33">
        <f>IFERROR((VLOOKUP(A40,AtskaiteStatusuTabula!B:AI,31,0)),0)</f>
        <v>6552472.9299999997</v>
      </c>
      <c r="AF40" s="29">
        <f t="shared" si="22"/>
        <v>0.97320896951114177</v>
      </c>
      <c r="AG40" s="29">
        <f t="shared" si="20"/>
        <v>0</v>
      </c>
      <c r="AH40" s="29">
        <f t="shared" si="4"/>
        <v>0</v>
      </c>
      <c r="AI40" s="33">
        <v>6552472.9299999997</v>
      </c>
      <c r="AJ40" s="29">
        <v>0.97320896951114177</v>
      </c>
      <c r="AL40" s="55">
        <f t="shared" si="23"/>
        <v>0</v>
      </c>
    </row>
    <row r="41" spans="1:39" ht="47.25" customHeight="1" x14ac:dyDescent="0.3">
      <c r="A41" s="18" t="s">
        <v>364</v>
      </c>
      <c r="B41" s="10" t="str">
        <f>VLOOKUP(A41,saīsinājumi_LV_ENG!A:G,5,FALSE)</f>
        <v>Starptautiskā konkurētspēja</v>
      </c>
      <c r="C41" s="9"/>
      <c r="D41" s="38" t="s">
        <v>344</v>
      </c>
      <c r="E41" s="38" t="s">
        <v>349</v>
      </c>
      <c r="F41" s="33">
        <f>76841351+1600000</f>
        <v>78441351</v>
      </c>
      <c r="G41" s="33">
        <v>0</v>
      </c>
      <c r="H41" s="33">
        <f t="shared" si="26"/>
        <v>78441351</v>
      </c>
      <c r="I41" s="33">
        <v>3143014</v>
      </c>
      <c r="J41" s="445">
        <f>IFERROR((VLOOKUP(A41,AtskaiteStatusuTabula!B:AI,10,0)),0)-AtskaiteStatusuTabula!L58</f>
        <v>78028970.840000004</v>
      </c>
      <c r="K41" s="29">
        <f t="shared" si="12"/>
        <v>0.99474282180581008</v>
      </c>
      <c r="L41" s="29">
        <f t="shared" si="13"/>
        <v>0</v>
      </c>
      <c r="M41" s="29">
        <f t="shared" si="19"/>
        <v>0</v>
      </c>
      <c r="N41" s="33">
        <f>IFERROR((VLOOKUP(A41,AtskaiteStatusuTabula!B:AI,17,0)),0)</f>
        <v>2</v>
      </c>
      <c r="O41" s="33">
        <v>78028970.840000004</v>
      </c>
      <c r="P41" s="29">
        <v>0.99474282180581008</v>
      </c>
      <c r="Q41" s="445">
        <f>IFERROR((VLOOKUP(A41,AtskaiteStatusuTabula!B:AI,18,0)),0)-AtskaiteStatusuTabula!T58</f>
        <v>78028970.840000004</v>
      </c>
      <c r="R41" s="29">
        <f t="shared" si="24"/>
        <v>0.99474282180581008</v>
      </c>
      <c r="S41" s="29">
        <f t="shared" si="15"/>
        <v>0</v>
      </c>
      <c r="T41" s="29">
        <f t="shared" si="16"/>
        <v>0</v>
      </c>
      <c r="U41" s="33">
        <f>IFERROR((VLOOKUP(A41,AtskaiteStatusuTabula!B:AI,23,0)),0)</f>
        <v>2</v>
      </c>
      <c r="V41" s="33">
        <v>78028970.840000004</v>
      </c>
      <c r="W41" s="29">
        <v>0.99474282180581008</v>
      </c>
      <c r="X41" s="445">
        <f>IFERROR((VLOOKUP(A41,AtskaiteStatusuTabula!B:AJ,24,0)),0)-AtskaiteStatusuTabula!Z58</f>
        <v>78028970.840000004</v>
      </c>
      <c r="Y41" s="29">
        <f t="shared" si="25"/>
        <v>0.99474282180581008</v>
      </c>
      <c r="Z41" s="29">
        <f t="shared" si="3"/>
        <v>0</v>
      </c>
      <c r="AA41" s="29">
        <f t="shared" si="18"/>
        <v>0</v>
      </c>
      <c r="AB41" s="33">
        <f>IFERROR((VLOOKUP(A41,AtskaiteStatusuTabula!B:AI,30,0)),0)</f>
        <v>2</v>
      </c>
      <c r="AC41" s="33">
        <v>78028970.840000004</v>
      </c>
      <c r="AD41" s="29">
        <v>0.99474282180581008</v>
      </c>
      <c r="AE41" s="445">
        <f>IFERROR((VLOOKUP(A41,AtskaiteStatusuTabula!B:AI,31,0)),0)-AtskaiteStatusuTabula!AG58</f>
        <v>73898692.329999998</v>
      </c>
      <c r="AF41" s="29">
        <f t="shared" si="22"/>
        <v>0.94208846976641181</v>
      </c>
      <c r="AG41" s="29">
        <f t="shared" si="20"/>
        <v>0</v>
      </c>
      <c r="AH41" s="29">
        <f t="shared" si="4"/>
        <v>0</v>
      </c>
      <c r="AI41" s="33">
        <v>73898692.329999998</v>
      </c>
      <c r="AJ41" s="29">
        <v>0.94208846976641181</v>
      </c>
      <c r="AL41" s="55">
        <f t="shared" si="23"/>
        <v>0</v>
      </c>
      <c r="AM41" s="471"/>
    </row>
    <row r="42" spans="1:39" ht="37.5" x14ac:dyDescent="0.3">
      <c r="A42" s="18" t="s">
        <v>262</v>
      </c>
      <c r="B42" s="10" t="str">
        <f>VLOOKUP(A42,saīsinājumi_LV_ENG!A:G,5,FALSE)</f>
        <v>Publiskā infrastruktūra uzņēmējdarbībai</v>
      </c>
      <c r="C42" s="9"/>
      <c r="D42" s="38" t="s">
        <v>344</v>
      </c>
      <c r="E42" s="38" t="s">
        <v>350</v>
      </c>
      <c r="F42" s="33">
        <v>59016742</v>
      </c>
      <c r="G42" s="33">
        <v>290005</v>
      </c>
      <c r="H42" s="33">
        <f t="shared" si="26"/>
        <v>59306747</v>
      </c>
      <c r="I42" s="33">
        <v>3599740</v>
      </c>
      <c r="J42" s="33">
        <f>IFERROR((VLOOKUP(A42,AtskaiteStatusuTabula!B:AI,10,0)),0)</f>
        <v>55993361.68</v>
      </c>
      <c r="K42" s="29">
        <f t="shared" si="12"/>
        <v>0.94877080269866476</v>
      </c>
      <c r="L42" s="29">
        <f t="shared" si="13"/>
        <v>0</v>
      </c>
      <c r="M42" s="29">
        <f t="shared" si="19"/>
        <v>0</v>
      </c>
      <c r="N42" s="33">
        <f>IFERROR((VLOOKUP(A42,AtskaiteStatusuTabula!B:AI,17,0)),0)</f>
        <v>100</v>
      </c>
      <c r="O42" s="33">
        <v>55993361.68</v>
      </c>
      <c r="P42" s="29">
        <v>0.94877080269866476</v>
      </c>
      <c r="Q42" s="33">
        <f>IFERROR((VLOOKUP(A42,AtskaiteStatusuTabula!B:AI,18,0)),0)</f>
        <v>55993361.68</v>
      </c>
      <c r="R42" s="29">
        <f t="shared" si="24"/>
        <v>0.94877080269866476</v>
      </c>
      <c r="S42" s="29">
        <f t="shared" si="15"/>
        <v>0</v>
      </c>
      <c r="T42" s="29">
        <f t="shared" si="16"/>
        <v>0</v>
      </c>
      <c r="U42" s="33">
        <f>IFERROR((VLOOKUP(A42,AtskaiteStatusuTabula!B:AI,23,0)),0)</f>
        <v>100</v>
      </c>
      <c r="V42" s="33">
        <v>55993361.68</v>
      </c>
      <c r="W42" s="29">
        <v>0.94877080269866476</v>
      </c>
      <c r="X42" s="33">
        <f>IFERROR((VLOOKUP(A42,AtskaiteStatusuTabula!B:AI,24,0)),0)</f>
        <v>55993361.68</v>
      </c>
      <c r="Y42" s="29">
        <f t="shared" si="25"/>
        <v>0.94877080269866476</v>
      </c>
      <c r="Z42" s="29">
        <f t="shared" si="3"/>
        <v>0</v>
      </c>
      <c r="AA42" s="29">
        <f t="shared" si="18"/>
        <v>0</v>
      </c>
      <c r="AB42" s="33">
        <f>IFERROR((VLOOKUP(A42,AtskaiteStatusuTabula!B:AI,30,0)),0)</f>
        <v>100</v>
      </c>
      <c r="AC42" s="33">
        <v>55993361.68</v>
      </c>
      <c r="AD42" s="29">
        <v>0.94877080269866476</v>
      </c>
      <c r="AE42" s="33">
        <f>IFERROR((VLOOKUP(A42,AtskaiteStatusuTabula!B:AI,31,0)),0)</f>
        <v>56046382.380000003</v>
      </c>
      <c r="AF42" s="29">
        <f t="shared" si="22"/>
        <v>0.94966920369816421</v>
      </c>
      <c r="AG42" s="29">
        <f t="shared" si="20"/>
        <v>0</v>
      </c>
      <c r="AH42" s="29">
        <f t="shared" si="4"/>
        <v>0</v>
      </c>
      <c r="AI42" s="33">
        <v>56046382.380000003</v>
      </c>
      <c r="AJ42" s="29">
        <v>0.94966920369816421</v>
      </c>
      <c r="AL42" s="55">
        <f t="shared" si="23"/>
        <v>0</v>
      </c>
    </row>
    <row r="43" spans="1:39" ht="56.25" x14ac:dyDescent="0.3">
      <c r="A43" s="92" t="s">
        <v>417</v>
      </c>
      <c r="B43" s="93" t="str">
        <f>VLOOKUP(A43,saīsinājumi_LV_ENG!A:G,5,FALSE)</f>
        <v>Tiesu un tiesībsargājošo institūciju darbinieku apmācība</v>
      </c>
      <c r="C43" s="94"/>
      <c r="D43" s="95" t="s">
        <v>346</v>
      </c>
      <c r="E43" s="95" t="s">
        <v>353</v>
      </c>
      <c r="F43" s="169">
        <v>9230484</v>
      </c>
      <c r="G43" s="96">
        <v>0</v>
      </c>
      <c r="H43" s="33">
        <f t="shared" si="26"/>
        <v>9230484</v>
      </c>
      <c r="I43" s="33">
        <v>590385</v>
      </c>
      <c r="J43" s="33">
        <f>IFERROR((VLOOKUP(A43,AtskaiteStatusuTabula!B:AI,10,0)),0)</f>
        <v>9219650.8000000007</v>
      </c>
      <c r="K43" s="29">
        <f t="shared" si="12"/>
        <v>0.99882636706807582</v>
      </c>
      <c r="L43" s="29">
        <f t="shared" si="13"/>
        <v>0</v>
      </c>
      <c r="M43" s="29">
        <f t="shared" si="19"/>
        <v>0</v>
      </c>
      <c r="N43" s="33">
        <f>IFERROR((VLOOKUP(A43,AtskaiteStatusuTabula!B:AI,17,0)),0)</f>
        <v>1</v>
      </c>
      <c r="O43" s="96">
        <v>9219650.8000000007</v>
      </c>
      <c r="P43" s="97">
        <v>0.99882636706807582</v>
      </c>
      <c r="Q43" s="33">
        <f>IFERROR((VLOOKUP(A43,AtskaiteStatusuTabula!B:AI,18,0)),0)</f>
        <v>9219650.8000000007</v>
      </c>
      <c r="R43" s="29">
        <f t="shared" si="24"/>
        <v>0.99882636706807582</v>
      </c>
      <c r="S43" s="29">
        <f>R43-W43</f>
        <v>0</v>
      </c>
      <c r="T43" s="29">
        <f t="shared" si="16"/>
        <v>0</v>
      </c>
      <c r="U43" s="33">
        <f>IFERROR((VLOOKUP(A43,AtskaiteStatusuTabula!B:AI,23,0)),0)</f>
        <v>1</v>
      </c>
      <c r="V43" s="33">
        <v>9219650.8000000007</v>
      </c>
      <c r="W43" s="29">
        <v>0.99882636706807582</v>
      </c>
      <c r="X43" s="33">
        <f>IFERROR((VLOOKUP(A43,AtskaiteStatusuTabula!B:AI,24,0)),0)</f>
        <v>9219650.8000000007</v>
      </c>
      <c r="Y43" s="29">
        <f t="shared" si="25"/>
        <v>0.99882636706807582</v>
      </c>
      <c r="Z43" s="29">
        <f t="shared" si="3"/>
        <v>0</v>
      </c>
      <c r="AA43" s="29">
        <f t="shared" si="18"/>
        <v>0</v>
      </c>
      <c r="AB43" s="33">
        <f>IFERROR((VLOOKUP(A43,AtskaiteStatusuTabula!B:AI,30,0)),0)</f>
        <v>1</v>
      </c>
      <c r="AC43" s="33">
        <v>9219650.8000000007</v>
      </c>
      <c r="AD43" s="29">
        <v>0.99882636706807582</v>
      </c>
      <c r="AE43" s="33">
        <f>IFERROR((VLOOKUP(A43,AtskaiteStatusuTabula!B:AI,31,0)),0)</f>
        <v>9219650.8000000007</v>
      </c>
      <c r="AF43" s="29">
        <f t="shared" si="22"/>
        <v>0.99882636706807582</v>
      </c>
      <c r="AG43" s="29">
        <f t="shared" si="20"/>
        <v>0</v>
      </c>
      <c r="AH43" s="29">
        <f t="shared" si="4"/>
        <v>0</v>
      </c>
      <c r="AI43" s="33">
        <v>9219650.8000000007</v>
      </c>
      <c r="AJ43" s="29">
        <v>0.99882636706807582</v>
      </c>
      <c r="AL43" s="55">
        <f t="shared" si="23"/>
        <v>0</v>
      </c>
    </row>
    <row r="44" spans="1:39" ht="37.5" x14ac:dyDescent="0.3">
      <c r="A44" s="92" t="s">
        <v>458</v>
      </c>
      <c r="B44" s="93" t="str">
        <f>VLOOKUP(A44,saīsinājumi_LV_ENG!A:G,5,FALSE)</f>
        <v>Valsts pārvaldes darbinieku apmācības</v>
      </c>
      <c r="C44" s="94"/>
      <c r="D44" s="95" t="s">
        <v>346</v>
      </c>
      <c r="E44" s="95" t="s">
        <v>354</v>
      </c>
      <c r="F44" s="33">
        <v>6954373</v>
      </c>
      <c r="G44" s="96">
        <v>0</v>
      </c>
      <c r="H44" s="33">
        <f>F44+G44</f>
        <v>6954373</v>
      </c>
      <c r="I44" s="33">
        <v>453602</v>
      </c>
      <c r="J44" s="33">
        <f>IFERROR((VLOOKUP(A44,AtskaiteStatusuTabula!B:AI,10,0)),0)</f>
        <v>6888432.3399999999</v>
      </c>
      <c r="K44" s="29">
        <f t="shared" ref="K44" si="49">J44/F44</f>
        <v>0.99051810134429086</v>
      </c>
      <c r="L44" s="29">
        <f t="shared" ref="L44" si="50">K44-P44</f>
        <v>0</v>
      </c>
      <c r="M44" s="29">
        <f t="shared" ref="M44" si="51">IFERROR(((J44-O44)/O44),0)</f>
        <v>0</v>
      </c>
      <c r="N44" s="33">
        <f>IFERROR((VLOOKUP(A44,AtskaiteStatusuTabula!B:AI,17,0)),0)</f>
        <v>4</v>
      </c>
      <c r="O44" s="96">
        <v>6888432.3399999999</v>
      </c>
      <c r="P44" s="97">
        <v>0.99051810134429086</v>
      </c>
      <c r="Q44" s="33">
        <f>IFERROR((VLOOKUP(A44,AtskaiteStatusuTabula!B:AI,18,0)),0)</f>
        <v>6888432.3399999999</v>
      </c>
      <c r="R44" s="29">
        <f t="shared" si="24"/>
        <v>0.99051810134429086</v>
      </c>
      <c r="S44" s="29">
        <f>R44-W44</f>
        <v>0</v>
      </c>
      <c r="T44" s="29">
        <f t="shared" si="16"/>
        <v>0</v>
      </c>
      <c r="U44" s="33">
        <f>IFERROR((VLOOKUP(A44,AtskaiteStatusuTabula!B:AI,23,0)),0)</f>
        <v>4</v>
      </c>
      <c r="V44" s="33">
        <v>6888432.3399999999</v>
      </c>
      <c r="W44" s="97">
        <v>0.99051810134429086</v>
      </c>
      <c r="X44" s="33">
        <f>IFERROR((VLOOKUP(A44,AtskaiteStatusuTabula!B:AI,24,0)),0)</f>
        <v>6888432.3399999999</v>
      </c>
      <c r="Y44" s="29">
        <f t="shared" ref="Y44" si="52">X44/F44</f>
        <v>0.99051810134429086</v>
      </c>
      <c r="Z44" s="29">
        <f t="shared" ref="Z44" si="53">Y44-AD44</f>
        <v>0</v>
      </c>
      <c r="AA44" s="29">
        <f t="shared" ref="AA44" si="54">IFERROR(((X44-AC44)/AC44),0)</f>
        <v>0</v>
      </c>
      <c r="AB44" s="33">
        <f>IFERROR((VLOOKUP(A44,AtskaiteStatusuTabula!B:AI,30,0)),0)</f>
        <v>4</v>
      </c>
      <c r="AC44" s="33">
        <v>6888432.3399999999</v>
      </c>
      <c r="AD44" s="29">
        <v>0.99051810134429086</v>
      </c>
      <c r="AE44" s="33">
        <f>IFERROR((VLOOKUP(A44,AtskaiteStatusuTabula!B:AI,31,0)),0)</f>
        <v>6888432.3399999999</v>
      </c>
      <c r="AF44" s="29">
        <f t="shared" ref="AF44" si="55">IFERROR((AE44/$F44),0)</f>
        <v>0.99051810134429086</v>
      </c>
      <c r="AG44" s="29">
        <f t="shared" ref="AG44" si="56">AF44-AJ44</f>
        <v>0</v>
      </c>
      <c r="AH44" s="29">
        <f t="shared" ref="AH44" si="57">IFERROR(((AE44-AI44)/AI44),0)</f>
        <v>0</v>
      </c>
      <c r="AI44" s="33">
        <v>6888432.3399999999</v>
      </c>
      <c r="AJ44" s="29">
        <v>0.99051810134429086</v>
      </c>
      <c r="AL44" s="55">
        <f t="shared" si="23"/>
        <v>0</v>
      </c>
    </row>
    <row r="45" spans="1:39" x14ac:dyDescent="0.3">
      <c r="A45" s="92" t="s">
        <v>457</v>
      </c>
      <c r="B45" s="93" t="str">
        <f>VLOOKUP(A45,saīsinājumi_LV_ENG!A:G,5,FALSE)</f>
        <v>Sociālā dialoga veidošana</v>
      </c>
      <c r="C45" s="94"/>
      <c r="D45" s="95" t="s">
        <v>346</v>
      </c>
      <c r="E45" s="95" t="s">
        <v>354</v>
      </c>
      <c r="F45" s="96">
        <v>1275000</v>
      </c>
      <c r="G45" s="96">
        <v>0</v>
      </c>
      <c r="H45" s="33">
        <f t="shared" si="26"/>
        <v>1275000</v>
      </c>
      <c r="I45" s="33">
        <v>79286.167571177401</v>
      </c>
      <c r="J45" s="33">
        <f>IFERROR((VLOOKUP(A45,AtskaiteStatusuTabula!B:AI,10,0)),0)</f>
        <v>1273647.76</v>
      </c>
      <c r="K45" s="29">
        <f t="shared" si="12"/>
        <v>0.99893941960784316</v>
      </c>
      <c r="L45" s="29">
        <f t="shared" si="13"/>
        <v>0</v>
      </c>
      <c r="M45" s="29">
        <f t="shared" si="19"/>
        <v>0</v>
      </c>
      <c r="N45" s="33">
        <f>IFERROR((VLOOKUP(A45,AtskaiteStatusuTabula!B:AI,17,0)),0)</f>
        <v>2</v>
      </c>
      <c r="O45" s="96">
        <v>1273647.76</v>
      </c>
      <c r="P45" s="97">
        <v>0.99893941960784316</v>
      </c>
      <c r="Q45" s="33">
        <f>IFERROR((VLOOKUP(A45,AtskaiteStatusuTabula!B:AI,18,0)),0)</f>
        <v>1273647.76</v>
      </c>
      <c r="R45" s="29">
        <f t="shared" si="24"/>
        <v>0.99893941960784316</v>
      </c>
      <c r="S45" s="29">
        <f>R45-W45</f>
        <v>0</v>
      </c>
      <c r="T45" s="29">
        <f t="shared" si="16"/>
        <v>0</v>
      </c>
      <c r="U45" s="33">
        <f>IFERROR((VLOOKUP(A45,AtskaiteStatusuTabula!B:AI,23,0)),0)</f>
        <v>2</v>
      </c>
      <c r="V45" s="33">
        <v>1273647.76</v>
      </c>
      <c r="W45" s="29">
        <v>0.99893941960784316</v>
      </c>
      <c r="X45" s="33">
        <f>IFERROR((VLOOKUP(A45,AtskaiteStatusuTabula!B:AI,24,0)),0)</f>
        <v>1273647.76</v>
      </c>
      <c r="Y45" s="29">
        <f t="shared" si="25"/>
        <v>0.99893941960784316</v>
      </c>
      <c r="Z45" s="29">
        <f t="shared" si="3"/>
        <v>0</v>
      </c>
      <c r="AA45" s="29">
        <f t="shared" si="18"/>
        <v>0</v>
      </c>
      <c r="AB45" s="33">
        <f>IFERROR((VLOOKUP(A45,AtskaiteStatusuTabula!B:AI,30,0)),0)</f>
        <v>2</v>
      </c>
      <c r="AC45" s="33">
        <v>1273647.76</v>
      </c>
      <c r="AD45" s="29">
        <v>0.99893941960784316</v>
      </c>
      <c r="AE45" s="33">
        <f>IFERROR((VLOOKUP(A45,AtskaiteStatusuTabula!B:AI,31,0)),0)</f>
        <v>1273647.76</v>
      </c>
      <c r="AF45" s="29">
        <f t="shared" si="22"/>
        <v>0.99893941960784316</v>
      </c>
      <c r="AG45" s="29">
        <f t="shared" si="20"/>
        <v>0</v>
      </c>
      <c r="AH45" s="29">
        <f t="shared" si="4"/>
        <v>0</v>
      </c>
      <c r="AI45" s="33">
        <v>1273647.76</v>
      </c>
      <c r="AJ45" s="29">
        <v>0.99893941960784316</v>
      </c>
      <c r="AL45" s="55">
        <f t="shared" si="23"/>
        <v>0</v>
      </c>
    </row>
    <row r="46" spans="1:39" ht="56.25" x14ac:dyDescent="0.3">
      <c r="A46" s="92" t="s">
        <v>1242</v>
      </c>
      <c r="B46" s="93" t="str">
        <f>VLOOKUP(A46,saīsinājumi_LV_ENG!A:G,5,FALSE)</f>
        <v>Publisko pakalpojumu pārveides metodoloģijas izstrāde un aprobācija</v>
      </c>
      <c r="C46" s="94"/>
      <c r="D46" s="95" t="s">
        <v>346</v>
      </c>
      <c r="E46" s="95" t="s">
        <v>354</v>
      </c>
      <c r="F46" s="96">
        <v>340000</v>
      </c>
      <c r="G46" s="96">
        <v>0</v>
      </c>
      <c r="H46" s="33">
        <v>340000</v>
      </c>
      <c r="I46" s="33">
        <v>0</v>
      </c>
      <c r="J46" s="33">
        <f>IFERROR((VLOOKUP(A46,AtskaiteStatusuTabula!B:AI,10,0)),0)</f>
        <v>338932.05</v>
      </c>
      <c r="K46" s="29">
        <f t="shared" ref="K46" si="58">J46/F46</f>
        <v>0.99685897058823525</v>
      </c>
      <c r="L46" s="29">
        <f t="shared" ref="L46" si="59">K46-P46</f>
        <v>0</v>
      </c>
      <c r="M46" s="29">
        <f t="shared" ref="M46" si="60">IFERROR(((J46-O46)/O46),0)</f>
        <v>0</v>
      </c>
      <c r="N46" s="33">
        <f>IFERROR((VLOOKUP(A46,AtskaiteStatusuTabula!B:AI,17,0)),0)</f>
        <v>1</v>
      </c>
      <c r="O46" s="96">
        <v>338932.05</v>
      </c>
      <c r="P46" s="97">
        <v>0.99685897058823525</v>
      </c>
      <c r="Q46" s="33">
        <f>IFERROR((VLOOKUP(A46,AtskaiteStatusuTabula!B:AI,18,0)),0)</f>
        <v>338932.05</v>
      </c>
      <c r="R46" s="29">
        <f t="shared" ref="R46" si="61">Q46/F46</f>
        <v>0.99685897058823525</v>
      </c>
      <c r="S46" s="29">
        <f>R46-W46</f>
        <v>0</v>
      </c>
      <c r="T46" s="29">
        <f t="shared" ref="T46" si="62">IFERROR(((Q46-V46)/V46),0)</f>
        <v>0</v>
      </c>
      <c r="U46" s="33">
        <f>IFERROR((VLOOKUP(A46,AtskaiteStatusuTabula!B:AI,23,0)),0)</f>
        <v>1</v>
      </c>
      <c r="V46" s="33">
        <v>338932.05</v>
      </c>
      <c r="W46" s="29">
        <v>0.99685897058823525</v>
      </c>
      <c r="X46" s="33">
        <f>IFERROR((VLOOKUP(A46,AtskaiteStatusuTabula!B:AI,24,0)),0)</f>
        <v>338932.05</v>
      </c>
      <c r="Y46" s="29">
        <f t="shared" ref="Y46" si="63">X46/F46</f>
        <v>0.99685897058823525</v>
      </c>
      <c r="Z46" s="29">
        <f t="shared" ref="Z46" si="64">Y46-AD46</f>
        <v>0</v>
      </c>
      <c r="AA46" s="29">
        <f t="shared" ref="AA46" si="65">IFERROR(((X46-AC46)/AC46),0)</f>
        <v>0</v>
      </c>
      <c r="AB46" s="33">
        <f>IFERROR((VLOOKUP(A46,AtskaiteStatusuTabula!B:AI,30,0)),0)</f>
        <v>1</v>
      </c>
      <c r="AC46" s="33">
        <v>338932.05</v>
      </c>
      <c r="AD46" s="29">
        <v>0.99685897058823525</v>
      </c>
      <c r="AE46" s="33">
        <f>IFERROR((VLOOKUP(A46,AtskaiteStatusuTabula!B:AI,31,0)),0)</f>
        <v>338932.05</v>
      </c>
      <c r="AF46" s="29">
        <f t="shared" ref="AF46" si="66">IFERROR((AE46/$F46),0)</f>
        <v>0.99685897058823525</v>
      </c>
      <c r="AG46" s="29">
        <f t="shared" ref="AG46" si="67">AF46-AJ46</f>
        <v>0</v>
      </c>
      <c r="AH46" s="29">
        <f t="shared" ref="AH46" si="68">IFERROR(((AE46-AI46)/AI46),0)</f>
        <v>0</v>
      </c>
      <c r="AI46" s="33">
        <v>338932.05</v>
      </c>
      <c r="AJ46" s="29">
        <v>0.99685897058823525</v>
      </c>
      <c r="AL46" s="55">
        <f t="shared" si="23"/>
        <v>0</v>
      </c>
    </row>
    <row r="47" spans="1:39" ht="37.5" x14ac:dyDescent="0.3">
      <c r="A47" s="19" t="s">
        <v>29</v>
      </c>
      <c r="B47" s="8" t="str">
        <f>VLOOKUP(A47,saīsinājumi_LV_ENG!A:G,5,FALSE)</f>
        <v>Videi draudzīga ekonomika</v>
      </c>
      <c r="C47" s="8"/>
      <c r="D47" s="40"/>
      <c r="E47" s="40"/>
      <c r="F47" s="35">
        <f>SUM(F48:F55)</f>
        <v>645831597</v>
      </c>
      <c r="G47" s="35">
        <f>SUM(G48:G53)+SUM(G54:G55)</f>
        <v>61392669</v>
      </c>
      <c r="H47" s="35">
        <f>SUM(H48:H53)+SUM(H54:H55)</f>
        <v>707224266</v>
      </c>
      <c r="I47" s="35">
        <f>SUM(I48:I55)</f>
        <v>15543636.724113045</v>
      </c>
      <c r="J47" s="35">
        <f>SUM(J48:J53)+SUM(J54:J55)</f>
        <v>638120163.53999996</v>
      </c>
      <c r="K47" s="31">
        <f t="shared" si="12"/>
        <v>0.9880596838311706</v>
      </c>
      <c r="L47" s="31">
        <f t="shared" si="13"/>
        <v>0</v>
      </c>
      <c r="M47" s="31">
        <f t="shared" si="19"/>
        <v>0</v>
      </c>
      <c r="N47" s="35">
        <f>SUM(N48:N53)+SUM(N54:N55)</f>
        <v>504</v>
      </c>
      <c r="O47" s="35">
        <v>638120163.53999996</v>
      </c>
      <c r="P47" s="31">
        <v>0.9880596838311706</v>
      </c>
      <c r="Q47" s="35">
        <f>SUM(Q48:Q53)+SUM(Q54:Q55)</f>
        <v>638120163.53999996</v>
      </c>
      <c r="R47" s="31">
        <f t="shared" si="24"/>
        <v>0.9880596838311706</v>
      </c>
      <c r="S47" s="31">
        <f t="shared" si="15"/>
        <v>0</v>
      </c>
      <c r="T47" s="31">
        <f t="shared" si="16"/>
        <v>0</v>
      </c>
      <c r="U47" s="35">
        <f>SUM(U48:U53)+SUM(U54:U55)</f>
        <v>504</v>
      </c>
      <c r="V47" s="35">
        <v>638120163.53999996</v>
      </c>
      <c r="W47" s="31">
        <v>0.9880596838311706</v>
      </c>
      <c r="X47" s="35">
        <f>SUM(X48:X53)+SUM(X54:X55)</f>
        <v>638120163.53999996</v>
      </c>
      <c r="Y47" s="31">
        <f t="shared" si="25"/>
        <v>0.9880596838311706</v>
      </c>
      <c r="Z47" s="31">
        <f t="shared" si="3"/>
        <v>0</v>
      </c>
      <c r="AA47" s="31">
        <f t="shared" si="18"/>
        <v>0</v>
      </c>
      <c r="AB47" s="35">
        <f>SUM(AB48:AB53)+SUM(AB54:AB55)</f>
        <v>504</v>
      </c>
      <c r="AC47" s="35">
        <v>638120163.53999996</v>
      </c>
      <c r="AD47" s="31">
        <v>0.9880596838311706</v>
      </c>
      <c r="AE47" s="35">
        <f>SUM(AE48:AE53)+SUM(AE54:AE55)</f>
        <v>638731991.71000004</v>
      </c>
      <c r="AF47" s="31">
        <f t="shared" si="22"/>
        <v>0.98900703322200578</v>
      </c>
      <c r="AG47" s="31">
        <f t="shared" si="20"/>
        <v>-4.0207958422189272E-5</v>
      </c>
      <c r="AH47" s="31">
        <f t="shared" si="4"/>
        <v>-4.0653223373065384E-5</v>
      </c>
      <c r="AI47" s="35">
        <v>638757959.27999997</v>
      </c>
      <c r="AJ47" s="31">
        <v>0.98904724118042797</v>
      </c>
      <c r="AL47" s="55">
        <f t="shared" si="23"/>
        <v>0</v>
      </c>
    </row>
    <row r="48" spans="1:39" ht="56.25" x14ac:dyDescent="0.3">
      <c r="A48" s="18" t="s">
        <v>264</v>
      </c>
      <c r="B48" s="10" t="str">
        <f>VLOOKUP(A48,saīsinājumi_LV_ENG!A:G,5,FALSE)</f>
        <v>Apstrādes rūpniecības uzņēmumu energoefektivitāte</v>
      </c>
      <c r="C48" s="9">
        <v>4</v>
      </c>
      <c r="D48" s="38" t="s">
        <v>345</v>
      </c>
      <c r="E48" s="38" t="s">
        <v>349</v>
      </c>
      <c r="F48" s="33">
        <f>23733826-3432427</f>
        <v>20301399</v>
      </c>
      <c r="G48" s="33">
        <v>0</v>
      </c>
      <c r="H48" s="33">
        <f t="shared" ref="H48:H55" si="69">F48+G48</f>
        <v>20301399</v>
      </c>
      <c r="I48" s="96">
        <v>0</v>
      </c>
      <c r="J48" s="33">
        <f>IFERROR((VLOOKUP(A48,AtskaiteStatusuTabula!B:AI,10,0)),0)</f>
        <v>18616425.510000002</v>
      </c>
      <c r="K48" s="29">
        <f t="shared" si="12"/>
        <v>0.9170020997075129</v>
      </c>
      <c r="L48" s="29">
        <f t="shared" si="13"/>
        <v>0</v>
      </c>
      <c r="M48" s="29">
        <f t="shared" si="19"/>
        <v>0</v>
      </c>
      <c r="N48" s="33">
        <f>IFERROR((VLOOKUP(A48,AtskaiteStatusuTabula!B:AI,17,0)),0)</f>
        <v>69</v>
      </c>
      <c r="O48" s="33">
        <v>18616425.510000002</v>
      </c>
      <c r="P48" s="29">
        <v>0.9170020997075129</v>
      </c>
      <c r="Q48" s="33">
        <f>IFERROR((VLOOKUP(A48,AtskaiteStatusuTabula!B:AI,18,0)),0)</f>
        <v>18616425.510000002</v>
      </c>
      <c r="R48" s="29">
        <f t="shared" si="24"/>
        <v>0.9170020997075129</v>
      </c>
      <c r="S48" s="29">
        <f t="shared" si="15"/>
        <v>0</v>
      </c>
      <c r="T48" s="29">
        <f t="shared" si="16"/>
        <v>0</v>
      </c>
      <c r="U48" s="33">
        <f>IFERROR((VLOOKUP(A48,AtskaiteStatusuTabula!B:AI,23,0)),0)</f>
        <v>69</v>
      </c>
      <c r="V48" s="33">
        <v>18616425.510000002</v>
      </c>
      <c r="W48" s="29">
        <v>0.9170020997075129</v>
      </c>
      <c r="X48" s="33">
        <f>IFERROR((VLOOKUP(A48,AtskaiteStatusuTabula!B:AI,24,0)),0)</f>
        <v>18616425.510000002</v>
      </c>
      <c r="Y48" s="29">
        <f t="shared" si="25"/>
        <v>0.9170020997075129</v>
      </c>
      <c r="Z48" s="29">
        <f t="shared" si="3"/>
        <v>0</v>
      </c>
      <c r="AA48" s="29">
        <f t="shared" si="18"/>
        <v>0</v>
      </c>
      <c r="AB48" s="33">
        <f>IFERROR((VLOOKUP(A48,AtskaiteStatusuTabula!B:AI,30,0)),0)</f>
        <v>69</v>
      </c>
      <c r="AC48" s="33">
        <v>18616425.510000002</v>
      </c>
      <c r="AD48" s="29">
        <v>0.9170020997075129</v>
      </c>
      <c r="AE48" s="33">
        <f>IFERROR((VLOOKUP(A48,AtskaiteStatusuTabula!B:AI,31,0)),0)</f>
        <v>18616425.510000002</v>
      </c>
      <c r="AF48" s="29">
        <f t="shared" si="22"/>
        <v>0.9170020997075129</v>
      </c>
      <c r="AG48" s="29">
        <f t="shared" si="20"/>
        <v>0</v>
      </c>
      <c r="AH48" s="29">
        <f t="shared" si="4"/>
        <v>0</v>
      </c>
      <c r="AI48" s="33">
        <v>18616425.510000002</v>
      </c>
      <c r="AJ48" s="29">
        <v>0.9170020997075129</v>
      </c>
      <c r="AL48" s="55">
        <f t="shared" si="23"/>
        <v>0</v>
      </c>
    </row>
    <row r="49" spans="1:38" ht="37.5" x14ac:dyDescent="0.3">
      <c r="A49" s="18" t="s">
        <v>265</v>
      </c>
      <c r="B49" s="10" t="str">
        <f>VLOOKUP(A49,saīsinājumi_LV_ENG!A:G,5,FALSE)</f>
        <v xml:space="preserve">Daudzdzīvokļu māju energoefektivitāte </v>
      </c>
      <c r="C49" s="9"/>
      <c r="D49" s="38" t="s">
        <v>344</v>
      </c>
      <c r="E49" s="38" t="s">
        <v>349</v>
      </c>
      <c r="F49" s="33">
        <v>141493317</v>
      </c>
      <c r="G49" s="33">
        <v>0</v>
      </c>
      <c r="H49" s="33">
        <f>F49+G49</f>
        <v>141493317</v>
      </c>
      <c r="I49" s="33">
        <v>0</v>
      </c>
      <c r="J49" s="478">
        <f>170915418.83-J155</f>
        <v>141432424.83000001</v>
      </c>
      <c r="K49" s="29">
        <f t="shared" si="12"/>
        <v>0.99956964631764211</v>
      </c>
      <c r="L49" s="29">
        <f t="shared" ref="L49:L86" si="70">K49-P49</f>
        <v>0</v>
      </c>
      <c r="M49" s="29">
        <f t="shared" si="19"/>
        <v>0</v>
      </c>
      <c r="N49" s="478">
        <v>2</v>
      </c>
      <c r="O49" s="445">
        <v>141432424.83000001</v>
      </c>
      <c r="P49" s="446">
        <v>0.99956964631764211</v>
      </c>
      <c r="Q49" s="478">
        <f>170915418.83-Q155</f>
        <v>141432424.83000001</v>
      </c>
      <c r="R49" s="29">
        <f t="shared" ref="R49:R86" si="71">Q49/F49</f>
        <v>0.99956964631764211</v>
      </c>
      <c r="S49" s="29">
        <f t="shared" ref="S49:S86" si="72">R49-W49</f>
        <v>0</v>
      </c>
      <c r="T49" s="29">
        <f t="shared" si="16"/>
        <v>0</v>
      </c>
      <c r="U49" s="478">
        <v>2</v>
      </c>
      <c r="V49" s="445">
        <v>141432424.83000001</v>
      </c>
      <c r="W49" s="446">
        <v>0.99956964631764211</v>
      </c>
      <c r="X49" s="478">
        <f>170915418.83-X155</f>
        <v>141432424.83000001</v>
      </c>
      <c r="Y49" s="29">
        <f t="shared" ref="Y49:Y86" si="73">X49/F49</f>
        <v>0.99956964631764211</v>
      </c>
      <c r="Z49" s="29">
        <f t="shared" si="3"/>
        <v>0</v>
      </c>
      <c r="AA49" s="29">
        <f t="shared" si="18"/>
        <v>0</v>
      </c>
      <c r="AB49" s="478">
        <v>2</v>
      </c>
      <c r="AC49" s="445">
        <v>141432424.83000001</v>
      </c>
      <c r="AD49" s="446">
        <v>0.99956964631764211</v>
      </c>
      <c r="AE49" s="445">
        <f>IFERROR((VLOOKUP(A49,AtskaiteStatusuTabula!B:AI,31,0)),0)-AE155</f>
        <v>141245562.44</v>
      </c>
      <c r="AF49" s="29">
        <f t="shared" si="22"/>
        <v>0.99824900168253172</v>
      </c>
      <c r="AG49" s="29">
        <f t="shared" si="20"/>
        <v>0</v>
      </c>
      <c r="AH49" s="29">
        <f t="shared" si="4"/>
        <v>0</v>
      </c>
      <c r="AI49" s="33">
        <v>141245562.44</v>
      </c>
      <c r="AJ49" s="29">
        <v>0.99824900168253172</v>
      </c>
      <c r="AL49" s="55">
        <f t="shared" si="23"/>
        <v>0</v>
      </c>
    </row>
    <row r="50" spans="1:38" ht="37.5" x14ac:dyDescent="0.3">
      <c r="A50" s="18" t="s">
        <v>266</v>
      </c>
      <c r="B50" s="10" t="str">
        <f>VLOOKUP(A50,saīsinājumi_LV_ENG!A:G,5,FALSE)</f>
        <v>Valsts ēku energoefektivitāte</v>
      </c>
      <c r="C50" s="9"/>
      <c r="D50" s="38" t="s">
        <v>344</v>
      </c>
      <c r="E50" s="38" t="s">
        <v>349</v>
      </c>
      <c r="F50" s="33">
        <v>93357972</v>
      </c>
      <c r="G50" s="33">
        <v>0</v>
      </c>
      <c r="H50" s="33">
        <f t="shared" si="69"/>
        <v>93357972</v>
      </c>
      <c r="I50" s="33">
        <v>3192016</v>
      </c>
      <c r="J50" s="33">
        <f>IFERROR((VLOOKUP(A50,AtskaiteStatusuTabula!B:AI,10,0)),0)</f>
        <v>85684810.450000003</v>
      </c>
      <c r="K50" s="29">
        <f t="shared" si="12"/>
        <v>0.91780925200474583</v>
      </c>
      <c r="L50" s="29">
        <f t="shared" si="70"/>
        <v>0</v>
      </c>
      <c r="M50" s="29">
        <f t="shared" si="19"/>
        <v>0</v>
      </c>
      <c r="N50" s="33">
        <f>IFERROR((VLOOKUP(A50,AtskaiteStatusuTabula!B:AI,17,0)),0)</f>
        <v>128</v>
      </c>
      <c r="O50" s="33">
        <v>85684810.450000003</v>
      </c>
      <c r="P50" s="29">
        <v>0.91780925200474583</v>
      </c>
      <c r="Q50" s="33">
        <f>IFERROR((VLOOKUP(A50,AtskaiteStatusuTabula!B:AI,18,0)),0)</f>
        <v>85684810.450000003</v>
      </c>
      <c r="R50" s="29">
        <f t="shared" si="71"/>
        <v>0.91780925200474583</v>
      </c>
      <c r="S50" s="29">
        <f t="shared" si="72"/>
        <v>0</v>
      </c>
      <c r="T50" s="29">
        <f t="shared" si="16"/>
        <v>0</v>
      </c>
      <c r="U50" s="33">
        <f>IFERROR((VLOOKUP(A50,AtskaiteStatusuTabula!B:AI,23,0)),0)</f>
        <v>128</v>
      </c>
      <c r="V50" s="33">
        <v>85684810.450000003</v>
      </c>
      <c r="W50" s="29">
        <v>0.91780925200474583</v>
      </c>
      <c r="X50" s="33">
        <f>IFERROR((VLOOKUP(A50,AtskaiteStatusuTabula!B:AI,24,0)),0)</f>
        <v>85684810.450000003</v>
      </c>
      <c r="Y50" s="29">
        <f t="shared" si="73"/>
        <v>0.91780925200474583</v>
      </c>
      <c r="Z50" s="29">
        <f t="shared" si="3"/>
        <v>0</v>
      </c>
      <c r="AA50" s="29">
        <f t="shared" si="18"/>
        <v>0</v>
      </c>
      <c r="AB50" s="33">
        <f>IFERROR((VLOOKUP(A50,AtskaiteStatusuTabula!B:AI,30,0)),0)</f>
        <v>128</v>
      </c>
      <c r="AC50" s="33">
        <v>85684810.450000003</v>
      </c>
      <c r="AD50" s="29">
        <v>0.91780925200474583</v>
      </c>
      <c r="AE50" s="33">
        <f>IFERROR((VLOOKUP(A50,AtskaiteStatusuTabula!B:AI,31,0)),0)</f>
        <v>84999074.909999996</v>
      </c>
      <c r="AF50" s="29">
        <f t="shared" si="22"/>
        <v>0.91046402453986464</v>
      </c>
      <c r="AG50" s="29">
        <f t="shared" ref="AG50:AG87" si="74">AF50-AJ50</f>
        <v>-7.5791063671726278E-6</v>
      </c>
      <c r="AH50" s="29">
        <f t="shared" si="4"/>
        <v>-8.3243742438309886E-6</v>
      </c>
      <c r="AI50" s="33">
        <v>84999782.480000004</v>
      </c>
      <c r="AJ50" s="29">
        <v>0.91047160364623181</v>
      </c>
      <c r="AL50" s="55">
        <f t="shared" si="23"/>
        <v>0</v>
      </c>
    </row>
    <row r="51" spans="1:38" ht="37.5" x14ac:dyDescent="0.3">
      <c r="A51" s="18" t="s">
        <v>267</v>
      </c>
      <c r="B51" s="10" t="str">
        <f>VLOOKUP(A51,saīsinājumi_LV_ENG!A:G,5,FALSE)</f>
        <v>Pašvaldību ēku energoefektivitāte</v>
      </c>
      <c r="C51" s="322"/>
      <c r="D51" s="38" t="s">
        <v>344</v>
      </c>
      <c r="E51" s="38" t="s">
        <v>350</v>
      </c>
      <c r="F51" s="33">
        <v>49111495</v>
      </c>
      <c r="G51" s="33">
        <v>4842669</v>
      </c>
      <c r="H51" s="33">
        <f t="shared" si="69"/>
        <v>53954164</v>
      </c>
      <c r="I51" s="33">
        <v>1914863.8170615549</v>
      </c>
      <c r="J51" s="445">
        <f>IFERROR((VLOOKUP(A51,AtskaiteStatusuTabula!B:AI,10,0)),0)-J161</f>
        <v>50395829.879999995</v>
      </c>
      <c r="K51" s="29">
        <f t="shared" si="12"/>
        <v>1.0261514107847867</v>
      </c>
      <c r="L51" s="29">
        <f t="shared" si="70"/>
        <v>0</v>
      </c>
      <c r="M51" s="29">
        <f t="shared" si="19"/>
        <v>0</v>
      </c>
      <c r="N51" s="445">
        <f>IFERROR((VLOOKUP(A51,AtskaiteStatusuTabula!B:AI,17,0)),0)-N161</f>
        <v>157</v>
      </c>
      <c r="O51" s="445">
        <v>50395829.879999995</v>
      </c>
      <c r="P51" s="446">
        <v>1.0261514107847867</v>
      </c>
      <c r="Q51" s="445">
        <f>IFERROR((VLOOKUP(A51,AtskaiteStatusuTabula!B:AI,18,0)),0)-Q161</f>
        <v>50395829.879999995</v>
      </c>
      <c r="R51" s="29">
        <f t="shared" si="71"/>
        <v>1.0261514107847867</v>
      </c>
      <c r="S51" s="29">
        <f t="shared" si="72"/>
        <v>0</v>
      </c>
      <c r="T51" s="29">
        <f t="shared" si="16"/>
        <v>0</v>
      </c>
      <c r="U51" s="445">
        <f>IFERROR((VLOOKUP(A51,AtskaiteStatusuTabula!B:AI,23,0)),0)-U161</f>
        <v>157</v>
      </c>
      <c r="V51" s="445">
        <v>50395829.879999995</v>
      </c>
      <c r="W51" s="446">
        <v>1.0261514107847867</v>
      </c>
      <c r="X51" s="445">
        <f>IFERROR((VLOOKUP(A51,AtskaiteStatusuTabula!B:AI,24,0)),0)-X161</f>
        <v>50395829.879999995</v>
      </c>
      <c r="Y51" s="29">
        <f t="shared" si="73"/>
        <v>1.0261514107847867</v>
      </c>
      <c r="Z51" s="29">
        <f t="shared" si="3"/>
        <v>0</v>
      </c>
      <c r="AA51" s="29">
        <f t="shared" si="18"/>
        <v>0</v>
      </c>
      <c r="AB51" s="445">
        <f>IFERROR((VLOOKUP(A51,AtskaiteStatusuTabula!B:AI,30,0)),0)-AB161</f>
        <v>157</v>
      </c>
      <c r="AC51" s="445">
        <v>50395829.879999995</v>
      </c>
      <c r="AD51" s="446">
        <v>1.0261514107847867</v>
      </c>
      <c r="AE51" s="445">
        <f>IFERROR((VLOOKUP(A51,AtskaiteStatusuTabula!B:AI,31,0)),0)-AE161</f>
        <v>50306637.239999995</v>
      </c>
      <c r="AF51" s="29">
        <f t="shared" si="22"/>
        <v>1.0243352852524648</v>
      </c>
      <c r="AG51" s="29">
        <f>AF51-AJ51</f>
        <v>0</v>
      </c>
      <c r="AH51" s="29">
        <f t="shared" si="4"/>
        <v>0</v>
      </c>
      <c r="AI51" s="33">
        <v>50306637.239999995</v>
      </c>
      <c r="AJ51" s="29">
        <v>1.0243352852524648</v>
      </c>
      <c r="AL51" s="55">
        <f t="shared" si="23"/>
        <v>0</v>
      </c>
    </row>
    <row r="52" spans="1:38" ht="56.25" x14ac:dyDescent="0.3">
      <c r="A52" s="18" t="s">
        <v>268</v>
      </c>
      <c r="B52" s="10" t="str">
        <f>VLOOKUP(A52,saīsinājumi_LV_ENG!A:G,5,FALSE)</f>
        <v xml:space="preserve"> Centralizētās siltumapgādes energoefektivitāte</v>
      </c>
      <c r="C52" s="9"/>
      <c r="D52" s="38" t="s">
        <v>345</v>
      </c>
      <c r="E52" s="38" t="s">
        <v>349</v>
      </c>
      <c r="F52" s="33">
        <v>55030511</v>
      </c>
      <c r="G52" s="33">
        <v>56550000</v>
      </c>
      <c r="H52" s="33">
        <f t="shared" si="69"/>
        <v>111580511</v>
      </c>
      <c r="I52" s="33">
        <v>3290568</v>
      </c>
      <c r="J52" s="33">
        <f>IFERROR((VLOOKUP(A52,AtskaiteStatusuTabula!B:AI,10,0)),0)</f>
        <v>70161229.680000007</v>
      </c>
      <c r="K52" s="29">
        <f t="shared" si="12"/>
        <v>1.274951447934038</v>
      </c>
      <c r="L52" s="29">
        <f t="shared" si="70"/>
        <v>0</v>
      </c>
      <c r="M52" s="29">
        <f t="shared" si="19"/>
        <v>0</v>
      </c>
      <c r="N52" s="33">
        <f>IFERROR((VLOOKUP(A52,AtskaiteStatusuTabula!B:AI,17,0)),0)</f>
        <v>125</v>
      </c>
      <c r="O52" s="33">
        <v>70161229.680000007</v>
      </c>
      <c r="P52" s="29">
        <v>1.274951447934038</v>
      </c>
      <c r="Q52" s="33">
        <f>IFERROR((VLOOKUP(A52,AtskaiteStatusuTabula!B:AI,18,0)),0)</f>
        <v>70161229.680000007</v>
      </c>
      <c r="R52" s="29">
        <f t="shared" si="71"/>
        <v>1.274951447934038</v>
      </c>
      <c r="S52" s="29">
        <f t="shared" si="72"/>
        <v>0</v>
      </c>
      <c r="T52" s="29">
        <f t="shared" si="16"/>
        <v>0</v>
      </c>
      <c r="U52" s="33">
        <f>IFERROR((VLOOKUP(A52,AtskaiteStatusuTabula!B:AI,23,0)),0)</f>
        <v>125</v>
      </c>
      <c r="V52" s="33">
        <v>70161229.680000007</v>
      </c>
      <c r="W52" s="29">
        <v>1.274951447934038</v>
      </c>
      <c r="X52" s="33">
        <f>IFERROR((VLOOKUP(A52,AtskaiteStatusuTabula!B:AI,24,0)),0)</f>
        <v>70161229.680000007</v>
      </c>
      <c r="Y52" s="29">
        <f t="shared" si="73"/>
        <v>1.274951447934038</v>
      </c>
      <c r="Z52" s="29">
        <f t="shared" si="3"/>
        <v>0</v>
      </c>
      <c r="AA52" s="29">
        <f t="shared" si="18"/>
        <v>0</v>
      </c>
      <c r="AB52" s="33">
        <f>IFERROR((VLOOKUP(A52,AtskaiteStatusuTabula!B:AI,30,0)),0)</f>
        <v>125</v>
      </c>
      <c r="AC52" s="33">
        <v>70161229.680000007</v>
      </c>
      <c r="AD52" s="29">
        <v>1.274951447934038</v>
      </c>
      <c r="AE52" s="33">
        <f>IFERROR((VLOOKUP(A52,AtskaiteStatusuTabula!B:AI,31,0)),0)</f>
        <v>71806974.129999995</v>
      </c>
      <c r="AF52" s="29">
        <f t="shared" si="22"/>
        <v>1.3048574840600697</v>
      </c>
      <c r="AG52" s="29">
        <f t="shared" si="74"/>
        <v>-4.590180890742257E-4</v>
      </c>
      <c r="AH52" s="29">
        <f t="shared" si="4"/>
        <v>-3.5165271282367675E-4</v>
      </c>
      <c r="AI52" s="33">
        <v>71832234.129999995</v>
      </c>
      <c r="AJ52" s="29">
        <v>1.305316502149144</v>
      </c>
      <c r="AL52" s="55">
        <f t="shared" si="23"/>
        <v>0</v>
      </c>
    </row>
    <row r="53" spans="1:38" ht="37.5" x14ac:dyDescent="0.3">
      <c r="A53" s="18" t="s">
        <v>269</v>
      </c>
      <c r="B53" s="10" t="str">
        <f>VLOOKUP(A53,saīsinājumi_LV_ENG!A:G,5,FALSE)</f>
        <v>Elektro transportlīdzekļu infrastruktūra</v>
      </c>
      <c r="C53" s="298"/>
      <c r="D53" s="38" t="s">
        <v>344</v>
      </c>
      <c r="E53" s="38" t="s">
        <v>347</v>
      </c>
      <c r="F53" s="33">
        <v>6631445</v>
      </c>
      <c r="G53" s="33">
        <v>0</v>
      </c>
      <c r="H53" s="33">
        <f t="shared" si="69"/>
        <v>6631445</v>
      </c>
      <c r="I53" s="33">
        <v>432614.80372968898</v>
      </c>
      <c r="J53" s="33">
        <f>IFERROR((VLOOKUP(A53,AtskaiteStatusuTabula!B:AI,10,0)),0)</f>
        <v>6406845.4299999997</v>
      </c>
      <c r="K53" s="29">
        <f t="shared" si="12"/>
        <v>0.96613112677553681</v>
      </c>
      <c r="L53" s="29">
        <f t="shared" si="70"/>
        <v>0</v>
      </c>
      <c r="M53" s="29">
        <f t="shared" si="19"/>
        <v>0</v>
      </c>
      <c r="N53" s="33">
        <f>IFERROR((VLOOKUP(A53,AtskaiteStatusuTabula!B:AI,17,0)),0)</f>
        <v>1</v>
      </c>
      <c r="O53" s="33">
        <v>6406845.4299999997</v>
      </c>
      <c r="P53" s="29">
        <v>0.96613112677553681</v>
      </c>
      <c r="Q53" s="33">
        <f>IFERROR((VLOOKUP(A53,AtskaiteStatusuTabula!B:AI,18,0)),0)</f>
        <v>6406845.4299999997</v>
      </c>
      <c r="R53" s="29">
        <f t="shared" si="71"/>
        <v>0.96613112677553681</v>
      </c>
      <c r="S53" s="29">
        <f t="shared" si="72"/>
        <v>0</v>
      </c>
      <c r="T53" s="29">
        <f t="shared" si="16"/>
        <v>0</v>
      </c>
      <c r="U53" s="33">
        <f>IFERROR((VLOOKUP(A53,AtskaiteStatusuTabula!B:AI,23,0)),0)</f>
        <v>1</v>
      </c>
      <c r="V53" s="33">
        <v>6406845.4299999997</v>
      </c>
      <c r="W53" s="29">
        <v>0.96613112677553681</v>
      </c>
      <c r="X53" s="33">
        <f>IFERROR((VLOOKUP(A53,AtskaiteStatusuTabula!B:AI,24,0)),0)</f>
        <v>6406845.4299999997</v>
      </c>
      <c r="Y53" s="29">
        <f t="shared" si="73"/>
        <v>0.96613112677553681</v>
      </c>
      <c r="Z53" s="29">
        <f t="shared" si="3"/>
        <v>0</v>
      </c>
      <c r="AA53" s="29">
        <f t="shared" si="18"/>
        <v>0</v>
      </c>
      <c r="AB53" s="33">
        <f>IFERROR((VLOOKUP(A53,AtskaiteStatusuTabula!B:AI,30,0)),0)</f>
        <v>1</v>
      </c>
      <c r="AC53" s="33">
        <v>6406845.4299999997</v>
      </c>
      <c r="AD53" s="29">
        <v>0.96613112677553681</v>
      </c>
      <c r="AE53" s="33">
        <f>IFERROR((VLOOKUP(A53,AtskaiteStatusuTabula!B:AI,31,0)),0)</f>
        <v>6406845.4299999997</v>
      </c>
      <c r="AF53" s="29">
        <f t="shared" si="22"/>
        <v>0.96613112677553681</v>
      </c>
      <c r="AG53" s="29">
        <f t="shared" si="74"/>
        <v>0</v>
      </c>
      <c r="AH53" s="29">
        <f t="shared" si="4"/>
        <v>0</v>
      </c>
      <c r="AI53" s="33">
        <v>6406845.4299999997</v>
      </c>
      <c r="AJ53" s="29">
        <v>0.96613112677553681</v>
      </c>
      <c r="AL53" s="55">
        <f t="shared" si="23"/>
        <v>0</v>
      </c>
    </row>
    <row r="54" spans="1:38" ht="37.5" x14ac:dyDescent="0.3">
      <c r="A54" s="18" t="s">
        <v>270</v>
      </c>
      <c r="B54" s="10" t="str">
        <f>VLOOKUP(A54,saīsinājumi_LV_ENG!A:G,5,FALSE)</f>
        <v>Tramvaji un elektrovilcieni</v>
      </c>
      <c r="C54" s="441"/>
      <c r="D54" s="42" t="s">
        <v>345</v>
      </c>
      <c r="E54" s="38" t="s">
        <v>347</v>
      </c>
      <c r="F54" s="33">
        <v>235002439</v>
      </c>
      <c r="G54" s="33">
        <v>0</v>
      </c>
      <c r="H54" s="33">
        <f t="shared" si="69"/>
        <v>235002439</v>
      </c>
      <c r="I54" s="33">
        <v>5939202.99873742</v>
      </c>
      <c r="J54" s="33">
        <f>IFERROR((VLOOKUP(A54,AtskaiteStatusuTabula!B:AI,10,0)),0)</f>
        <v>225530348.43000001</v>
      </c>
      <c r="K54" s="29">
        <f t="shared" si="12"/>
        <v>0.95969364994548001</v>
      </c>
      <c r="L54" s="29">
        <f t="shared" si="70"/>
        <v>0</v>
      </c>
      <c r="M54" s="29">
        <f t="shared" si="19"/>
        <v>0</v>
      </c>
      <c r="N54" s="33">
        <f>IFERROR((VLOOKUP(A54,AtskaiteStatusuTabula!B:AI,17,0)),0)</f>
        <v>8</v>
      </c>
      <c r="O54" s="146">
        <v>225530348.43000001</v>
      </c>
      <c r="P54" s="435">
        <v>0.95969364994548001</v>
      </c>
      <c r="Q54" s="33">
        <f>IFERROR((VLOOKUP(A54,AtskaiteStatusuTabula!B:AI,18,0)),0)</f>
        <v>225530348.43000001</v>
      </c>
      <c r="R54" s="29">
        <f t="shared" si="71"/>
        <v>0.95969364994548001</v>
      </c>
      <c r="S54" s="29">
        <f t="shared" si="72"/>
        <v>0</v>
      </c>
      <c r="T54" s="29">
        <f t="shared" si="16"/>
        <v>0</v>
      </c>
      <c r="U54" s="33">
        <f>IFERROR((VLOOKUP(A54,AtskaiteStatusuTabula!B:AI,23,0)),0)</f>
        <v>8</v>
      </c>
      <c r="V54" s="146">
        <v>225530348.43000001</v>
      </c>
      <c r="W54" s="435">
        <v>0.95969364994548001</v>
      </c>
      <c r="X54" s="33">
        <f>IFERROR((VLOOKUP(A54,AtskaiteStatusuTabula!B:AI,24,0)),0)</f>
        <v>225530348.43000001</v>
      </c>
      <c r="Y54" s="29">
        <f t="shared" si="73"/>
        <v>0.95969364994548001</v>
      </c>
      <c r="Z54" s="29">
        <f t="shared" si="3"/>
        <v>0</v>
      </c>
      <c r="AA54" s="29">
        <f t="shared" si="18"/>
        <v>0</v>
      </c>
      <c r="AB54" s="33">
        <f>IFERROR((VLOOKUP(A54,AtskaiteStatusuTabula!B:AI,30,0)),0)</f>
        <v>8</v>
      </c>
      <c r="AC54" s="146">
        <v>225530348.43000001</v>
      </c>
      <c r="AD54" s="435">
        <v>0.95969364994548001</v>
      </c>
      <c r="AE54" s="33">
        <f>IFERROR((VLOOKUP(A54,AtskaiteStatusuTabula!B:AI,31,0)),0)</f>
        <v>225458222.72</v>
      </c>
      <c r="AF54" s="29">
        <f t="shared" si="22"/>
        <v>0.9593867352159694</v>
      </c>
      <c r="AG54" s="29">
        <f t="shared" si="74"/>
        <v>0</v>
      </c>
      <c r="AH54" s="29">
        <f t="shared" si="4"/>
        <v>0</v>
      </c>
      <c r="AI54" s="33">
        <v>225458222.72</v>
      </c>
      <c r="AJ54" s="29">
        <v>0.9593867352159694</v>
      </c>
      <c r="AL54" s="55">
        <f t="shared" si="23"/>
        <v>0</v>
      </c>
    </row>
    <row r="55" spans="1:38" x14ac:dyDescent="0.3">
      <c r="A55" s="18" t="s">
        <v>271</v>
      </c>
      <c r="B55" s="10" t="str">
        <f>VLOOKUP(A55,saīsinājumi_LV_ENG!A:G,5,FALSE)</f>
        <v>Videi draudzīgi autobusi</v>
      </c>
      <c r="C55" s="9"/>
      <c r="D55" s="38" t="s">
        <v>345</v>
      </c>
      <c r="E55" s="38" t="s">
        <v>347</v>
      </c>
      <c r="F55" s="33">
        <v>44903019</v>
      </c>
      <c r="G55" s="33">
        <v>0</v>
      </c>
      <c r="H55" s="33">
        <f t="shared" si="69"/>
        <v>44903019</v>
      </c>
      <c r="I55" s="33">
        <v>774371.10458438203</v>
      </c>
      <c r="J55" s="33">
        <f>IFERROR((VLOOKUP(A55,AtskaiteStatusuTabula!B:AI,10,0)),0)</f>
        <v>39892249.329999998</v>
      </c>
      <c r="K55" s="29">
        <f t="shared" si="12"/>
        <v>0.88840906955498911</v>
      </c>
      <c r="L55" s="29">
        <f t="shared" si="70"/>
        <v>0</v>
      </c>
      <c r="M55" s="29">
        <f t="shared" si="19"/>
        <v>0</v>
      </c>
      <c r="N55" s="33">
        <f>IFERROR((VLOOKUP(A55,AtskaiteStatusuTabula!B:AI,17,0)),0)</f>
        <v>14</v>
      </c>
      <c r="O55" s="33">
        <v>39892249.329999998</v>
      </c>
      <c r="P55" s="29">
        <v>0.88840906955498911</v>
      </c>
      <c r="Q55" s="33">
        <f>IFERROR((VLOOKUP(A55,AtskaiteStatusuTabula!B:AI,18,0)),0)</f>
        <v>39892249.329999998</v>
      </c>
      <c r="R55" s="29">
        <f t="shared" si="71"/>
        <v>0.88840906955498911</v>
      </c>
      <c r="S55" s="29">
        <f t="shared" si="72"/>
        <v>0</v>
      </c>
      <c r="T55" s="29">
        <f t="shared" si="16"/>
        <v>0</v>
      </c>
      <c r="U55" s="33">
        <f>IFERROR((VLOOKUP(A55,AtskaiteStatusuTabula!B:AI,23,0)),0)</f>
        <v>14</v>
      </c>
      <c r="V55" s="33">
        <v>39892249.329999998</v>
      </c>
      <c r="W55" s="29">
        <v>0.88840906955498911</v>
      </c>
      <c r="X55" s="33">
        <f>IFERROR((VLOOKUP(A55,AtskaiteStatusuTabula!B:AI,24,0)),0)</f>
        <v>39892249.329999998</v>
      </c>
      <c r="Y55" s="29">
        <f t="shared" si="73"/>
        <v>0.88840906955498911</v>
      </c>
      <c r="Z55" s="29">
        <f t="shared" si="3"/>
        <v>0</v>
      </c>
      <c r="AA55" s="29">
        <f t="shared" si="18"/>
        <v>0</v>
      </c>
      <c r="AB55" s="33">
        <f>IFERROR((VLOOKUP(A55,AtskaiteStatusuTabula!B:AI,30,0)),0)</f>
        <v>14</v>
      </c>
      <c r="AC55" s="33">
        <v>39892249.329999998</v>
      </c>
      <c r="AD55" s="29">
        <v>0.88840906955498911</v>
      </c>
      <c r="AE55" s="33">
        <f>IFERROR((VLOOKUP(A55,AtskaiteStatusuTabula!B:AI,31,0)),0)</f>
        <v>39892249.329999998</v>
      </c>
      <c r="AF55" s="29">
        <f t="shared" si="22"/>
        <v>0.88840906955498911</v>
      </c>
      <c r="AG55" s="29">
        <f t="shared" si="74"/>
        <v>0</v>
      </c>
      <c r="AH55" s="29">
        <f t="shared" si="4"/>
        <v>0</v>
      </c>
      <c r="AI55" s="33">
        <v>39892249.329999998</v>
      </c>
      <c r="AJ55" s="29">
        <v>0.88840906955498911</v>
      </c>
      <c r="AL55" s="55">
        <f t="shared" si="23"/>
        <v>0</v>
      </c>
    </row>
    <row r="56" spans="1:38" ht="37.5" x14ac:dyDescent="0.3">
      <c r="A56" s="19" t="s">
        <v>51</v>
      </c>
      <c r="B56" s="8" t="str">
        <f>VLOOKUP(A56,saīsinājumi_LV_ENG!A:G,5,FALSE)</f>
        <v>Vide un teritoriālā attīstība</v>
      </c>
      <c r="C56" s="8"/>
      <c r="D56" s="40"/>
      <c r="E56" s="40"/>
      <c r="F56" s="35">
        <f>SUM(F57:F71)</f>
        <v>581390235</v>
      </c>
      <c r="G56" s="35">
        <f>SUM(G57:G71)</f>
        <v>78662967</v>
      </c>
      <c r="H56" s="35">
        <f>SUM(H57:H71)</f>
        <v>660053202</v>
      </c>
      <c r="I56" s="35">
        <f>SUM(I57:I71)</f>
        <v>21646184.946061909</v>
      </c>
      <c r="J56" s="35">
        <f>SUM(J57:J71)</f>
        <v>622630364.61000001</v>
      </c>
      <c r="K56" s="31">
        <f>J56/F56</f>
        <v>1.0709336468473709</v>
      </c>
      <c r="L56" s="31">
        <f t="shared" si="70"/>
        <v>-5.3642373267615007E-4</v>
      </c>
      <c r="M56" s="31">
        <f t="shared" si="19"/>
        <v>-5.0064275933124646E-4</v>
      </c>
      <c r="N56" s="35">
        <f>SUM(N57:N71)</f>
        <v>273</v>
      </c>
      <c r="O56" s="35">
        <v>622942236.13000011</v>
      </c>
      <c r="P56" s="31">
        <v>1.0714700705800471</v>
      </c>
      <c r="Q56" s="35">
        <f>SUM(Q57:Q71)</f>
        <v>622630364.61000001</v>
      </c>
      <c r="R56" s="31">
        <f t="shared" si="71"/>
        <v>1.0709336468473709</v>
      </c>
      <c r="S56" s="31">
        <f t="shared" si="72"/>
        <v>-5.3642373267615007E-4</v>
      </c>
      <c r="T56" s="31">
        <f t="shared" si="16"/>
        <v>-5.0064275933124646E-4</v>
      </c>
      <c r="U56" s="35">
        <f>SUM(U57:U71)</f>
        <v>273</v>
      </c>
      <c r="V56" s="35">
        <v>622942236.13000011</v>
      </c>
      <c r="W56" s="31">
        <v>1.0714700705800471</v>
      </c>
      <c r="X56" s="35">
        <f>SUM(X57:X71)</f>
        <v>622630364.61000001</v>
      </c>
      <c r="Y56" s="31">
        <f t="shared" si="73"/>
        <v>1.0709336468473709</v>
      </c>
      <c r="Z56" s="31">
        <f t="shared" si="3"/>
        <v>-5.3642373267615007E-4</v>
      </c>
      <c r="AA56" s="31">
        <f t="shared" si="18"/>
        <v>-5.0064275933124646E-4</v>
      </c>
      <c r="AB56" s="35">
        <f>SUM(AB57:AB71)</f>
        <v>273</v>
      </c>
      <c r="AC56" s="35">
        <v>622942236.13000011</v>
      </c>
      <c r="AD56" s="31">
        <v>1.0714700705800471</v>
      </c>
      <c r="AE56" s="35">
        <f>SUM(AE57:AE71)</f>
        <v>619092896.13999999</v>
      </c>
      <c r="AF56" s="31">
        <f t="shared" si="22"/>
        <v>1.0648491475609321</v>
      </c>
      <c r="AG56" s="31">
        <f t="shared" si="74"/>
        <v>-3.1220699811207453E-5</v>
      </c>
      <c r="AH56" s="31">
        <f t="shared" si="4"/>
        <v>-2.9318504445876332E-5</v>
      </c>
      <c r="AI56" s="35">
        <v>619111047.55000007</v>
      </c>
      <c r="AJ56" s="31">
        <v>1.0648803682607433</v>
      </c>
      <c r="AL56" s="55">
        <f t="shared" si="23"/>
        <v>0</v>
      </c>
    </row>
    <row r="57" spans="1:38" ht="37.5" x14ac:dyDescent="0.3">
      <c r="A57" s="92" t="s">
        <v>273</v>
      </c>
      <c r="B57" s="10" t="str">
        <f>VLOOKUP(A57,saīsinājumi_LV_ENG!A:G,5,FALSE)</f>
        <v>Plūdu risku samazināšana blīvi apdzīvotās teritorijās</v>
      </c>
      <c r="C57" s="9"/>
      <c r="D57" s="38" t="s">
        <v>345</v>
      </c>
      <c r="E57" s="38" t="s">
        <v>350</v>
      </c>
      <c r="F57" s="33">
        <v>0</v>
      </c>
      <c r="G57" s="33">
        <v>24299268</v>
      </c>
      <c r="H57" s="33">
        <f t="shared" ref="H57:H69" si="75">F57+G57</f>
        <v>24299268</v>
      </c>
      <c r="I57" s="96">
        <v>2679997</v>
      </c>
      <c r="J57" s="33">
        <f>IFERROR((VLOOKUP(A57,AtskaiteStatusuTabula!B:AI,10,0)),0)</f>
        <v>22886986.370000001</v>
      </c>
      <c r="K57" s="29">
        <f>IFERROR(J57/F57,0)</f>
        <v>0</v>
      </c>
      <c r="L57" s="29">
        <f t="shared" si="70"/>
        <v>0</v>
      </c>
      <c r="M57" s="29">
        <f t="shared" si="19"/>
        <v>0</v>
      </c>
      <c r="N57" s="33">
        <f>IFERROR((VLOOKUP(A57,AtskaiteStatusuTabula!B:AI,17,0)),0)</f>
        <v>10</v>
      </c>
      <c r="O57" s="33">
        <v>22886986.370000001</v>
      </c>
      <c r="P57" s="29">
        <v>0</v>
      </c>
      <c r="Q57" s="33">
        <f>IFERROR((VLOOKUP(A57,AtskaiteStatusuTabula!B:AI,18,0)),0)</f>
        <v>22886986.370000001</v>
      </c>
      <c r="R57" s="29">
        <f>IFERROR(Q57/F57,0)</f>
        <v>0</v>
      </c>
      <c r="S57" s="29">
        <f t="shared" si="72"/>
        <v>0</v>
      </c>
      <c r="T57" s="29">
        <f t="shared" si="16"/>
        <v>0</v>
      </c>
      <c r="U57" s="33">
        <f>IFERROR((VLOOKUP(A57,AtskaiteStatusuTabula!B:AI,23,0)),0)</f>
        <v>10</v>
      </c>
      <c r="V57" s="33">
        <v>22886986.370000001</v>
      </c>
      <c r="W57" s="29">
        <v>0</v>
      </c>
      <c r="X57" s="33">
        <f>IFERROR((VLOOKUP(A57,AtskaiteStatusuTabula!B:AI,24,0)),0)</f>
        <v>22886986.370000001</v>
      </c>
      <c r="Y57" s="29">
        <f>IFERROR(X57/F57,0)</f>
        <v>0</v>
      </c>
      <c r="Z57" s="29">
        <f>IFERROR(Y57-AD57,0)</f>
        <v>0</v>
      </c>
      <c r="AA57" s="29">
        <f t="shared" si="18"/>
        <v>0</v>
      </c>
      <c r="AB57" s="33">
        <f>IFERROR((VLOOKUP(A57,AtskaiteStatusuTabula!B:AI,30,0)),0)</f>
        <v>10</v>
      </c>
      <c r="AC57" s="33">
        <v>22886986.370000001</v>
      </c>
      <c r="AD57" s="29">
        <v>0</v>
      </c>
      <c r="AE57" s="33">
        <f>IFERROR((VLOOKUP(A57,AtskaiteStatusuTabula!B:AI,31,0)),0)</f>
        <v>22876285.149999999</v>
      </c>
      <c r="AF57" s="29">
        <f t="shared" si="22"/>
        <v>0</v>
      </c>
      <c r="AG57" s="29">
        <f t="shared" si="74"/>
        <v>0</v>
      </c>
      <c r="AH57" s="29">
        <f t="shared" si="4"/>
        <v>0</v>
      </c>
      <c r="AI57" s="33">
        <v>22876285.149999999</v>
      </c>
      <c r="AJ57" s="29">
        <v>0</v>
      </c>
      <c r="AL57" s="55">
        <f t="shared" si="23"/>
        <v>0</v>
      </c>
    </row>
    <row r="58" spans="1:38" ht="37.5" x14ac:dyDescent="0.3">
      <c r="A58" s="92" t="s">
        <v>274</v>
      </c>
      <c r="B58" s="10" t="str">
        <f>VLOOKUP(A58,saīsinājumi_LV_ENG!A:G,5,FALSE)</f>
        <v>Plūdu risku samazināšana lauku teritorijās</v>
      </c>
      <c r="C58" s="9"/>
      <c r="D58" s="38" t="s">
        <v>345</v>
      </c>
      <c r="E58" s="38" t="s">
        <v>400</v>
      </c>
      <c r="F58" s="33">
        <v>0</v>
      </c>
      <c r="G58" s="33">
        <v>36881516</v>
      </c>
      <c r="H58" s="33">
        <f t="shared" si="75"/>
        <v>36881516</v>
      </c>
      <c r="I58" s="96">
        <v>2249596.9460619101</v>
      </c>
      <c r="J58" s="33">
        <f>IFERROR((VLOOKUP(A58,AtskaiteStatusuTabula!B:AI,10,0)),0)</f>
        <v>36460624.560000002</v>
      </c>
      <c r="K58" s="29">
        <f>IFERROR(J58/F58,0)</f>
        <v>0</v>
      </c>
      <c r="L58" s="29">
        <f t="shared" si="70"/>
        <v>0</v>
      </c>
      <c r="M58" s="29">
        <f t="shared" si="19"/>
        <v>0</v>
      </c>
      <c r="N58" s="33">
        <f>IFERROR((VLOOKUP(A58,AtskaiteStatusuTabula!B:AI,17,0)),0)</f>
        <v>32</v>
      </c>
      <c r="O58" s="33">
        <v>36460624.560000002</v>
      </c>
      <c r="P58" s="29">
        <v>0</v>
      </c>
      <c r="Q58" s="33">
        <f>IFERROR((VLOOKUP(A58,AtskaiteStatusuTabula!B:AI,18,0)),0)</f>
        <v>36460624.560000002</v>
      </c>
      <c r="R58" s="29">
        <f>IFERROR(Q58/F58,0)</f>
        <v>0</v>
      </c>
      <c r="S58" s="29">
        <f t="shared" si="72"/>
        <v>0</v>
      </c>
      <c r="T58" s="29">
        <f t="shared" si="16"/>
        <v>0</v>
      </c>
      <c r="U58" s="33">
        <f>IFERROR((VLOOKUP(A58,AtskaiteStatusuTabula!B:AI,23,0)),0)</f>
        <v>32</v>
      </c>
      <c r="V58" s="33">
        <v>36460624.560000002</v>
      </c>
      <c r="W58" s="29">
        <v>0</v>
      </c>
      <c r="X58" s="33">
        <f>IFERROR((VLOOKUP(A58,AtskaiteStatusuTabula!B:AI,24,0)),0)</f>
        <v>36460624.560000002</v>
      </c>
      <c r="Y58" s="29">
        <f>IFERROR(X58/F58,0)</f>
        <v>0</v>
      </c>
      <c r="Z58" s="29">
        <f>IFERROR(Y58-AD58,0)</f>
        <v>0</v>
      </c>
      <c r="AA58" s="29">
        <f t="shared" si="18"/>
        <v>0</v>
      </c>
      <c r="AB58" s="33">
        <f>IFERROR((VLOOKUP(A58,AtskaiteStatusuTabula!B:AI,30,0)),0)</f>
        <v>32</v>
      </c>
      <c r="AC58" s="33">
        <v>36460624.560000002</v>
      </c>
      <c r="AD58" s="29">
        <v>0</v>
      </c>
      <c r="AE58" s="33">
        <f>IFERROR((VLOOKUP(A58,AtskaiteStatusuTabula!B:AI,31,0)),0)</f>
        <v>36460624.530000001</v>
      </c>
      <c r="AF58" s="29">
        <f t="shared" si="22"/>
        <v>0</v>
      </c>
      <c r="AG58" s="29">
        <f t="shared" si="74"/>
        <v>0</v>
      </c>
      <c r="AH58" s="29">
        <f t="shared" si="4"/>
        <v>0</v>
      </c>
      <c r="AI58" s="33">
        <v>36460624.530000001</v>
      </c>
      <c r="AJ58" s="29">
        <v>0</v>
      </c>
      <c r="AL58" s="55">
        <f t="shared" si="23"/>
        <v>0</v>
      </c>
    </row>
    <row r="59" spans="1:38" x14ac:dyDescent="0.3">
      <c r="A59" s="92" t="s">
        <v>275</v>
      </c>
      <c r="B59" s="10" t="str">
        <f>VLOOKUP(A59,saīsinājumi_LV_ENG!A:G,5,FALSE)</f>
        <v>Atkritumu dalītā vākšana</v>
      </c>
      <c r="C59" s="9"/>
      <c r="D59" s="38" t="s">
        <v>345</v>
      </c>
      <c r="E59" s="38" t="s">
        <v>350</v>
      </c>
      <c r="F59" s="96">
        <f>161891-10491</f>
        <v>151400</v>
      </c>
      <c r="G59" s="33">
        <v>0</v>
      </c>
      <c r="H59" s="33">
        <f t="shared" si="75"/>
        <v>151400</v>
      </c>
      <c r="I59" s="96">
        <v>0</v>
      </c>
      <c r="J59" s="33">
        <f>IFERROR((VLOOKUP(A59,AtskaiteStatusuTabula!B:AI,10,0)),0)</f>
        <v>151399.01999999999</v>
      </c>
      <c r="K59" s="29">
        <f t="shared" si="12"/>
        <v>0.9999935270805812</v>
      </c>
      <c r="L59" s="29">
        <f t="shared" si="70"/>
        <v>0</v>
      </c>
      <c r="M59" s="29">
        <f t="shared" si="19"/>
        <v>0</v>
      </c>
      <c r="N59" s="33">
        <f>IFERROR((VLOOKUP(A59,AtskaiteStatusuTabula!B:AI,17,0)),0)</f>
        <v>4</v>
      </c>
      <c r="O59" s="33">
        <v>151399.01999999999</v>
      </c>
      <c r="P59" s="29">
        <v>0.9999935270805812</v>
      </c>
      <c r="Q59" s="33">
        <f>IFERROR((VLOOKUP(A59,AtskaiteStatusuTabula!B:AI,18,0)),0)</f>
        <v>151399.01999999999</v>
      </c>
      <c r="R59" s="29">
        <f t="shared" si="71"/>
        <v>0.9999935270805812</v>
      </c>
      <c r="S59" s="29">
        <f t="shared" si="72"/>
        <v>0</v>
      </c>
      <c r="T59" s="29">
        <f t="shared" si="16"/>
        <v>0</v>
      </c>
      <c r="U59" s="33">
        <f>IFERROR((VLOOKUP(A59,AtskaiteStatusuTabula!B:AI,23,0)),0)</f>
        <v>4</v>
      </c>
      <c r="V59" s="33">
        <v>151399.01999999999</v>
      </c>
      <c r="W59" s="29">
        <v>0.9999935270805812</v>
      </c>
      <c r="X59" s="33">
        <f>IFERROR((VLOOKUP(A59,AtskaiteStatusuTabula!B:AI,24,0)),0)</f>
        <v>151399.01999999999</v>
      </c>
      <c r="Y59" s="29">
        <f t="shared" si="73"/>
        <v>0.9999935270805812</v>
      </c>
      <c r="Z59" s="29">
        <f t="shared" si="3"/>
        <v>0</v>
      </c>
      <c r="AA59" s="29">
        <f t="shared" si="18"/>
        <v>0</v>
      </c>
      <c r="AB59" s="33">
        <f>IFERROR((VLOOKUP(A59,AtskaiteStatusuTabula!B:AI,30,0)),0)</f>
        <v>4</v>
      </c>
      <c r="AC59" s="33">
        <v>151399.01999999999</v>
      </c>
      <c r="AD59" s="29">
        <v>0.9999935270805812</v>
      </c>
      <c r="AE59" s="33">
        <f>IFERROR((VLOOKUP(A59,AtskaiteStatusuTabula!B:AI,31,0)),0)</f>
        <v>151399.01999999999</v>
      </c>
      <c r="AF59" s="29">
        <f t="shared" si="22"/>
        <v>0.9999935270805812</v>
      </c>
      <c r="AG59" s="29">
        <f t="shared" si="74"/>
        <v>0</v>
      </c>
      <c r="AH59" s="29">
        <f t="shared" si="4"/>
        <v>0</v>
      </c>
      <c r="AI59" s="33">
        <v>151399.01999999999</v>
      </c>
      <c r="AJ59" s="29">
        <v>0.9999935270805812</v>
      </c>
      <c r="AL59" s="55">
        <f t="shared" si="23"/>
        <v>0</v>
      </c>
    </row>
    <row r="60" spans="1:38" x14ac:dyDescent="0.3">
      <c r="A60" s="92" t="s">
        <v>276</v>
      </c>
      <c r="B60" s="10" t="str">
        <f>VLOOKUP(A60,saīsinājumi_LV_ENG!A:G,5,FALSE)</f>
        <v xml:space="preserve">Atkritumu pārstrāde </v>
      </c>
      <c r="C60" s="9"/>
      <c r="D60" s="38" t="s">
        <v>345</v>
      </c>
      <c r="E60" s="38" t="s">
        <v>350</v>
      </c>
      <c r="F60" s="96">
        <v>46435671</v>
      </c>
      <c r="G60" s="33">
        <v>17482183</v>
      </c>
      <c r="H60" s="33">
        <f t="shared" si="75"/>
        <v>63917854</v>
      </c>
      <c r="I60" s="96">
        <v>0</v>
      </c>
      <c r="J60" s="33">
        <f>IFERROR((VLOOKUP(A60,AtskaiteStatusuTabula!B:AI,10,0)),0)</f>
        <v>62563116.609999999</v>
      </c>
      <c r="K60" s="29">
        <f>J60/F60</f>
        <v>1.3473072588958606</v>
      </c>
      <c r="L60" s="29">
        <f t="shared" si="70"/>
        <v>0</v>
      </c>
      <c r="M60" s="29">
        <f t="shared" si="19"/>
        <v>0</v>
      </c>
      <c r="N60" s="33">
        <f>IFERROR((VLOOKUP(A60,AtskaiteStatusuTabula!B:AI,17,0)),0)</f>
        <v>12</v>
      </c>
      <c r="O60" s="146">
        <v>62563116.609999999</v>
      </c>
      <c r="P60" s="435">
        <v>1.3473072588958606</v>
      </c>
      <c r="Q60" s="33">
        <f>IFERROR((VLOOKUP(A60,AtskaiteStatusuTabula!B:AI,18,0)),0)</f>
        <v>62563116.609999999</v>
      </c>
      <c r="R60" s="29">
        <f t="shared" si="71"/>
        <v>1.3473072588958606</v>
      </c>
      <c r="S60" s="29">
        <f t="shared" si="72"/>
        <v>0</v>
      </c>
      <c r="T60" s="29">
        <f t="shared" si="16"/>
        <v>0</v>
      </c>
      <c r="U60" s="33">
        <f>IFERROR((VLOOKUP(A60,AtskaiteStatusuTabula!B:AI,23,0)),0)</f>
        <v>12</v>
      </c>
      <c r="V60" s="146">
        <v>62563116.609999999</v>
      </c>
      <c r="W60" s="435">
        <v>1.3473072588958606</v>
      </c>
      <c r="X60" s="33">
        <f>IFERROR((VLOOKUP(A60,AtskaiteStatusuTabula!B:AI,24,0)),0)</f>
        <v>62563116.609999999</v>
      </c>
      <c r="Y60" s="29">
        <f t="shared" si="73"/>
        <v>1.3473072588958606</v>
      </c>
      <c r="Z60" s="29">
        <f t="shared" si="3"/>
        <v>0</v>
      </c>
      <c r="AA60" s="29">
        <f t="shared" si="18"/>
        <v>0</v>
      </c>
      <c r="AB60" s="33">
        <f>IFERROR((VLOOKUP(A60,AtskaiteStatusuTabula!B:AI,30,0)),0)</f>
        <v>12</v>
      </c>
      <c r="AC60" s="33">
        <v>62563116.609999999</v>
      </c>
      <c r="AD60" s="29">
        <v>1.3473072588958606</v>
      </c>
      <c r="AE60" s="33">
        <f>IFERROR((VLOOKUP(A60,AtskaiteStatusuTabula!B:AI,31,0)),0)</f>
        <v>62563116.609999999</v>
      </c>
      <c r="AF60" s="29">
        <f t="shared" si="22"/>
        <v>1.3473072588958606</v>
      </c>
      <c r="AG60" s="29">
        <f t="shared" si="74"/>
        <v>0</v>
      </c>
      <c r="AH60" s="29">
        <f t="shared" si="4"/>
        <v>0</v>
      </c>
      <c r="AI60" s="33">
        <v>62563116.609999999</v>
      </c>
      <c r="AJ60" s="29">
        <v>1.3473072588958606</v>
      </c>
      <c r="AL60" s="55">
        <f t="shared" si="23"/>
        <v>0</v>
      </c>
    </row>
    <row r="61" spans="1:38" x14ac:dyDescent="0.3">
      <c r="A61" s="92" t="s">
        <v>405</v>
      </c>
      <c r="B61" s="10" t="str">
        <f>VLOOKUP(A61,saīsinājumi_LV_ENG!A:G,5,FALSE)</f>
        <v>Atkritumu reģenerācija</v>
      </c>
      <c r="C61" s="9"/>
      <c r="D61" s="38" t="s">
        <v>345</v>
      </c>
      <c r="E61" s="38" t="s">
        <v>350</v>
      </c>
      <c r="F61" s="96">
        <v>9184249</v>
      </c>
      <c r="G61" s="33">
        <v>0</v>
      </c>
      <c r="H61" s="33">
        <f t="shared" si="75"/>
        <v>9184249</v>
      </c>
      <c r="I61" s="96">
        <v>0</v>
      </c>
      <c r="J61" s="33">
        <f>IFERROR((VLOOKUP(A61,AtskaiteStatusuTabula!B:AI,10,0)),0)</f>
        <v>9184249</v>
      </c>
      <c r="K61" s="29">
        <f>J61/F61</f>
        <v>1</v>
      </c>
      <c r="L61" s="29">
        <f>K61-P61</f>
        <v>0</v>
      </c>
      <c r="M61" s="29">
        <f>IFERROR(((J61-O61)/O61),0)</f>
        <v>0</v>
      </c>
      <c r="N61" s="33">
        <f>IFERROR((VLOOKUP(A61,AtskaiteStatusuTabula!B:AI,17,0)),0)</f>
        <v>1</v>
      </c>
      <c r="O61" s="33">
        <v>9184249</v>
      </c>
      <c r="P61" s="29">
        <v>1</v>
      </c>
      <c r="Q61" s="33">
        <f>IFERROR((VLOOKUP(A61,AtskaiteStatusuTabula!B:AI,18,0)),0)</f>
        <v>9184249</v>
      </c>
      <c r="R61" s="29">
        <f>Q61/F61</f>
        <v>1</v>
      </c>
      <c r="S61" s="29">
        <f>R61-W61</f>
        <v>0</v>
      </c>
      <c r="T61" s="29">
        <f>IFERROR(((Q61-V61)/V61),0)</f>
        <v>0</v>
      </c>
      <c r="U61" s="33">
        <f>IFERROR((VLOOKUP(A61,AtskaiteStatusuTabula!B:AI,23,0)),0)</f>
        <v>1</v>
      </c>
      <c r="V61" s="33">
        <v>9184249</v>
      </c>
      <c r="W61" s="29">
        <v>1</v>
      </c>
      <c r="X61" s="33">
        <f>IFERROR((VLOOKUP(A61,AtskaiteStatusuTabula!B:AI,24,0)),0)</f>
        <v>9184249</v>
      </c>
      <c r="Y61" s="29">
        <f>X61/F61</f>
        <v>1</v>
      </c>
      <c r="Z61" s="29">
        <f>Y61-AD61</f>
        <v>0</v>
      </c>
      <c r="AA61" s="29">
        <f>IFERROR(((X61-AC61)/AC61),0)</f>
        <v>0</v>
      </c>
      <c r="AB61" s="33">
        <f>IFERROR((VLOOKUP(A61,AtskaiteStatusuTabula!B:AI,30,0)),0)</f>
        <v>1</v>
      </c>
      <c r="AC61" s="33">
        <v>9184249</v>
      </c>
      <c r="AD61" s="29">
        <v>1</v>
      </c>
      <c r="AE61" s="33">
        <f>IFERROR((VLOOKUP(A61,AtskaiteStatusuTabula!B:AI,31,0)),0)</f>
        <v>9184249</v>
      </c>
      <c r="AF61" s="29">
        <f t="shared" si="22"/>
        <v>1</v>
      </c>
      <c r="AG61" s="29">
        <f>AF61-AJ61</f>
        <v>0</v>
      </c>
      <c r="AH61" s="29">
        <f>IFERROR(((AE61-AI61)/AI61),0)</f>
        <v>0</v>
      </c>
      <c r="AI61" s="33">
        <v>9184249</v>
      </c>
      <c r="AJ61" s="29">
        <v>1</v>
      </c>
      <c r="AL61" s="55">
        <f t="shared" si="23"/>
        <v>0</v>
      </c>
    </row>
    <row r="62" spans="1:38" x14ac:dyDescent="0.3">
      <c r="A62" s="92" t="s">
        <v>277</v>
      </c>
      <c r="B62" s="10" t="str">
        <f>VLOOKUP(A62,saīsinājumi_LV_ENG!A:G,5,FALSE)</f>
        <v>Ūdenssaimniecība</v>
      </c>
      <c r="C62" s="9"/>
      <c r="D62" s="38" t="s">
        <v>345</v>
      </c>
      <c r="E62" s="38" t="s">
        <v>350</v>
      </c>
      <c r="F62" s="96">
        <v>102562507</v>
      </c>
      <c r="G62" s="33">
        <v>0</v>
      </c>
      <c r="H62" s="33">
        <f t="shared" si="75"/>
        <v>102562507</v>
      </c>
      <c r="I62" s="33">
        <v>0</v>
      </c>
      <c r="J62" s="33">
        <f>IFERROR((VLOOKUP(A62,AtskaiteStatusuTabula!B:AI,10,0)),0)</f>
        <v>101505926.48999999</v>
      </c>
      <c r="K62" s="29">
        <f t="shared" si="12"/>
        <v>0.98969817976465801</v>
      </c>
      <c r="L62" s="29">
        <f t="shared" si="70"/>
        <v>0</v>
      </c>
      <c r="M62" s="29">
        <f t="shared" si="19"/>
        <v>0</v>
      </c>
      <c r="N62" s="33">
        <f>IFERROR((VLOOKUP(A62,AtskaiteStatusuTabula!B:AI,17,0)),0)</f>
        <v>47</v>
      </c>
      <c r="O62" s="33">
        <v>101505926.48999999</v>
      </c>
      <c r="P62" s="29">
        <v>0.98969817976465801</v>
      </c>
      <c r="Q62" s="33">
        <f>IFERROR((VLOOKUP(A62,AtskaiteStatusuTabula!B:AI,18,0)),0)</f>
        <v>101505926.48999999</v>
      </c>
      <c r="R62" s="29">
        <f t="shared" si="71"/>
        <v>0.98969817976465801</v>
      </c>
      <c r="S62" s="29">
        <f t="shared" si="72"/>
        <v>0</v>
      </c>
      <c r="T62" s="29">
        <f t="shared" si="16"/>
        <v>0</v>
      </c>
      <c r="U62" s="33">
        <f>IFERROR((VLOOKUP(A62,AtskaiteStatusuTabula!B:AI,23,0)),0)</f>
        <v>47</v>
      </c>
      <c r="V62" s="33">
        <v>101505926.48999999</v>
      </c>
      <c r="W62" s="29">
        <v>0.98969817976465801</v>
      </c>
      <c r="X62" s="33">
        <f>IFERROR((VLOOKUP(A62,AtskaiteStatusuTabula!B:AI,24,0)),0)</f>
        <v>101505926.48999999</v>
      </c>
      <c r="Y62" s="29">
        <f t="shared" si="73"/>
        <v>0.98969817976465801</v>
      </c>
      <c r="Z62" s="29">
        <f t="shared" si="3"/>
        <v>0</v>
      </c>
      <c r="AA62" s="29">
        <f t="shared" si="18"/>
        <v>0</v>
      </c>
      <c r="AB62" s="33">
        <f>IFERROR((VLOOKUP(A62,AtskaiteStatusuTabula!B:AI,30,0)),0)</f>
        <v>47</v>
      </c>
      <c r="AC62" s="33">
        <v>101505926.48999999</v>
      </c>
      <c r="AD62" s="29">
        <v>0.98969817976465801</v>
      </c>
      <c r="AE62" s="33">
        <f>IFERROR((VLOOKUP(A62,AtskaiteStatusuTabula!B:AI,31,0)),0)</f>
        <v>101207903.51000001</v>
      </c>
      <c r="AF62" s="29">
        <f t="shared" si="22"/>
        <v>0.98679241050533217</v>
      </c>
      <c r="AG62" s="29">
        <f t="shared" si="74"/>
        <v>0</v>
      </c>
      <c r="AH62" s="29">
        <f t="shared" si="4"/>
        <v>0</v>
      </c>
      <c r="AI62" s="33">
        <v>101207903.51000001</v>
      </c>
      <c r="AJ62" s="29">
        <v>0.98679241050533217</v>
      </c>
      <c r="AL62" s="55">
        <f t="shared" si="23"/>
        <v>0</v>
      </c>
    </row>
    <row r="63" spans="1:38" ht="30.75" x14ac:dyDescent="0.3">
      <c r="A63" s="18" t="s">
        <v>278</v>
      </c>
      <c r="B63" s="406" t="str">
        <f>VLOOKUP(A63,saīsinājumi_LV_ENG!A:G,5,FALSE)</f>
        <v>Infrastruktūra Natura 2000 teritorijās</v>
      </c>
      <c r="C63"/>
      <c r="D63" s="38" t="s">
        <v>344</v>
      </c>
      <c r="E63" s="38" t="s">
        <v>350</v>
      </c>
      <c r="F63" s="33">
        <f>3400000-316668-10611</f>
        <v>3072721</v>
      </c>
      <c r="G63" s="33">
        <v>0</v>
      </c>
      <c r="H63" s="33">
        <f t="shared" si="75"/>
        <v>3072721</v>
      </c>
      <c r="I63" s="33">
        <v>0</v>
      </c>
      <c r="J63" s="33">
        <f>IFERROR((VLOOKUP(A63,AtskaiteStatusuTabula!B:AI,10,0)),0)</f>
        <v>3072720.94</v>
      </c>
      <c r="K63" s="29">
        <f t="shared" si="12"/>
        <v>0.99999998047333294</v>
      </c>
      <c r="L63" s="29">
        <f t="shared" si="70"/>
        <v>0</v>
      </c>
      <c r="M63" s="29">
        <f t="shared" si="19"/>
        <v>0</v>
      </c>
      <c r="N63" s="33">
        <f>IFERROR((VLOOKUP(A63,AtskaiteStatusuTabula!B:AI,17,0)),0)</f>
        <v>13</v>
      </c>
      <c r="O63" s="33">
        <v>3072720.94</v>
      </c>
      <c r="P63" s="29">
        <v>0.99999998047333294</v>
      </c>
      <c r="Q63" s="33">
        <f>IFERROR((VLOOKUP(A63,AtskaiteStatusuTabula!B:AI,18,0)),0)</f>
        <v>3072720.94</v>
      </c>
      <c r="R63" s="29">
        <f t="shared" si="71"/>
        <v>0.99999998047333294</v>
      </c>
      <c r="S63" s="29">
        <f t="shared" si="72"/>
        <v>0</v>
      </c>
      <c r="T63" s="29">
        <f t="shared" si="16"/>
        <v>0</v>
      </c>
      <c r="U63" s="33">
        <f>IFERROR((VLOOKUP(A63,AtskaiteStatusuTabula!B:AI,23,0)),0)</f>
        <v>13</v>
      </c>
      <c r="V63" s="33">
        <v>3072720.94</v>
      </c>
      <c r="W63" s="29">
        <v>0.99999998047333294</v>
      </c>
      <c r="X63" s="33">
        <f>IFERROR((VLOOKUP(A63,AtskaiteStatusuTabula!B:AI,24,0)),0)</f>
        <v>3072720.94</v>
      </c>
      <c r="Y63" s="29">
        <f t="shared" si="73"/>
        <v>0.99999998047333294</v>
      </c>
      <c r="Z63" s="29">
        <f t="shared" si="3"/>
        <v>0</v>
      </c>
      <c r="AA63" s="29">
        <f t="shared" si="18"/>
        <v>0</v>
      </c>
      <c r="AB63" s="33">
        <f>IFERROR((VLOOKUP(A63,AtskaiteStatusuTabula!B:AI,30,0)),0)</f>
        <v>13</v>
      </c>
      <c r="AC63" s="33">
        <v>3072720.94</v>
      </c>
      <c r="AD63" s="29">
        <v>0.99999998047333294</v>
      </c>
      <c r="AE63" s="33">
        <f>IFERROR((VLOOKUP(A63,AtskaiteStatusuTabula!B:AI,31,0)),0)</f>
        <v>3072720.94</v>
      </c>
      <c r="AF63" s="29">
        <f t="shared" si="22"/>
        <v>0.99999998047333294</v>
      </c>
      <c r="AG63" s="29">
        <f t="shared" si="74"/>
        <v>0</v>
      </c>
      <c r="AH63" s="29">
        <f t="shared" si="4"/>
        <v>0</v>
      </c>
      <c r="AI63" s="33">
        <v>3072720.94</v>
      </c>
      <c r="AJ63" s="29">
        <v>0.99999998047333294</v>
      </c>
      <c r="AL63" s="55">
        <f t="shared" si="23"/>
        <v>0</v>
      </c>
    </row>
    <row r="64" spans="1:38" ht="37.5" x14ac:dyDescent="0.3">
      <c r="A64" s="18" t="s">
        <v>279</v>
      </c>
      <c r="B64" s="10" t="str">
        <f>VLOOKUP(A64,saīsinājumi_LV_ENG!A:G,5,FALSE)</f>
        <v>Biotopu un sugu kartēšana</v>
      </c>
      <c r="C64" s="9"/>
      <c r="D64" s="38" t="s">
        <v>345</v>
      </c>
      <c r="E64" s="38" t="s">
        <v>350</v>
      </c>
      <c r="F64" s="33">
        <v>8723624</v>
      </c>
      <c r="G64" s="33">
        <v>0</v>
      </c>
      <c r="H64" s="33">
        <f t="shared" si="75"/>
        <v>8723624</v>
      </c>
      <c r="I64" s="33">
        <v>0</v>
      </c>
      <c r="J64" s="33">
        <f>IFERROR((VLOOKUP(A64,AtskaiteStatusuTabula!B:AI,10,0)),0)</f>
        <v>8720098.6199999992</v>
      </c>
      <c r="K64" s="29">
        <f t="shared" si="12"/>
        <v>0.99959588125302046</v>
      </c>
      <c r="L64" s="29">
        <f t="shared" si="70"/>
        <v>0</v>
      </c>
      <c r="M64" s="29">
        <f t="shared" si="19"/>
        <v>0</v>
      </c>
      <c r="N64" s="33">
        <f>IFERROR((VLOOKUP(A64,AtskaiteStatusuTabula!B:AI,17,0)),0)</f>
        <v>1</v>
      </c>
      <c r="O64" s="33">
        <v>8720098.6199999992</v>
      </c>
      <c r="P64" s="29">
        <v>0.99959588125302046</v>
      </c>
      <c r="Q64" s="33">
        <f>IFERROR((VLOOKUP(A64,AtskaiteStatusuTabula!B:AI,18,0)),0)</f>
        <v>8720098.6199999992</v>
      </c>
      <c r="R64" s="29">
        <f t="shared" si="71"/>
        <v>0.99959588125302046</v>
      </c>
      <c r="S64" s="29">
        <f t="shared" si="72"/>
        <v>0</v>
      </c>
      <c r="T64" s="29">
        <f t="shared" si="16"/>
        <v>0</v>
      </c>
      <c r="U64" s="33">
        <f>IFERROR((VLOOKUP(A64,AtskaiteStatusuTabula!B:AI,23,0)),0)</f>
        <v>1</v>
      </c>
      <c r="V64" s="33">
        <v>8720098.6199999992</v>
      </c>
      <c r="W64" s="29">
        <v>0.99959588125302046</v>
      </c>
      <c r="X64" s="33">
        <f>IFERROR((VLOOKUP(A64,AtskaiteStatusuTabula!B:AI,24,0)),0)</f>
        <v>8720098.6199999992</v>
      </c>
      <c r="Y64" s="29">
        <f t="shared" si="73"/>
        <v>0.99959588125302046</v>
      </c>
      <c r="Z64" s="29">
        <f t="shared" si="3"/>
        <v>0</v>
      </c>
      <c r="AA64" s="29">
        <f t="shared" si="18"/>
        <v>0</v>
      </c>
      <c r="AB64" s="33">
        <f>IFERROR((VLOOKUP(A64,AtskaiteStatusuTabula!B:AI,30,0)),0)</f>
        <v>1</v>
      </c>
      <c r="AC64" s="33">
        <v>8720098.6199999992</v>
      </c>
      <c r="AD64" s="29">
        <v>0.99959588125302046</v>
      </c>
      <c r="AE64" s="33">
        <f>IFERROR((VLOOKUP(A64,AtskaiteStatusuTabula!B:AI,31,0)),0)</f>
        <v>8720098.6199999992</v>
      </c>
      <c r="AF64" s="29">
        <f t="shared" si="22"/>
        <v>0.99959588125302046</v>
      </c>
      <c r="AG64" s="29">
        <f t="shared" si="74"/>
        <v>0</v>
      </c>
      <c r="AH64" s="29">
        <f t="shared" si="4"/>
        <v>0</v>
      </c>
      <c r="AI64" s="33">
        <v>8720098.6199999992</v>
      </c>
      <c r="AJ64" s="29">
        <v>0.99959588125302046</v>
      </c>
      <c r="AL64" s="55">
        <f t="shared" si="23"/>
        <v>0</v>
      </c>
    </row>
    <row r="65" spans="1:38" x14ac:dyDescent="0.3">
      <c r="A65" s="18" t="s">
        <v>280</v>
      </c>
      <c r="B65" s="10" t="str">
        <f>VLOOKUP(A65,saīsinājumi_LV_ENG!A:G,5,FALSE)</f>
        <v>Vides monitorings</v>
      </c>
      <c r="C65" s="9"/>
      <c r="D65" s="38" t="s">
        <v>345</v>
      </c>
      <c r="E65" s="38" t="s">
        <v>350</v>
      </c>
      <c r="F65" s="33">
        <v>17501206</v>
      </c>
      <c r="G65" s="33">
        <v>0</v>
      </c>
      <c r="H65" s="33">
        <f t="shared" si="75"/>
        <v>17501206</v>
      </c>
      <c r="I65" s="33">
        <v>2289729</v>
      </c>
      <c r="J65" s="33">
        <f>IFERROR((VLOOKUP(A65,AtskaiteStatusuTabula!B:AI,10,0)),0)</f>
        <v>17382831.440000001</v>
      </c>
      <c r="K65" s="29">
        <f t="shared" si="12"/>
        <v>0.99323620555063474</v>
      </c>
      <c r="L65" s="29">
        <f t="shared" si="70"/>
        <v>0</v>
      </c>
      <c r="M65" s="29">
        <f t="shared" si="19"/>
        <v>0</v>
      </c>
      <c r="N65" s="33">
        <f>IFERROR((VLOOKUP(A65,AtskaiteStatusuTabula!B:AI,17,0)),0)</f>
        <v>4</v>
      </c>
      <c r="O65" s="33">
        <v>17382831.440000001</v>
      </c>
      <c r="P65" s="29">
        <v>0.99323620555063474</v>
      </c>
      <c r="Q65" s="33">
        <f>IFERROR((VLOOKUP(A65,AtskaiteStatusuTabula!B:AI,18,0)),0)</f>
        <v>17382831.440000001</v>
      </c>
      <c r="R65" s="29">
        <f t="shared" si="71"/>
        <v>0.99323620555063474</v>
      </c>
      <c r="S65" s="29">
        <f t="shared" si="72"/>
        <v>0</v>
      </c>
      <c r="T65" s="29">
        <f>IFERROR(((Q65-V65)/V65),0)</f>
        <v>0</v>
      </c>
      <c r="U65" s="33">
        <f>IFERROR((VLOOKUP(A65,AtskaiteStatusuTabula!B:AI,23,0)),0)</f>
        <v>4</v>
      </c>
      <c r="V65" s="33">
        <v>17382831.440000001</v>
      </c>
      <c r="W65" s="29">
        <v>0.99323620555063474</v>
      </c>
      <c r="X65" s="33">
        <f>IFERROR((VLOOKUP(A65,AtskaiteStatusuTabula!B:AI,24,0)),0)</f>
        <v>17382831.440000001</v>
      </c>
      <c r="Y65" s="29">
        <f t="shared" si="73"/>
        <v>0.99323620555063474</v>
      </c>
      <c r="Z65" s="29">
        <f t="shared" si="3"/>
        <v>0</v>
      </c>
      <c r="AA65" s="29">
        <f t="shared" si="18"/>
        <v>0</v>
      </c>
      <c r="AB65" s="33">
        <f>IFERROR((VLOOKUP(A65,AtskaiteStatusuTabula!B:AI,30,0)),0)</f>
        <v>4</v>
      </c>
      <c r="AC65" s="33">
        <v>17382831.440000001</v>
      </c>
      <c r="AD65" s="29">
        <v>0.99323620555063474</v>
      </c>
      <c r="AE65" s="33">
        <f>IFERROR((VLOOKUP(A65,AtskaiteStatusuTabula!B:AI,31,0)),0)</f>
        <v>17382831.440000001</v>
      </c>
      <c r="AF65" s="29">
        <f t="shared" si="22"/>
        <v>0.99323620555063474</v>
      </c>
      <c r="AG65" s="29">
        <f t="shared" si="74"/>
        <v>0</v>
      </c>
      <c r="AH65" s="29">
        <f t="shared" si="4"/>
        <v>0</v>
      </c>
      <c r="AI65" s="33">
        <v>17382831.440000001</v>
      </c>
      <c r="AJ65" s="29">
        <v>0.99323620555063474</v>
      </c>
      <c r="AL65" s="55">
        <f t="shared" si="23"/>
        <v>0</v>
      </c>
    </row>
    <row r="66" spans="1:38" x14ac:dyDescent="0.3">
      <c r="A66" s="18" t="s">
        <v>1366</v>
      </c>
      <c r="B66" s="10" t="str">
        <f>VLOOKUP(A66,saīsinājumi_LV_ENG!A:G,5,FALSE)</f>
        <v>Dzīvotņu atjaunošana</v>
      </c>
      <c r="C66" s="9"/>
      <c r="D66" s="38" t="s">
        <v>345</v>
      </c>
      <c r="E66" s="38" t="s">
        <v>350</v>
      </c>
      <c r="F66" s="33">
        <v>3000000</v>
      </c>
      <c r="G66" s="33">
        <v>0</v>
      </c>
      <c r="H66" s="33">
        <f>F66+G66</f>
        <v>3000000</v>
      </c>
      <c r="I66" s="33">
        <v>0</v>
      </c>
      <c r="J66" s="33">
        <f>IFERROR((VLOOKUP(A66,AtskaiteStatusuTabula!B:AI,10,0)),0)</f>
        <v>2890541.68</v>
      </c>
      <c r="K66" s="29">
        <f t="shared" ref="K66" si="76">J66/F66</f>
        <v>0.96351389333333337</v>
      </c>
      <c r="L66" s="29">
        <f t="shared" ref="L66" si="77">K66-P66</f>
        <v>0</v>
      </c>
      <c r="M66" s="29">
        <f t="shared" ref="M66" si="78">IFERROR(((J66-O66)/O66),0)</f>
        <v>0</v>
      </c>
      <c r="N66" s="33">
        <f>IFERROR((VLOOKUP(A66,AtskaiteStatusuTabula!B:AI,17,0)),0)</f>
        <v>1</v>
      </c>
      <c r="O66" s="33">
        <v>2890541.68</v>
      </c>
      <c r="P66" s="29">
        <v>0.96351389333333337</v>
      </c>
      <c r="Q66" s="33">
        <f>IFERROR((VLOOKUP(A66,AtskaiteStatusuTabula!B:AI,18,0)),0)</f>
        <v>2890541.68</v>
      </c>
      <c r="R66" s="29">
        <f t="shared" ref="R66" si="79">Q66/F66</f>
        <v>0.96351389333333337</v>
      </c>
      <c r="S66" s="29">
        <f t="shared" ref="S66" si="80">R66-W66</f>
        <v>0</v>
      </c>
      <c r="T66" s="29">
        <f t="shared" ref="T66" si="81">IFERROR(((Q66-V66)/V66),0)</f>
        <v>0</v>
      </c>
      <c r="U66" s="33">
        <f>IFERROR((VLOOKUP(A66,AtskaiteStatusuTabula!B:AI,23,0)),0)</f>
        <v>1</v>
      </c>
      <c r="V66" s="33">
        <v>2890541.68</v>
      </c>
      <c r="W66" s="29">
        <v>0.96351389333333337</v>
      </c>
      <c r="X66" s="33">
        <f>IFERROR((VLOOKUP(A66,AtskaiteStatusuTabula!B:AI,24,0)),0)</f>
        <v>2890541.68</v>
      </c>
      <c r="Y66" s="29">
        <f t="shared" ref="Y66" si="82">X66/F66</f>
        <v>0.96351389333333337</v>
      </c>
      <c r="Z66" s="29">
        <f t="shared" ref="Z66" si="83">Y66-AD66</f>
        <v>0</v>
      </c>
      <c r="AA66" s="29">
        <f t="shared" ref="AA66" si="84">IFERROR(((X66-AC66)/AC66),0)</f>
        <v>0</v>
      </c>
      <c r="AB66" s="33">
        <f>IFERROR((VLOOKUP(A66,AtskaiteStatusuTabula!B:AI,30,0)),0)</f>
        <v>1</v>
      </c>
      <c r="AC66" s="33">
        <v>2890541.68</v>
      </c>
      <c r="AD66" s="29">
        <v>0.96351389333333337</v>
      </c>
      <c r="AE66" s="33">
        <f>IFERROR((VLOOKUP(A66,AtskaiteStatusuTabula!B:AI,31,0)),0)</f>
        <v>2890541.68</v>
      </c>
      <c r="AF66" s="29">
        <f t="shared" ref="AF66" si="85">IFERROR((AE66/$F66),0)</f>
        <v>0.96351389333333337</v>
      </c>
      <c r="AG66" s="29">
        <f t="shared" ref="AG66" si="86">AF66-AJ66</f>
        <v>0</v>
      </c>
      <c r="AH66" s="29">
        <f t="shared" ref="AH66" si="87">IFERROR(((AE66-AI66)/AI66),0)</f>
        <v>0</v>
      </c>
      <c r="AI66" s="33">
        <v>2890541.68</v>
      </c>
      <c r="AJ66" s="29">
        <v>0.96351389333333337</v>
      </c>
      <c r="AL66" s="55">
        <f t="shared" si="23"/>
        <v>0</v>
      </c>
    </row>
    <row r="67" spans="1:38" ht="56.25" x14ac:dyDescent="0.3">
      <c r="A67" s="18" t="s">
        <v>1368</v>
      </c>
      <c r="B67" s="10" t="str">
        <f>VLOOKUP(A67,saīsinājumi_LV_ENG!A:G,5,FALSE)</f>
        <v xml:space="preserve">Apsaimniekošanas pasākumi Natura 2000 teritorijās </v>
      </c>
      <c r="C67" s="9"/>
      <c r="D67" s="38" t="s">
        <v>345</v>
      </c>
      <c r="E67" s="38" t="s">
        <v>350</v>
      </c>
      <c r="F67" s="33">
        <v>3305108</v>
      </c>
      <c r="G67" s="33">
        <v>0</v>
      </c>
      <c r="H67" s="33">
        <f>F67+G67</f>
        <v>3305108</v>
      </c>
      <c r="I67" s="33">
        <v>1</v>
      </c>
      <c r="J67" s="33">
        <f>IFERROR((VLOOKUP(A67,AtskaiteStatusuTabula!B:AI,10,0)),0)</f>
        <v>2906861.26</v>
      </c>
      <c r="K67" s="29">
        <f t="shared" ref="K67" si="88">J67/F67</f>
        <v>0.87950568029849552</v>
      </c>
      <c r="L67" s="29">
        <f t="shared" ref="L67" si="89">K67-P67</f>
        <v>0</v>
      </c>
      <c r="M67" s="29">
        <f t="shared" ref="M67" si="90">IFERROR(((J67-O67)/O67),0)</f>
        <v>0</v>
      </c>
      <c r="N67" s="33">
        <f>IFERROR((VLOOKUP(A67,AtskaiteStatusuTabula!B:AI,17,0)),0)</f>
        <v>6</v>
      </c>
      <c r="O67" s="33">
        <v>2906861.26</v>
      </c>
      <c r="P67" s="29">
        <v>0.87950568029849552</v>
      </c>
      <c r="Q67" s="33">
        <f>IFERROR((VLOOKUP(A67,AtskaiteStatusuTabula!B:AI,18,0)),0)</f>
        <v>2906861.26</v>
      </c>
      <c r="R67" s="29">
        <f t="shared" ref="R67" si="91">Q67/F67</f>
        <v>0.87950568029849552</v>
      </c>
      <c r="S67" s="29">
        <f t="shared" ref="S67" si="92">R67-W67</f>
        <v>0</v>
      </c>
      <c r="T67" s="29">
        <f t="shared" ref="T67" si="93">IFERROR(((Q67-V67)/V67),0)</f>
        <v>0</v>
      </c>
      <c r="U67" s="33">
        <f>IFERROR((VLOOKUP(A67,AtskaiteStatusuTabula!B:AI,23,0)),0)</f>
        <v>6</v>
      </c>
      <c r="V67" s="33">
        <v>2906861.26</v>
      </c>
      <c r="W67" s="29">
        <v>0.87950568029849552</v>
      </c>
      <c r="X67" s="33">
        <f>IFERROR((VLOOKUP(A67,AtskaiteStatusuTabula!B:AI,24,0)),0)</f>
        <v>2906861.26</v>
      </c>
      <c r="Y67" s="29">
        <f t="shared" ref="Y67" si="94">X67/F67</f>
        <v>0.87950568029849552</v>
      </c>
      <c r="Z67" s="29">
        <f t="shared" ref="Z67" si="95">Y67-AD67</f>
        <v>0</v>
      </c>
      <c r="AA67" s="29">
        <f t="shared" ref="AA67" si="96">IFERROR(((X67-AC67)/AC67),0)</f>
        <v>0</v>
      </c>
      <c r="AB67" s="33">
        <f>IFERROR((VLOOKUP(A67,AtskaiteStatusuTabula!B:AI,30,0)),0)</f>
        <v>6</v>
      </c>
      <c r="AC67" s="33">
        <v>2906861.26</v>
      </c>
      <c r="AD67" s="29">
        <v>0.87950568029849552</v>
      </c>
      <c r="AE67" s="33">
        <f>IFERROR((VLOOKUP(A67,AtskaiteStatusuTabula!B:AI,31,0)),0)</f>
        <v>2906861.26</v>
      </c>
      <c r="AF67" s="29">
        <f t="shared" ref="AF67" si="97">IFERROR((AE67/$F67),0)</f>
        <v>0.87950568029849552</v>
      </c>
      <c r="AG67" s="29">
        <f t="shared" ref="AG67" si="98">AF67-AJ67</f>
        <v>0</v>
      </c>
      <c r="AH67" s="29">
        <f t="shared" ref="AH67" si="99">IFERROR(((AE67-AI67)/AI67),0)</f>
        <v>0</v>
      </c>
      <c r="AI67" s="33">
        <v>2906861.26</v>
      </c>
      <c r="AJ67" s="29">
        <v>0.87950568029849552</v>
      </c>
      <c r="AL67" s="55">
        <f t="shared" si="23"/>
        <v>0</v>
      </c>
    </row>
    <row r="68" spans="1:38" ht="37.5" x14ac:dyDescent="0.3">
      <c r="A68" s="18" t="s">
        <v>281</v>
      </c>
      <c r="B68" s="10" t="str">
        <f>VLOOKUP(A68,saīsinājumi_LV_ENG!A:G,5,FALSE)</f>
        <v>Kultūras un dabas mantojums</v>
      </c>
      <c r="C68" s="9"/>
      <c r="D68" s="38" t="s">
        <v>344</v>
      </c>
      <c r="E68" s="38" t="s">
        <v>355</v>
      </c>
      <c r="F68" s="33">
        <f>40920390+26586943</f>
        <v>67507333</v>
      </c>
      <c r="G68" s="33">
        <v>0</v>
      </c>
      <c r="H68" s="33">
        <f t="shared" si="75"/>
        <v>67507333</v>
      </c>
      <c r="I68" s="33">
        <v>0</v>
      </c>
      <c r="J68" s="33">
        <f>IFERROR((VLOOKUP(A68,AtskaiteStatusuTabula!B:AI,10,0)),0)</f>
        <v>65821749.299999997</v>
      </c>
      <c r="K68" s="29">
        <f t="shared" si="12"/>
        <v>0.97503110217670719</v>
      </c>
      <c r="L68" s="29">
        <f t="shared" si="70"/>
        <v>0</v>
      </c>
      <c r="M68" s="29">
        <f t="shared" si="19"/>
        <v>0</v>
      </c>
      <c r="N68" s="33">
        <f>IFERROR((VLOOKUP(A68,AtskaiteStatusuTabula!B:AI,17,0)),0)</f>
        <v>23</v>
      </c>
      <c r="O68" s="33">
        <v>65821749.299999997</v>
      </c>
      <c r="P68" s="29">
        <v>0.97503110217670719</v>
      </c>
      <c r="Q68" s="33">
        <f>IFERROR((VLOOKUP(A68,AtskaiteStatusuTabula!B:AI,18,0)),0)</f>
        <v>65821749.299999997</v>
      </c>
      <c r="R68" s="29">
        <f t="shared" si="71"/>
        <v>0.97503110217670719</v>
      </c>
      <c r="S68" s="29">
        <f t="shared" si="72"/>
        <v>0</v>
      </c>
      <c r="T68" s="29">
        <f t="shared" si="16"/>
        <v>0</v>
      </c>
      <c r="U68" s="33">
        <f>IFERROR((VLOOKUP(A68,AtskaiteStatusuTabula!B:AI,23,0)),0)</f>
        <v>23</v>
      </c>
      <c r="V68" s="33">
        <v>65821749.299999997</v>
      </c>
      <c r="W68" s="29">
        <v>0.97503110217670719</v>
      </c>
      <c r="X68" s="33">
        <f>IFERROR((VLOOKUP(A68,AtskaiteStatusuTabula!B:AI,24,0)),0)</f>
        <v>65821749.299999997</v>
      </c>
      <c r="Y68" s="29">
        <f t="shared" si="73"/>
        <v>0.97503110217670719</v>
      </c>
      <c r="Z68" s="29">
        <f t="shared" si="3"/>
        <v>0</v>
      </c>
      <c r="AA68" s="29">
        <f t="shared" si="18"/>
        <v>0</v>
      </c>
      <c r="AB68" s="33">
        <f>IFERROR((VLOOKUP(A68,AtskaiteStatusuTabula!B:AI,30,0)),0)</f>
        <v>23</v>
      </c>
      <c r="AC68" s="33">
        <v>65821749.299999997</v>
      </c>
      <c r="AD68" s="29">
        <v>0.97503110217670719</v>
      </c>
      <c r="AE68" s="33">
        <f>IFERROR((VLOOKUP(A68,AtskaiteStatusuTabula!B:AI,31,0)),0)</f>
        <v>64071055.219999999</v>
      </c>
      <c r="AF68" s="29">
        <f t="shared" si="22"/>
        <v>0.94909771091090211</v>
      </c>
      <c r="AG68" s="29">
        <f t="shared" si="74"/>
        <v>0</v>
      </c>
      <c r="AH68" s="29">
        <f t="shared" si="4"/>
        <v>0</v>
      </c>
      <c r="AI68" s="33">
        <v>64071055.219999999</v>
      </c>
      <c r="AJ68" s="29">
        <v>0.94909771091090211</v>
      </c>
      <c r="AL68" s="55">
        <f t="shared" si="23"/>
        <v>0</v>
      </c>
    </row>
    <row r="69" spans="1:38" x14ac:dyDescent="0.3">
      <c r="A69" s="18" t="s">
        <v>282</v>
      </c>
      <c r="B69" s="10" t="str">
        <f>VLOOKUP(A69,saīsinājumi_LV_ENG!A:G,5,FALSE)</f>
        <v>Rīgas revitalizācija</v>
      </c>
      <c r="C69" s="9"/>
      <c r="D69" s="38" t="s">
        <v>344</v>
      </c>
      <c r="E69" s="38" t="s">
        <v>355</v>
      </c>
      <c r="F69" s="33">
        <v>58552956</v>
      </c>
      <c r="G69" s="33">
        <v>0</v>
      </c>
      <c r="H69" s="33">
        <f t="shared" si="75"/>
        <v>58552956</v>
      </c>
      <c r="I69" s="33">
        <v>0</v>
      </c>
      <c r="J69" s="33">
        <f>IFERROR((VLOOKUP(A69,AtskaiteStatusuTabula!B:AI,10,0)),0)</f>
        <v>54726810.719999999</v>
      </c>
      <c r="K69" s="29">
        <f t="shared" si="12"/>
        <v>0.93465495952074562</v>
      </c>
      <c r="L69" s="29">
        <f t="shared" si="70"/>
        <v>-5.3263155492953018E-3</v>
      </c>
      <c r="M69" s="29">
        <f t="shared" si="19"/>
        <v>-5.6664060131393738E-3</v>
      </c>
      <c r="N69" s="33">
        <f>IFERROR((VLOOKUP(A69,AtskaiteStatusuTabula!B:AI,17,0)),0)</f>
        <v>5</v>
      </c>
      <c r="O69" s="33">
        <v>55038682.240000002</v>
      </c>
      <c r="P69" s="29">
        <v>0.93998127507004092</v>
      </c>
      <c r="Q69" s="33">
        <f>IFERROR((VLOOKUP(A69,AtskaiteStatusuTabula!B:AI,18,0)),0)</f>
        <v>54726810.719999999</v>
      </c>
      <c r="R69" s="29">
        <f t="shared" si="71"/>
        <v>0.93465495952074562</v>
      </c>
      <c r="S69" s="29">
        <f t="shared" si="72"/>
        <v>-5.3263155492953018E-3</v>
      </c>
      <c r="T69" s="29">
        <f t="shared" si="16"/>
        <v>-5.6664060131393738E-3</v>
      </c>
      <c r="U69" s="33">
        <f>IFERROR((VLOOKUP(A69,AtskaiteStatusuTabula!B:AI,23,0)),0)</f>
        <v>5</v>
      </c>
      <c r="V69" s="33">
        <v>55038682.240000002</v>
      </c>
      <c r="W69" s="29">
        <v>0.93998127507004092</v>
      </c>
      <c r="X69" s="33">
        <f>IFERROR((VLOOKUP(A69,AtskaiteStatusuTabula!B:AI,24,0)),0)</f>
        <v>54726810.719999999</v>
      </c>
      <c r="Y69" s="29">
        <f t="shared" si="73"/>
        <v>0.93465495952074562</v>
      </c>
      <c r="Z69" s="29">
        <f t="shared" si="3"/>
        <v>-5.3263155492953018E-3</v>
      </c>
      <c r="AA69" s="29">
        <f t="shared" si="18"/>
        <v>-5.6664060131393738E-3</v>
      </c>
      <c r="AB69" s="33">
        <f>IFERROR((VLOOKUP(A69,AtskaiteStatusuTabula!B:AI,30,0)),0)</f>
        <v>5</v>
      </c>
      <c r="AC69" s="33">
        <v>55038682.240000002</v>
      </c>
      <c r="AD69" s="29">
        <v>0.93998127507004092</v>
      </c>
      <c r="AE69" s="33">
        <f>IFERROR((VLOOKUP(A69,AtskaiteStatusuTabula!B:AI,31,0)),0)</f>
        <v>53219294.700000003</v>
      </c>
      <c r="AF69" s="29">
        <f t="shared" si="22"/>
        <v>0.90890876115631125</v>
      </c>
      <c r="AG69" s="29">
        <f t="shared" si="74"/>
        <v>0</v>
      </c>
      <c r="AH69" s="29">
        <f t="shared" si="4"/>
        <v>0</v>
      </c>
      <c r="AI69" s="33">
        <v>53219294.700000003</v>
      </c>
      <c r="AJ69" s="29">
        <v>0.90890876115631125</v>
      </c>
      <c r="AL69" s="55">
        <f t="shared" si="23"/>
        <v>0</v>
      </c>
    </row>
    <row r="70" spans="1:38" ht="37.5" x14ac:dyDescent="0.3">
      <c r="A70" s="18" t="s">
        <v>283</v>
      </c>
      <c r="B70" s="10" t="str">
        <f>VLOOKUP(A70,saīsinājumi_LV_ENG!A:G,5,FALSE)</f>
        <v>Degradēto teritoriju atjaunošana</v>
      </c>
      <c r="C70" s="9"/>
      <c r="D70" s="38" t="s">
        <v>344</v>
      </c>
      <c r="E70" s="38" t="s">
        <v>350</v>
      </c>
      <c r="F70" s="33">
        <v>236524372</v>
      </c>
      <c r="G70" s="33">
        <v>0</v>
      </c>
      <c r="H70" s="33">
        <f t="shared" ref="H70:H71" si="100">F70+G70</f>
        <v>236524372</v>
      </c>
      <c r="I70" s="33">
        <v>14426861</v>
      </c>
      <c r="J70" s="445">
        <f>IFERROR((VLOOKUP(A70,AtskaiteStatusuTabula!B:AI,10,0)),0)-J162</f>
        <v>209733570.53</v>
      </c>
      <c r="K70" s="29">
        <f t="shared" ref="K70:K71" si="101">J70/F70</f>
        <v>0.88673132817788436</v>
      </c>
      <c r="L70" s="29">
        <f t="shared" ref="L70:L71" si="102">K70-P70</f>
        <v>0</v>
      </c>
      <c r="M70" s="29">
        <f t="shared" ref="M70:M71" si="103">IFERROR(((J70-O70)/O70),0)</f>
        <v>0</v>
      </c>
      <c r="N70" s="445">
        <f>IFERROR((VLOOKUP(A70,AtskaiteStatusuTabula!B:AI,17,0)),0)-N162</f>
        <v>113</v>
      </c>
      <c r="O70" s="445">
        <v>209733570.53</v>
      </c>
      <c r="P70" s="446">
        <v>0.88673132817788436</v>
      </c>
      <c r="Q70" s="445">
        <f>IFERROR((VLOOKUP(A70,AtskaiteStatusuTabula!B:AI,18,0)),0)-Q162</f>
        <v>209733570.53</v>
      </c>
      <c r="R70" s="29">
        <f>Q70/F70</f>
        <v>0.88673132817788436</v>
      </c>
      <c r="S70" s="29">
        <f>R70-W70</f>
        <v>0</v>
      </c>
      <c r="T70" s="29">
        <f t="shared" ref="T70" si="104">IFERROR(((Q70-V70)/V70),0)</f>
        <v>0</v>
      </c>
      <c r="U70" s="445">
        <f>IFERROR((VLOOKUP(A70,AtskaiteStatusuTabula!B:AI,23,0)),0)-U162</f>
        <v>113</v>
      </c>
      <c r="V70" s="445">
        <v>209733570.53</v>
      </c>
      <c r="W70" s="446">
        <v>0.88673132817788436</v>
      </c>
      <c r="X70" s="445">
        <f>IFERROR((VLOOKUP(A70,AtskaiteStatusuTabula!B:AI,24,0)),0)-X162</f>
        <v>209733570.53</v>
      </c>
      <c r="Y70" s="29">
        <f t="shared" ref="Y70" si="105">X70/F70</f>
        <v>0.88673132817788436</v>
      </c>
      <c r="Z70" s="29">
        <f t="shared" ref="Z70" si="106">Y70-AD70</f>
        <v>0</v>
      </c>
      <c r="AA70" s="29">
        <f t="shared" ref="AA70" si="107">IFERROR(((X70-AC70)/AC70),0)</f>
        <v>0</v>
      </c>
      <c r="AB70" s="445">
        <f>IFERROR((VLOOKUP(A70,AtskaiteStatusuTabula!B:AI,30,0)),0)-AB162</f>
        <v>113</v>
      </c>
      <c r="AC70" s="445">
        <v>209733570.53</v>
      </c>
      <c r="AD70" s="446">
        <v>0.88673132817788436</v>
      </c>
      <c r="AE70" s="445">
        <f>IFERROR((VLOOKUP(A70,AtskaiteStatusuTabula!B:AI,31,0)),0)-AE162</f>
        <v>209763036.38999999</v>
      </c>
      <c r="AF70" s="29">
        <f t="shared" ref="AF70" si="108">IFERROR((AE70/$F70),0)</f>
        <v>0.88685590671391779</v>
      </c>
      <c r="AG70" s="29">
        <f t="shared" ref="AG70" si="109">AF70-AJ70</f>
        <v>-7.6742239484728358E-5</v>
      </c>
      <c r="AH70" s="29">
        <f t="shared" ref="AH70" si="110">IFERROR(((AE70-AI70)/AI70),0)</f>
        <v>-8.6525442011042069E-5</v>
      </c>
      <c r="AI70" s="33">
        <v>209781187.79999998</v>
      </c>
      <c r="AJ70" s="29">
        <v>0.88693264895340251</v>
      </c>
      <c r="AL70" s="55">
        <f t="shared" si="23"/>
        <v>0</v>
      </c>
    </row>
    <row r="71" spans="1:38" ht="25.5" customHeight="1" x14ac:dyDescent="0.3">
      <c r="A71" s="18" t="s">
        <v>462</v>
      </c>
      <c r="B71" s="10" t="str">
        <f>VLOOKUP(A71,saīsinājumi_LV_ENG!A:G,5,FALSE)</f>
        <v>Piesārņoto vietu sanācija</v>
      </c>
      <c r="C71" s="9"/>
      <c r="D71" s="38" t="s">
        <v>344</v>
      </c>
      <c r="E71" s="38" t="s">
        <v>350</v>
      </c>
      <c r="F71" s="33">
        <f>11600000+13269088</f>
        <v>24869088</v>
      </c>
      <c r="G71" s="33">
        <v>0</v>
      </c>
      <c r="H71" s="33">
        <f t="shared" si="100"/>
        <v>24869088</v>
      </c>
      <c r="I71" s="33">
        <v>0</v>
      </c>
      <c r="J71" s="33">
        <f>IFERROR((VLOOKUP(A71,AtskaiteStatusuTabula!B:AI,10,0)),0)</f>
        <v>24622878.07</v>
      </c>
      <c r="K71" s="29">
        <f t="shared" si="101"/>
        <v>0.99009976039330438</v>
      </c>
      <c r="L71" s="29">
        <f t="shared" si="102"/>
        <v>0</v>
      </c>
      <c r="M71" s="29">
        <f t="shared" si="103"/>
        <v>0</v>
      </c>
      <c r="N71" s="33">
        <f>IFERROR((VLOOKUP(A71,AtskaiteStatusuTabula!B:AI,17,0)),0)</f>
        <v>1</v>
      </c>
      <c r="O71" s="33">
        <v>24622878.07</v>
      </c>
      <c r="P71" s="29">
        <v>0.99009976039330438</v>
      </c>
      <c r="Q71" s="33">
        <f>IFERROR((VLOOKUP(A71,AtskaiteStatusuTabula!B:AI,18,0)),0)</f>
        <v>24622878.07</v>
      </c>
      <c r="R71" s="29">
        <f t="shared" ref="R71" si="111">Q71/F71</f>
        <v>0.99009976039330438</v>
      </c>
      <c r="S71" s="29">
        <f t="shared" ref="S71" si="112">R71-W71</f>
        <v>0</v>
      </c>
      <c r="T71" s="29">
        <f t="shared" ref="T71" si="113">IFERROR(((Q71-V71)/V71),0)</f>
        <v>0</v>
      </c>
      <c r="U71" s="33">
        <f>IFERROR((VLOOKUP(A71,AtskaiteStatusuTabula!B:AI,23,0)),0)</f>
        <v>1</v>
      </c>
      <c r="V71" s="33">
        <v>24622878.07</v>
      </c>
      <c r="W71" s="29">
        <v>0.99009976039330438</v>
      </c>
      <c r="X71" s="33">
        <f>IFERROR((VLOOKUP(A71,AtskaiteStatusuTabula!B:AI,24,0)),0)</f>
        <v>24622878.07</v>
      </c>
      <c r="Y71" s="29">
        <f t="shared" ref="Y71" si="114">X71/F71</f>
        <v>0.99009976039330438</v>
      </c>
      <c r="Z71" s="29">
        <f t="shared" ref="Z71" si="115">Y71-AD71</f>
        <v>0</v>
      </c>
      <c r="AA71" s="29">
        <f t="shared" ref="AA71" si="116">IFERROR(((X71-AC71)/AC71),0)</f>
        <v>0</v>
      </c>
      <c r="AB71" s="33">
        <f>IFERROR((VLOOKUP(A71,AtskaiteStatusuTabula!B:AI,30,0)),0)</f>
        <v>1</v>
      </c>
      <c r="AC71" s="33">
        <v>24622878.07</v>
      </c>
      <c r="AD71" s="29">
        <v>0.99009976039330438</v>
      </c>
      <c r="AE71" s="33">
        <f>IFERROR((VLOOKUP(A71,AtskaiteStatusuTabula!B:AI,31,0)),0)</f>
        <v>24622878.07</v>
      </c>
      <c r="AF71" s="29">
        <f t="shared" ref="AF71" si="117">IFERROR((AE71/$F71),0)</f>
        <v>0.99009976039330438</v>
      </c>
      <c r="AG71" s="29">
        <f t="shared" ref="AG71" si="118">AF71-AJ71</f>
        <v>0</v>
      </c>
      <c r="AH71" s="29">
        <f t="shared" ref="AH71" si="119">IFERROR(((AE71-AI71)/AI71),0)</f>
        <v>0</v>
      </c>
      <c r="AI71" s="33">
        <v>24622878.07</v>
      </c>
      <c r="AJ71" s="29">
        <v>0.99009976039330438</v>
      </c>
      <c r="AL71" s="55">
        <f t="shared" si="23"/>
        <v>0</v>
      </c>
    </row>
    <row r="72" spans="1:38" x14ac:dyDescent="0.3">
      <c r="A72" s="19" t="s">
        <v>71</v>
      </c>
      <c r="B72" s="8" t="str">
        <f>VLOOKUP(A72,saīsinājumi_LV_ENG!A:G,5,FALSE)</f>
        <v>Transports</v>
      </c>
      <c r="C72" s="7"/>
      <c r="D72" s="39"/>
      <c r="E72" s="39"/>
      <c r="F72" s="34">
        <f>SUM(F73:F85)</f>
        <v>886835593</v>
      </c>
      <c r="G72" s="34">
        <f>SUM(G73:G85)</f>
        <v>0</v>
      </c>
      <c r="H72" s="34">
        <f>SUM(H73:H85)</f>
        <v>886835593</v>
      </c>
      <c r="I72" s="34">
        <f>SUM(I73:I85)</f>
        <v>69622402.513883501</v>
      </c>
      <c r="J72" s="34">
        <f>SUM(J73:J85)</f>
        <v>801894815.95999992</v>
      </c>
      <c r="K72" s="30">
        <f t="shared" si="12"/>
        <v>0.90422037894006801</v>
      </c>
      <c r="L72" s="30">
        <f t="shared" si="70"/>
        <v>0</v>
      </c>
      <c r="M72" s="30">
        <f t="shared" si="19"/>
        <v>0</v>
      </c>
      <c r="N72" s="34">
        <f>SUM(N73:N85)</f>
        <v>89</v>
      </c>
      <c r="O72" s="34">
        <v>801894815.95999992</v>
      </c>
      <c r="P72" s="30">
        <v>0.90422037894006801</v>
      </c>
      <c r="Q72" s="34">
        <f>SUM(Q73:Q85)</f>
        <v>801894815.95999992</v>
      </c>
      <c r="R72" s="30">
        <f t="shared" si="71"/>
        <v>0.90422037894006801</v>
      </c>
      <c r="S72" s="30">
        <f t="shared" si="72"/>
        <v>0</v>
      </c>
      <c r="T72" s="30">
        <f t="shared" si="16"/>
        <v>0</v>
      </c>
      <c r="U72" s="34">
        <f>SUM(U73:U85)</f>
        <v>89</v>
      </c>
      <c r="V72" s="34">
        <v>801894815.95999992</v>
      </c>
      <c r="W72" s="30">
        <v>0.90422037894006801</v>
      </c>
      <c r="X72" s="34">
        <f>SUM(X73:X85)</f>
        <v>801894815.95999992</v>
      </c>
      <c r="Y72" s="30">
        <f t="shared" si="73"/>
        <v>0.90422037894006801</v>
      </c>
      <c r="Z72" s="30">
        <f t="shared" si="3"/>
        <v>0</v>
      </c>
      <c r="AA72" s="30">
        <f t="shared" si="18"/>
        <v>0</v>
      </c>
      <c r="AB72" s="34">
        <f>SUM(AB73:AB85)</f>
        <v>89</v>
      </c>
      <c r="AC72" s="34">
        <v>801894815.95999992</v>
      </c>
      <c r="AD72" s="30">
        <v>0.90422037894006801</v>
      </c>
      <c r="AE72" s="34">
        <f>SUM(AE73:AE85)</f>
        <v>803075614.45999992</v>
      </c>
      <c r="AF72" s="30">
        <f t="shared" si="22"/>
        <v>0.90555185290133022</v>
      </c>
      <c r="AG72" s="30">
        <f t="shared" si="74"/>
        <v>0</v>
      </c>
      <c r="AH72" s="30">
        <f t="shared" si="4"/>
        <v>0</v>
      </c>
      <c r="AI72" s="34">
        <v>803075614.45999992</v>
      </c>
      <c r="AJ72" s="30">
        <v>0.90555185290133022</v>
      </c>
      <c r="AL72" s="55">
        <f t="shared" si="23"/>
        <v>0</v>
      </c>
    </row>
    <row r="73" spans="1:38" x14ac:dyDescent="0.3">
      <c r="A73" s="18" t="s">
        <v>285</v>
      </c>
      <c r="B73" s="10" t="str">
        <f>VLOOKUP(A73,saīsinājumi_LV_ENG!A:G,5,FALSE)</f>
        <v>Lielo ostu attīstība</v>
      </c>
      <c r="C73" s="9"/>
      <c r="D73" s="38" t="s">
        <v>345</v>
      </c>
      <c r="E73" s="38" t="s">
        <v>347</v>
      </c>
      <c r="F73" s="33">
        <v>71113776</v>
      </c>
      <c r="G73" s="33">
        <v>0</v>
      </c>
      <c r="H73" s="33">
        <f t="shared" ref="H73:H85" si="120">F73+G73</f>
        <v>71113776</v>
      </c>
      <c r="I73" s="33">
        <v>5525477.0040577296</v>
      </c>
      <c r="J73" s="33">
        <f>IFERROR((VLOOKUP(A73,AtskaiteStatusuTabula!B:AI,10,0)),0)</f>
        <v>67678486.409999996</v>
      </c>
      <c r="K73" s="29">
        <f t="shared" si="12"/>
        <v>0.95169305044355956</v>
      </c>
      <c r="L73" s="29">
        <f t="shared" si="70"/>
        <v>0</v>
      </c>
      <c r="M73" s="29">
        <f t="shared" si="19"/>
        <v>0</v>
      </c>
      <c r="N73" s="33">
        <f>IFERROR((VLOOKUP(A73,AtskaiteStatusuTabula!B:AI,17,0)),0)</f>
        <v>6</v>
      </c>
      <c r="O73" s="33">
        <v>67678486.409999996</v>
      </c>
      <c r="P73" s="29">
        <v>0.95169305044355956</v>
      </c>
      <c r="Q73" s="33">
        <f>IFERROR((VLOOKUP(A73,AtskaiteStatusuTabula!B:AI,18,0)),0)</f>
        <v>67678486.409999996</v>
      </c>
      <c r="R73" s="29">
        <f t="shared" si="71"/>
        <v>0.95169305044355956</v>
      </c>
      <c r="S73" s="29">
        <f t="shared" si="72"/>
        <v>0</v>
      </c>
      <c r="T73" s="29">
        <f t="shared" si="16"/>
        <v>0</v>
      </c>
      <c r="U73" s="33">
        <f>IFERROR((VLOOKUP(A73,AtskaiteStatusuTabula!B:AI,23,0)),0)</f>
        <v>6</v>
      </c>
      <c r="V73" s="33">
        <v>67678486.409999996</v>
      </c>
      <c r="W73" s="29">
        <v>0.95169305044355956</v>
      </c>
      <c r="X73" s="33">
        <f>IFERROR((VLOOKUP(A73,AtskaiteStatusuTabula!B:AI,24,0)),0)</f>
        <v>67678486.409999996</v>
      </c>
      <c r="Y73" s="29">
        <f t="shared" si="73"/>
        <v>0.95169305044355956</v>
      </c>
      <c r="Z73" s="29">
        <f t="shared" si="3"/>
        <v>0</v>
      </c>
      <c r="AA73" s="29">
        <f t="shared" si="18"/>
        <v>0</v>
      </c>
      <c r="AB73" s="33">
        <f>IFERROR((VLOOKUP(A73,AtskaiteStatusuTabula!B:AI,30,0)),0)</f>
        <v>6</v>
      </c>
      <c r="AC73" s="33">
        <v>67678486.409999996</v>
      </c>
      <c r="AD73" s="29">
        <v>0.95169305044355956</v>
      </c>
      <c r="AE73" s="33">
        <f>IFERROR((VLOOKUP(A73,AtskaiteStatusuTabula!B:AI,31,0)),0)</f>
        <v>69130864.569999993</v>
      </c>
      <c r="AF73" s="29">
        <f t="shared" si="22"/>
        <v>0.97211635295529786</v>
      </c>
      <c r="AG73" s="29">
        <f t="shared" si="74"/>
        <v>0</v>
      </c>
      <c r="AH73" s="29">
        <f t="shared" si="4"/>
        <v>0</v>
      </c>
      <c r="AI73" s="33">
        <v>69130864.569999993</v>
      </c>
      <c r="AJ73" s="29">
        <v>0.97211635295529786</v>
      </c>
      <c r="AL73" s="55">
        <f t="shared" si="23"/>
        <v>0</v>
      </c>
    </row>
    <row r="74" spans="1:38" x14ac:dyDescent="0.3">
      <c r="A74" s="18" t="s">
        <v>286</v>
      </c>
      <c r="B74" s="10" t="str">
        <f>VLOOKUP(A74,saīsinājumi_LV_ENG!A:G,5,FALSE)</f>
        <v>Lidostas "Rīga" attīstība</v>
      </c>
      <c r="C74" s="9"/>
      <c r="D74" s="38" t="s">
        <v>345</v>
      </c>
      <c r="E74" s="38" t="s">
        <v>347</v>
      </c>
      <c r="F74" s="33">
        <v>12984765</v>
      </c>
      <c r="G74" s="33">
        <v>0</v>
      </c>
      <c r="H74" s="33">
        <f t="shared" si="120"/>
        <v>12984765</v>
      </c>
      <c r="I74" s="33">
        <v>710524.46285737399</v>
      </c>
      <c r="J74" s="33">
        <f>IFERROR((VLOOKUP(A74,AtskaiteStatusuTabula!B:AI,10,0)),0)</f>
        <v>11839585.01</v>
      </c>
      <c r="K74" s="29">
        <f t="shared" si="12"/>
        <v>0.91180587480789987</v>
      </c>
      <c r="L74" s="29">
        <f t="shared" si="70"/>
        <v>0</v>
      </c>
      <c r="M74" s="29">
        <f t="shared" si="19"/>
        <v>0</v>
      </c>
      <c r="N74" s="33">
        <f>IFERROR((VLOOKUP(A74,AtskaiteStatusuTabula!B:AI,17,0)),0)</f>
        <v>2</v>
      </c>
      <c r="O74" s="33">
        <v>11839585.01</v>
      </c>
      <c r="P74" s="29">
        <v>0.91180587480789987</v>
      </c>
      <c r="Q74" s="33">
        <f>IFERROR((VLOOKUP(A74,AtskaiteStatusuTabula!B:AI,18,0)),0)</f>
        <v>11839585.01</v>
      </c>
      <c r="R74" s="29">
        <f t="shared" si="71"/>
        <v>0.91180587480789987</v>
      </c>
      <c r="S74" s="29">
        <f t="shared" si="72"/>
        <v>0</v>
      </c>
      <c r="T74" s="29">
        <f t="shared" si="16"/>
        <v>0</v>
      </c>
      <c r="U74" s="33">
        <f>IFERROR((VLOOKUP(A74,AtskaiteStatusuTabula!B:AI,23,0)),0)</f>
        <v>2</v>
      </c>
      <c r="V74" s="33">
        <v>11839585.01</v>
      </c>
      <c r="W74" s="29">
        <v>0.91180587480789987</v>
      </c>
      <c r="X74" s="33">
        <f>IFERROR((VLOOKUP(A74,AtskaiteStatusuTabula!B:AI,24,0)),0)</f>
        <v>11839585.01</v>
      </c>
      <c r="Y74" s="29">
        <f t="shared" si="73"/>
        <v>0.91180587480789987</v>
      </c>
      <c r="Z74" s="29">
        <f t="shared" si="3"/>
        <v>0</v>
      </c>
      <c r="AA74" s="29">
        <f t="shared" si="18"/>
        <v>0</v>
      </c>
      <c r="AB74" s="33">
        <f>IFERROR((VLOOKUP(A74,AtskaiteStatusuTabula!B:AI,30,0)),0)</f>
        <v>2</v>
      </c>
      <c r="AC74" s="33">
        <v>11839585.01</v>
      </c>
      <c r="AD74" s="29">
        <v>0.91180587480789987</v>
      </c>
      <c r="AE74" s="33">
        <f>IFERROR((VLOOKUP(A74,AtskaiteStatusuTabula!B:AI,31,0)),0)</f>
        <v>11839585.01</v>
      </c>
      <c r="AF74" s="29">
        <f t="shared" si="22"/>
        <v>0.91180587480789987</v>
      </c>
      <c r="AG74" s="29">
        <f t="shared" si="74"/>
        <v>0</v>
      </c>
      <c r="AH74" s="29">
        <f t="shared" si="4"/>
        <v>0</v>
      </c>
      <c r="AI74" s="33">
        <v>11839585.01</v>
      </c>
      <c r="AJ74" s="29">
        <v>0.91180587480789987</v>
      </c>
      <c r="AL74" s="55">
        <f t="shared" si="23"/>
        <v>0</v>
      </c>
    </row>
    <row r="75" spans="1:38" ht="37.5" x14ac:dyDescent="0.3">
      <c r="A75" s="18" t="s">
        <v>287</v>
      </c>
      <c r="B75" s="10" t="str">
        <f>VLOOKUP(A75,saīsinājumi_LV_ENG!A:G,5,FALSE)</f>
        <v>Rīgas tiltu un pārvadu pārbūve</v>
      </c>
      <c r="C75" s="9"/>
      <c r="D75" s="38" t="s">
        <v>345</v>
      </c>
      <c r="E75" s="38" t="s">
        <v>347</v>
      </c>
      <c r="F75" s="33">
        <v>106823313</v>
      </c>
      <c r="G75" s="33">
        <v>0</v>
      </c>
      <c r="H75" s="33">
        <f t="shared" si="120"/>
        <v>106823313</v>
      </c>
      <c r="I75" s="33">
        <v>4646774.3627410103</v>
      </c>
      <c r="J75" s="33">
        <f>IFERROR((VLOOKUP(A75,AtskaiteStatusuTabula!B:AI,10,0)),0)</f>
        <v>106807324.67</v>
      </c>
      <c r="K75" s="29">
        <f t="shared" si="12"/>
        <v>0.9998503292066967</v>
      </c>
      <c r="L75" s="29">
        <f t="shared" si="70"/>
        <v>0</v>
      </c>
      <c r="M75" s="29">
        <f t="shared" si="19"/>
        <v>0</v>
      </c>
      <c r="N75" s="33">
        <f>IFERROR((VLOOKUP(A75,AtskaiteStatusuTabula!B:AI,17,0)),0)</f>
        <v>5</v>
      </c>
      <c r="O75" s="33">
        <v>106807324.67</v>
      </c>
      <c r="P75" s="29">
        <v>0.9998503292066967</v>
      </c>
      <c r="Q75" s="33">
        <f>IFERROR((VLOOKUP(A75,AtskaiteStatusuTabula!B:AI,18,0)),0)</f>
        <v>106807324.67</v>
      </c>
      <c r="R75" s="29">
        <f t="shared" si="71"/>
        <v>0.9998503292066967</v>
      </c>
      <c r="S75" s="29">
        <f t="shared" si="72"/>
        <v>0</v>
      </c>
      <c r="T75" s="29">
        <f t="shared" si="16"/>
        <v>0</v>
      </c>
      <c r="U75" s="33">
        <f>IFERROR((VLOOKUP(A75,AtskaiteStatusuTabula!B:AI,23,0)),0)</f>
        <v>5</v>
      </c>
      <c r="V75" s="33">
        <v>106807324.67</v>
      </c>
      <c r="W75" s="29">
        <v>0.9998503292066967</v>
      </c>
      <c r="X75" s="33">
        <f>IFERROR((VLOOKUP(A75,AtskaiteStatusuTabula!B:AI,24,0)),0)</f>
        <v>106807324.67</v>
      </c>
      <c r="Y75" s="29">
        <f t="shared" si="73"/>
        <v>0.9998503292066967</v>
      </c>
      <c r="Z75" s="29">
        <f t="shared" si="3"/>
        <v>0</v>
      </c>
      <c r="AA75" s="29">
        <f t="shared" si="18"/>
        <v>0</v>
      </c>
      <c r="AB75" s="33">
        <f>IFERROR((VLOOKUP(A75,AtskaiteStatusuTabula!B:AI,30,0)),0)</f>
        <v>5</v>
      </c>
      <c r="AC75" s="33">
        <v>106807324.67</v>
      </c>
      <c r="AD75" s="29">
        <v>0.9998503292066967</v>
      </c>
      <c r="AE75" s="33">
        <f>IFERROR((VLOOKUP(A75,AtskaiteStatusuTabula!B:AI,31,0)),0)</f>
        <v>106807324.67</v>
      </c>
      <c r="AF75" s="29">
        <f t="shared" si="22"/>
        <v>0.9998503292066967</v>
      </c>
      <c r="AG75" s="29">
        <f t="shared" si="74"/>
        <v>0</v>
      </c>
      <c r="AH75" s="29">
        <f t="shared" si="4"/>
        <v>0</v>
      </c>
      <c r="AI75" s="33">
        <v>106807324.67</v>
      </c>
      <c r="AJ75" s="29">
        <v>0.9998503292066967</v>
      </c>
      <c r="AL75" s="55">
        <f t="shared" si="23"/>
        <v>0</v>
      </c>
    </row>
    <row r="76" spans="1:38" ht="37.5" x14ac:dyDescent="0.3">
      <c r="A76" s="18" t="s">
        <v>288</v>
      </c>
      <c r="B76" s="10" t="str">
        <f>VLOOKUP(A76,saīsinājumi_LV_ENG!A:G,5,FALSE)</f>
        <v>Torņkalna multimodālais transporta mezgls</v>
      </c>
      <c r="C76" s="298"/>
      <c r="D76" s="38" t="s">
        <v>345</v>
      </c>
      <c r="E76" s="38" t="s">
        <v>347</v>
      </c>
      <c r="F76" s="33">
        <v>0</v>
      </c>
      <c r="G76" s="33">
        <v>0</v>
      </c>
      <c r="H76" s="33">
        <f t="shared" si="120"/>
        <v>0</v>
      </c>
      <c r="I76" s="33">
        <v>0</v>
      </c>
      <c r="J76" s="33">
        <f>IFERROR((VLOOKUP(A76,AtskaiteStatusuTabula!B:AI,10,0)),0)</f>
        <v>0</v>
      </c>
      <c r="K76" s="29">
        <f>IFERROR(J76/F76,0)</f>
        <v>0</v>
      </c>
      <c r="L76" s="29">
        <f>K76-P76</f>
        <v>0</v>
      </c>
      <c r="M76" s="29">
        <f t="shared" si="19"/>
        <v>0</v>
      </c>
      <c r="N76" s="33">
        <f>IFERROR((VLOOKUP(A76,AtskaiteStatusuTabula!B:AI,17,0)),0)</f>
        <v>0</v>
      </c>
      <c r="O76" s="33">
        <v>0</v>
      </c>
      <c r="P76" s="29">
        <v>0</v>
      </c>
      <c r="Q76" s="33">
        <f>IFERROR((VLOOKUP(A76,AtskaiteStatusuTabula!B:AI,18,0)),0)</f>
        <v>0</v>
      </c>
      <c r="R76" s="29">
        <f>IFERROR(Q76/F76,0)</f>
        <v>0</v>
      </c>
      <c r="S76" s="29">
        <f t="shared" si="72"/>
        <v>0</v>
      </c>
      <c r="T76" s="29">
        <f t="shared" si="16"/>
        <v>0</v>
      </c>
      <c r="U76" s="33">
        <f>IFERROR((VLOOKUP(A76,AtskaiteStatusuTabula!B:AI,23,0)),0)</f>
        <v>0</v>
      </c>
      <c r="V76" s="33">
        <v>0</v>
      </c>
      <c r="W76" s="29">
        <v>0</v>
      </c>
      <c r="X76" s="33">
        <f>IFERROR((VLOOKUP(A76,AtskaiteStatusuTabula!B:AI,24,0)),0)</f>
        <v>0</v>
      </c>
      <c r="Y76" s="29">
        <f>IFERROR(X76/F76,0)</f>
        <v>0</v>
      </c>
      <c r="Z76" s="29">
        <f t="shared" si="3"/>
        <v>0</v>
      </c>
      <c r="AA76" s="29">
        <f t="shared" si="18"/>
        <v>0</v>
      </c>
      <c r="AB76" s="33">
        <f>IFERROR((VLOOKUP(A76,AtskaiteStatusuTabula!B:AI,30,0)),0)</f>
        <v>0</v>
      </c>
      <c r="AC76" s="33">
        <v>0</v>
      </c>
      <c r="AD76" s="29">
        <v>0</v>
      </c>
      <c r="AE76" s="33">
        <f>IFERROR((VLOOKUP(A76,AtskaiteStatusuTabula!B:AI,31,0)),0)</f>
        <v>0</v>
      </c>
      <c r="AF76" s="29">
        <f t="shared" si="22"/>
        <v>0</v>
      </c>
      <c r="AG76" s="29">
        <f t="shared" si="74"/>
        <v>0</v>
      </c>
      <c r="AH76" s="29">
        <f t="shared" si="4"/>
        <v>0</v>
      </c>
      <c r="AI76" s="33">
        <v>0</v>
      </c>
      <c r="AJ76" s="29">
        <v>0</v>
      </c>
      <c r="AL76" s="55">
        <f t="shared" si="23"/>
        <v>0</v>
      </c>
    </row>
    <row r="77" spans="1:38" ht="37.5" x14ac:dyDescent="0.3">
      <c r="A77" s="18" t="s">
        <v>289</v>
      </c>
      <c r="B77" s="10" t="str">
        <f>VLOOKUP(A77,saīsinājumi_LV_ENG!A:G,5,FALSE)</f>
        <v>Rīgas pilsētas integrēšana TEN-T tīklā</v>
      </c>
      <c r="C77" s="298"/>
      <c r="D77" s="38" t="s">
        <v>345</v>
      </c>
      <c r="E77" s="38" t="s">
        <v>347</v>
      </c>
      <c r="F77" s="33">
        <v>0</v>
      </c>
      <c r="G77" s="33">
        <v>0</v>
      </c>
      <c r="H77" s="33">
        <f t="shared" si="120"/>
        <v>0</v>
      </c>
      <c r="I77" s="33">
        <v>0</v>
      </c>
      <c r="J77" s="33">
        <f>IFERROR((VLOOKUP(A77,AtskaiteStatusuTabula!B:AI,10,0)),0)</f>
        <v>0</v>
      </c>
      <c r="K77" s="29">
        <f>IFERROR(J77/F77,0)</f>
        <v>0</v>
      </c>
      <c r="L77" s="29">
        <f t="shared" si="70"/>
        <v>0</v>
      </c>
      <c r="M77" s="29">
        <f t="shared" si="19"/>
        <v>0</v>
      </c>
      <c r="N77" s="33">
        <f>IFERROR((VLOOKUP(A77,AtskaiteStatusuTabula!B:AI,17,0)),0)</f>
        <v>0</v>
      </c>
      <c r="O77" s="33">
        <v>0</v>
      </c>
      <c r="P77" s="29">
        <v>0</v>
      </c>
      <c r="Q77" s="33">
        <f>IFERROR((VLOOKUP(A77,AtskaiteStatusuTabula!B:AI,18,0)),0)</f>
        <v>0</v>
      </c>
      <c r="R77" s="29">
        <f>IFERROR(Q77/F77,0)</f>
        <v>0</v>
      </c>
      <c r="S77" s="29">
        <f t="shared" si="72"/>
        <v>0</v>
      </c>
      <c r="T77" s="29">
        <f t="shared" si="16"/>
        <v>0</v>
      </c>
      <c r="U77" s="33">
        <f>IFERROR((VLOOKUP(A77,AtskaiteStatusuTabula!B:AI,23,0)),0)</f>
        <v>0</v>
      </c>
      <c r="V77" s="33">
        <v>0</v>
      </c>
      <c r="W77" s="29">
        <v>0</v>
      </c>
      <c r="X77" s="33">
        <f>IFERROR((VLOOKUP(A77,AtskaiteStatusuTabula!B:AI,24,0)),0)</f>
        <v>0</v>
      </c>
      <c r="Y77" s="29">
        <f>IFERROR(X77/F77,0)</f>
        <v>0</v>
      </c>
      <c r="Z77" s="29">
        <f t="shared" si="3"/>
        <v>0</v>
      </c>
      <c r="AA77" s="29">
        <f t="shared" si="18"/>
        <v>0</v>
      </c>
      <c r="AB77" s="33">
        <f>IFERROR((VLOOKUP(A77,AtskaiteStatusuTabula!B:AI,30,0)),0)</f>
        <v>0</v>
      </c>
      <c r="AC77" s="33">
        <v>0</v>
      </c>
      <c r="AD77" s="29">
        <v>0</v>
      </c>
      <c r="AE77" s="33">
        <f>IFERROR((VLOOKUP(A77,AtskaiteStatusuTabula!B:AI,31,0)),0)</f>
        <v>0</v>
      </c>
      <c r="AF77" s="29">
        <f t="shared" si="22"/>
        <v>0</v>
      </c>
      <c r="AG77" s="29">
        <f t="shared" si="74"/>
        <v>0</v>
      </c>
      <c r="AH77" s="29">
        <f t="shared" si="4"/>
        <v>0</v>
      </c>
      <c r="AI77" s="33">
        <v>0</v>
      </c>
      <c r="AJ77" s="29">
        <v>0</v>
      </c>
      <c r="AL77" s="55">
        <f t="shared" si="23"/>
        <v>0</v>
      </c>
    </row>
    <row r="78" spans="1:38" ht="37.5" x14ac:dyDescent="0.3">
      <c r="A78" s="18" t="s">
        <v>290</v>
      </c>
      <c r="B78" s="10" t="str">
        <f>VLOOKUP(A78,saīsinājumi_LV_ENG!A:G,5,FALSE)</f>
        <v>Lielo pilsētu integrēšana TEN-T tīklā</v>
      </c>
      <c r="C78" s="9"/>
      <c r="D78" s="38" t="s">
        <v>345</v>
      </c>
      <c r="E78" s="38" t="s">
        <v>347</v>
      </c>
      <c r="F78" s="33">
        <v>49756932</v>
      </c>
      <c r="G78" s="33">
        <v>0</v>
      </c>
      <c r="H78" s="33">
        <f t="shared" si="120"/>
        <v>49756932</v>
      </c>
      <c r="I78" s="33">
        <v>2778862.1693609902</v>
      </c>
      <c r="J78" s="33">
        <f>IFERROR((VLOOKUP(A78,AtskaiteStatusuTabula!B:AI,10,0)),0)</f>
        <v>44979146.530000001</v>
      </c>
      <c r="K78" s="29">
        <f t="shared" si="12"/>
        <v>0.9039774906137702</v>
      </c>
      <c r="L78" s="29">
        <f t="shared" si="70"/>
        <v>0</v>
      </c>
      <c r="M78" s="29">
        <f t="shared" si="19"/>
        <v>0</v>
      </c>
      <c r="N78" s="33">
        <f>IFERROR((VLOOKUP(A78,AtskaiteStatusuTabula!B:AI,17,0)),0)</f>
        <v>9</v>
      </c>
      <c r="O78" s="33">
        <v>44979146.530000001</v>
      </c>
      <c r="P78" s="29">
        <v>0.9039774906137702</v>
      </c>
      <c r="Q78" s="33">
        <f>IFERROR((VLOOKUP(A78,AtskaiteStatusuTabula!B:AI,18,0)),0)</f>
        <v>44979146.530000001</v>
      </c>
      <c r="R78" s="29">
        <f t="shared" si="71"/>
        <v>0.9039774906137702</v>
      </c>
      <c r="S78" s="29">
        <f t="shared" si="72"/>
        <v>0</v>
      </c>
      <c r="T78" s="29">
        <f t="shared" si="16"/>
        <v>0</v>
      </c>
      <c r="U78" s="33">
        <f>IFERROR((VLOOKUP(A78,AtskaiteStatusuTabula!B:AI,23,0)),0)</f>
        <v>9</v>
      </c>
      <c r="V78" s="33">
        <v>44979146.530000001</v>
      </c>
      <c r="W78" s="29">
        <v>0.9039774906137702</v>
      </c>
      <c r="X78" s="33">
        <f>IFERROR((VLOOKUP(A78,AtskaiteStatusuTabula!B:AI,24,0)),0)</f>
        <v>44979146.530000001</v>
      </c>
      <c r="Y78" s="29">
        <f t="shared" si="73"/>
        <v>0.9039774906137702</v>
      </c>
      <c r="Z78" s="29">
        <f t="shared" ref="Z78:Z145" si="121">Y78-AD78</f>
        <v>0</v>
      </c>
      <c r="AA78" s="29">
        <f t="shared" si="18"/>
        <v>0</v>
      </c>
      <c r="AB78" s="33">
        <f>IFERROR((VLOOKUP(A78,AtskaiteStatusuTabula!B:AI,30,0)),0)</f>
        <v>9</v>
      </c>
      <c r="AC78" s="33">
        <v>44979146.530000001</v>
      </c>
      <c r="AD78" s="29">
        <v>0.9039774906137702</v>
      </c>
      <c r="AE78" s="33">
        <f>IFERROR((VLOOKUP(A78,AtskaiteStatusuTabula!B:AI,31,0)),0)</f>
        <v>45578674.630000003</v>
      </c>
      <c r="AF78" s="29">
        <f t="shared" si="22"/>
        <v>0.91602662780735766</v>
      </c>
      <c r="AG78" s="29">
        <f t="shared" si="74"/>
        <v>0</v>
      </c>
      <c r="AH78" s="29">
        <f t="shared" si="4"/>
        <v>0</v>
      </c>
      <c r="AI78" s="33">
        <v>45578674.630000003</v>
      </c>
      <c r="AJ78" s="29">
        <v>0.91602662780735766</v>
      </c>
      <c r="AL78" s="55">
        <f t="shared" ref="AL78:AL142" si="122">IF(X78&gt;(F78+G78),F78+G78-X78,0)</f>
        <v>0</v>
      </c>
    </row>
    <row r="79" spans="1:38" x14ac:dyDescent="0.3">
      <c r="A79" s="18" t="s">
        <v>291</v>
      </c>
      <c r="B79" s="10" t="str">
        <f>VLOOKUP(A79,saīsinājumi_LV_ENG!A:G,5,FALSE)</f>
        <v>Galveno autoceļu pārbūve</v>
      </c>
      <c r="C79" s="9"/>
      <c r="D79" s="38" t="s">
        <v>345</v>
      </c>
      <c r="E79" s="38" t="s">
        <v>347</v>
      </c>
      <c r="F79" s="33">
        <v>257791486</v>
      </c>
      <c r="G79" s="33">
        <v>0</v>
      </c>
      <c r="H79" s="33">
        <f t="shared" si="120"/>
        <v>257791486</v>
      </c>
      <c r="I79" s="33">
        <v>13514767.514866401</v>
      </c>
      <c r="J79" s="33">
        <f>IFERROR((VLOOKUP(A79,AtskaiteStatusuTabula!B:AI,10,0)),0)</f>
        <v>252454762.66999999</v>
      </c>
      <c r="K79" s="29">
        <f t="shared" si="12"/>
        <v>0.97929829486300413</v>
      </c>
      <c r="L79" s="29">
        <f t="shared" si="70"/>
        <v>0</v>
      </c>
      <c r="M79" s="29">
        <f t="shared" si="19"/>
        <v>0</v>
      </c>
      <c r="N79" s="33">
        <f>IFERROR((VLOOKUP(A79,AtskaiteStatusuTabula!B:AI,17,0)),0)</f>
        <v>24</v>
      </c>
      <c r="O79" s="33">
        <v>252454762.66999999</v>
      </c>
      <c r="P79" s="29">
        <v>0.97929829486300413</v>
      </c>
      <c r="Q79" s="33">
        <f>IFERROR((VLOOKUP(A79,AtskaiteStatusuTabula!B:AI,18,0)),0)</f>
        <v>252454762.66999999</v>
      </c>
      <c r="R79" s="29">
        <f t="shared" si="71"/>
        <v>0.97929829486300413</v>
      </c>
      <c r="S79" s="29">
        <f t="shared" si="72"/>
        <v>0</v>
      </c>
      <c r="T79" s="29">
        <f t="shared" si="16"/>
        <v>0</v>
      </c>
      <c r="U79" s="33">
        <f>IFERROR((VLOOKUP(A79,AtskaiteStatusuTabula!B:AI,23,0)),0)</f>
        <v>24</v>
      </c>
      <c r="V79" s="33">
        <v>252454762.66999999</v>
      </c>
      <c r="W79" s="29">
        <v>0.97929829486300413</v>
      </c>
      <c r="X79" s="33">
        <f>IFERROR((VLOOKUP(A79,AtskaiteStatusuTabula!B:AI,24,0)),0)</f>
        <v>252454762.66999999</v>
      </c>
      <c r="Y79" s="29">
        <f t="shared" si="73"/>
        <v>0.97929829486300413</v>
      </c>
      <c r="Z79" s="29">
        <f t="shared" si="121"/>
        <v>0</v>
      </c>
      <c r="AA79" s="29">
        <f t="shared" si="18"/>
        <v>0</v>
      </c>
      <c r="AB79" s="33">
        <f>IFERROR((VLOOKUP(A79,AtskaiteStatusuTabula!B:AI,30,0)),0)</f>
        <v>24</v>
      </c>
      <c r="AC79" s="33">
        <v>252454762.66999999</v>
      </c>
      <c r="AD79" s="29">
        <v>0.97929829486300413</v>
      </c>
      <c r="AE79" s="33">
        <f>IFERROR((VLOOKUP(A79,AtskaiteStatusuTabula!B:AI,31,0)),0)</f>
        <v>251921771.31</v>
      </c>
      <c r="AF79" s="29">
        <f t="shared" si="22"/>
        <v>0.9772307659144337</v>
      </c>
      <c r="AG79" s="29">
        <f t="shared" si="74"/>
        <v>0</v>
      </c>
      <c r="AH79" s="29">
        <f t="shared" ref="AH79:AH146" si="123">IFERROR(((AE79-AI79)/AI79),0)</f>
        <v>0</v>
      </c>
      <c r="AI79" s="33">
        <v>251921771.31</v>
      </c>
      <c r="AJ79" s="29">
        <v>0.9772307659144337</v>
      </c>
      <c r="AL79" s="55">
        <f t="shared" si="122"/>
        <v>0</v>
      </c>
    </row>
    <row r="80" spans="1:38" ht="56.25" x14ac:dyDescent="0.3">
      <c r="A80" s="18" t="s">
        <v>1295</v>
      </c>
      <c r="B80" s="10" t="str">
        <f>VLOOKUP(A80,saīsinājumi_LV_ENG!A:G,5,FALSE)</f>
        <v>Transporta nozares informācijas piekļuves punkta izveide</v>
      </c>
      <c r="C80" s="9"/>
      <c r="D80" s="38" t="s">
        <v>345</v>
      </c>
      <c r="E80" s="38" t="s">
        <v>347</v>
      </c>
      <c r="F80" s="33">
        <v>5000000</v>
      </c>
      <c r="G80" s="33">
        <v>0</v>
      </c>
      <c r="H80" s="33">
        <f t="shared" si="120"/>
        <v>5000000</v>
      </c>
      <c r="I80" s="33"/>
      <c r="J80" s="33">
        <f>IFERROR((VLOOKUP(A80,AtskaiteStatusuTabula!B:AI,10,0)),0)</f>
        <v>4167215.19</v>
      </c>
      <c r="K80" s="29">
        <f>IFERROR(J80/F80,0)</f>
        <v>0.83344303799999997</v>
      </c>
      <c r="L80" s="29">
        <f t="shared" ref="L80" si="124">K80-P80</f>
        <v>0</v>
      </c>
      <c r="M80" s="29">
        <f t="shared" ref="M80" si="125">IFERROR(((J80-O80)/O80),0)</f>
        <v>0</v>
      </c>
      <c r="N80" s="33">
        <f>IFERROR((VLOOKUP(A80,AtskaiteStatusuTabula!B:AI,17,0)),0)</f>
        <v>1</v>
      </c>
      <c r="O80" s="33">
        <v>4167215.19</v>
      </c>
      <c r="P80" s="29">
        <v>0.83344303799999997</v>
      </c>
      <c r="Q80" s="33">
        <f>IFERROR((VLOOKUP(A80,AtskaiteStatusuTabula!B:AI,18,0)),0)</f>
        <v>4167215.19</v>
      </c>
      <c r="R80" s="29">
        <f>IFERROR(Q80/F80,0)</f>
        <v>0.83344303799999997</v>
      </c>
      <c r="S80" s="29">
        <f t="shared" ref="S80" si="126">R80-W80</f>
        <v>0</v>
      </c>
      <c r="T80" s="29">
        <f t="shared" ref="T80" si="127">IFERROR(((Q80-V80)/V80),0)</f>
        <v>0</v>
      </c>
      <c r="U80" s="33">
        <f>IFERROR((VLOOKUP(A80,AtskaiteStatusuTabula!B:AI,23,0)),0)</f>
        <v>1</v>
      </c>
      <c r="V80" s="33">
        <v>4167215.19</v>
      </c>
      <c r="W80" s="29">
        <v>0.83344303799999997</v>
      </c>
      <c r="X80" s="33">
        <f>IFERROR((VLOOKUP(A80,AtskaiteStatusuTabula!B:AI,24,0)),0)</f>
        <v>4167215.19</v>
      </c>
      <c r="Y80" s="29">
        <f>IFERROR(X80/F80,0)</f>
        <v>0.83344303799999997</v>
      </c>
      <c r="Z80" s="29">
        <f t="shared" ref="Z80" si="128">Y80-AD80</f>
        <v>0</v>
      </c>
      <c r="AA80" s="29">
        <f t="shared" ref="AA80" si="129">IFERROR(((X80-AC80)/AC80),0)</f>
        <v>0</v>
      </c>
      <c r="AB80" s="33">
        <f>IFERROR((VLOOKUP(A80,AtskaiteStatusuTabula!B:AI,30,0)),0)</f>
        <v>1</v>
      </c>
      <c r="AC80" s="33">
        <v>4167215.19</v>
      </c>
      <c r="AD80" s="29">
        <v>0.83344303799999997</v>
      </c>
      <c r="AE80" s="33">
        <f>IFERROR((VLOOKUP(A80,AtskaiteStatusuTabula!B:AI,31,0)),0)</f>
        <v>4167215.19</v>
      </c>
      <c r="AF80" s="29">
        <f t="shared" ref="AF80" si="130">IFERROR((AE80/$F80),0)</f>
        <v>0.83344303799999997</v>
      </c>
      <c r="AG80" s="29">
        <f t="shared" ref="AG80" si="131">AF80-AJ80</f>
        <v>0</v>
      </c>
      <c r="AH80" s="29">
        <f t="shared" ref="AH80" si="132">IFERROR(((AE80-AI80)/AI80),0)</f>
        <v>0</v>
      </c>
      <c r="AI80" s="33">
        <v>4167215.19</v>
      </c>
      <c r="AJ80" s="29">
        <v>0.83344303799999997</v>
      </c>
      <c r="AL80" s="55">
        <f t="shared" si="122"/>
        <v>0</v>
      </c>
    </row>
    <row r="81" spans="1:38" ht="56.25" x14ac:dyDescent="0.3">
      <c r="A81" s="18" t="s">
        <v>1338</v>
      </c>
      <c r="B81" s="10" t="s">
        <v>1341</v>
      </c>
      <c r="C81" s="9"/>
      <c r="D81" s="38" t="s">
        <v>345</v>
      </c>
      <c r="E81" s="38" t="s">
        <v>347</v>
      </c>
      <c r="F81" s="33">
        <v>23800000</v>
      </c>
      <c r="G81" s="33">
        <v>0</v>
      </c>
      <c r="H81" s="33">
        <f t="shared" si="120"/>
        <v>23800000</v>
      </c>
      <c r="I81" s="33"/>
      <c r="J81" s="33">
        <f>IFERROR((VLOOKUP(A81,AtskaiteStatusuTabula!B:AI,10,0)),0)</f>
        <v>21501368.760000002</v>
      </c>
      <c r="K81" s="29">
        <f>IFERROR(J81/F81,0)</f>
        <v>0.90341885546218492</v>
      </c>
      <c r="L81" s="29">
        <f t="shared" ref="L81:L82" si="133">K81-P81</f>
        <v>0</v>
      </c>
      <c r="M81" s="29">
        <f t="shared" ref="M81:M82" si="134">IFERROR(((J81-O81)/O81),0)</f>
        <v>0</v>
      </c>
      <c r="N81" s="33">
        <f>IFERROR((VLOOKUP(A81,AtskaiteStatusuTabula!B:AI,17,0)),0)</f>
        <v>1</v>
      </c>
      <c r="O81" s="33">
        <v>21501368.760000002</v>
      </c>
      <c r="P81" s="29">
        <v>0.90341885546218492</v>
      </c>
      <c r="Q81" s="33">
        <f>IFERROR((VLOOKUP(A81,AtskaiteStatusuTabula!B:AI,18,0)),0)</f>
        <v>21501368.760000002</v>
      </c>
      <c r="R81" s="29">
        <f>IFERROR(Q81/F81,0)</f>
        <v>0.90341885546218492</v>
      </c>
      <c r="S81" s="29">
        <f t="shared" ref="S81" si="135">R81-W81</f>
        <v>0</v>
      </c>
      <c r="T81" s="29">
        <f t="shared" ref="T81" si="136">IFERROR(((Q81-V81)/V81),0)</f>
        <v>0</v>
      </c>
      <c r="U81" s="33">
        <f>IFERROR((VLOOKUP(A81,AtskaiteStatusuTabula!B:AI,23,0)),0)</f>
        <v>1</v>
      </c>
      <c r="V81" s="33">
        <v>21501368.760000002</v>
      </c>
      <c r="W81" s="29">
        <v>0.90341885546218492</v>
      </c>
      <c r="X81" s="33">
        <f>IFERROR((VLOOKUP(A81,AtskaiteStatusuTabula!B:AI,24,0)),0)</f>
        <v>21501368.760000002</v>
      </c>
      <c r="Y81" s="29">
        <f>IFERROR(X81/F81,0)</f>
        <v>0.90341885546218492</v>
      </c>
      <c r="Z81" s="29">
        <f t="shared" ref="Z81" si="137">Y81-AD81</f>
        <v>0</v>
      </c>
      <c r="AA81" s="29">
        <f t="shared" ref="AA81" si="138">IFERROR(((X81-AC81)/AC81),0)</f>
        <v>0</v>
      </c>
      <c r="AB81" s="33">
        <f>IFERROR((VLOOKUP(A81,AtskaiteStatusuTabula!B:AI,30,0)),0)</f>
        <v>1</v>
      </c>
      <c r="AC81" s="33">
        <v>21501368.760000002</v>
      </c>
      <c r="AD81" s="29">
        <v>0.90341885546218492</v>
      </c>
      <c r="AE81" s="33">
        <f>IFERROR((VLOOKUP(A81,AtskaiteStatusuTabula!B:AI,31,0)),0)</f>
        <v>21501368.760000002</v>
      </c>
      <c r="AF81" s="29">
        <f t="shared" ref="AF81" si="139">IFERROR((AE81/$F81),0)</f>
        <v>0.90341885546218492</v>
      </c>
      <c r="AG81" s="29">
        <f t="shared" ref="AG81" si="140">AF81-AJ81</f>
        <v>0</v>
      </c>
      <c r="AH81" s="29">
        <f t="shared" ref="AH81" si="141">IFERROR(((AE81-AI81)/AI81),0)</f>
        <v>0</v>
      </c>
      <c r="AI81" s="33">
        <v>21501368.760000002</v>
      </c>
      <c r="AJ81" s="29">
        <v>0.90341885546218492</v>
      </c>
      <c r="AL81" s="55">
        <f t="shared" si="122"/>
        <v>0</v>
      </c>
    </row>
    <row r="82" spans="1:38" ht="35.1" customHeight="1" x14ac:dyDescent="0.3">
      <c r="A82" s="18" t="s">
        <v>1339</v>
      </c>
      <c r="B82" s="10" t="s">
        <v>1538</v>
      </c>
      <c r="C82" s="9"/>
      <c r="D82" s="38" t="s">
        <v>345</v>
      </c>
      <c r="E82" s="38" t="s">
        <v>347</v>
      </c>
      <c r="F82" s="33">
        <v>1000000</v>
      </c>
      <c r="G82" s="33">
        <v>0</v>
      </c>
      <c r="H82" s="33">
        <f t="shared" si="120"/>
        <v>1000000</v>
      </c>
      <c r="I82" s="33"/>
      <c r="J82" s="33">
        <f>IFERROR((VLOOKUP(A82,AtskaiteStatusuTabula!B:AI,10,0)),0)</f>
        <v>952787.7</v>
      </c>
      <c r="K82" s="29">
        <f>IFERROR(J82/F82,0)</f>
        <v>0.9527876999999999</v>
      </c>
      <c r="L82" s="29">
        <f t="shared" si="133"/>
        <v>0</v>
      </c>
      <c r="M82" s="29">
        <f t="shared" si="134"/>
        <v>0</v>
      </c>
      <c r="N82" s="33">
        <f>IFERROR((VLOOKUP(A82,AtskaiteStatusuTabula!B:AI,17,0)),0)</f>
        <v>1</v>
      </c>
      <c r="O82" s="33">
        <v>952787.7</v>
      </c>
      <c r="P82" s="29">
        <v>0.9527876999999999</v>
      </c>
      <c r="Q82" s="33">
        <f>IFERROR((VLOOKUP(A82,AtskaiteStatusuTabula!B:AI,18,0)),0)</f>
        <v>952787.7</v>
      </c>
      <c r="R82" s="29">
        <f>IFERROR(Q82/F82,0)</f>
        <v>0.9527876999999999</v>
      </c>
      <c r="S82" s="29">
        <f t="shared" ref="S82" si="142">R82-W82</f>
        <v>0</v>
      </c>
      <c r="T82" s="29">
        <f t="shared" ref="T82" si="143">IFERROR(((Q82-V82)/V82),0)</f>
        <v>0</v>
      </c>
      <c r="U82" s="33">
        <f>IFERROR((VLOOKUP(A82,AtskaiteStatusuTabula!B:AI,23,0)),0)</f>
        <v>1</v>
      </c>
      <c r="V82" s="33">
        <v>952787.7</v>
      </c>
      <c r="W82" s="29">
        <v>0.9527876999999999</v>
      </c>
      <c r="X82" s="33">
        <f>IFERROR((VLOOKUP(A82,AtskaiteStatusuTabula!B:AI,24,0)),0)</f>
        <v>952787.7</v>
      </c>
      <c r="Y82" s="29">
        <f>IFERROR(X82/F82,0)</f>
        <v>0.9527876999999999</v>
      </c>
      <c r="Z82" s="29">
        <f t="shared" ref="Z82" si="144">Y82-AD82</f>
        <v>0</v>
      </c>
      <c r="AA82" s="29">
        <f t="shared" ref="AA82" si="145">IFERROR(((X82-AC82)/AC82),0)</f>
        <v>0</v>
      </c>
      <c r="AB82" s="33">
        <f>IFERROR((VLOOKUP(A82,AtskaiteStatusuTabula!B:AI,30,0)),0)</f>
        <v>1</v>
      </c>
      <c r="AC82" s="33">
        <v>952787.7</v>
      </c>
      <c r="AD82" s="29">
        <v>0.9527876999999999</v>
      </c>
      <c r="AE82" s="33">
        <f>IFERROR((VLOOKUP(A82,AtskaiteStatusuTabula!B:AI,31,0)),0)</f>
        <v>952787.7</v>
      </c>
      <c r="AF82" s="29">
        <f t="shared" ref="AF82" si="146">IFERROR((AE82/$F82),0)</f>
        <v>0.9527876999999999</v>
      </c>
      <c r="AG82" s="29">
        <f t="shared" ref="AG82" si="147">AF82-AJ82</f>
        <v>0</v>
      </c>
      <c r="AH82" s="29">
        <f t="shared" ref="AH82" si="148">IFERROR(((AE82-AI82)/AI82),0)</f>
        <v>0</v>
      </c>
      <c r="AI82" s="33">
        <v>952787.7</v>
      </c>
      <c r="AJ82" s="29">
        <v>0.9527876999999999</v>
      </c>
      <c r="AL82" s="55"/>
    </row>
    <row r="83" spans="1:38" x14ac:dyDescent="0.3">
      <c r="A83" s="18" t="s">
        <v>292</v>
      </c>
      <c r="B83" s="10" t="str">
        <f>VLOOKUP(A83,saīsinājumi_LV_ENG!A:G,5,FALSE)</f>
        <v>Dzelzceļa elektrifikācija</v>
      </c>
      <c r="C83" s="9"/>
      <c r="D83" s="38" t="s">
        <v>345</v>
      </c>
      <c r="E83" s="38" t="s">
        <v>347</v>
      </c>
      <c r="F83" s="33">
        <v>0</v>
      </c>
      <c r="G83" s="33">
        <v>0</v>
      </c>
      <c r="H83" s="33">
        <f t="shared" si="120"/>
        <v>0</v>
      </c>
      <c r="I83" s="33">
        <v>28082986</v>
      </c>
      <c r="J83" s="33">
        <f>IFERROR((VLOOKUP(A83,AtskaiteStatusuTabula!B:AI,10,0)),0)</f>
        <v>0</v>
      </c>
      <c r="K83" s="29">
        <f>IFERROR(J83/F83,0)</f>
        <v>0</v>
      </c>
      <c r="L83" s="29">
        <f t="shared" si="70"/>
        <v>0</v>
      </c>
      <c r="M83" s="29">
        <f t="shared" si="19"/>
        <v>0</v>
      </c>
      <c r="N83" s="33">
        <f>IFERROR((VLOOKUP(A83,AtskaiteStatusuTabula!B:AI,17,0)),0)</f>
        <v>0</v>
      </c>
      <c r="O83" s="33">
        <v>0</v>
      </c>
      <c r="P83" s="29">
        <v>0</v>
      </c>
      <c r="Q83" s="33">
        <f>IFERROR((VLOOKUP(A83,AtskaiteStatusuTabula!B:AI,18,0)),0)</f>
        <v>0</v>
      </c>
      <c r="R83" s="29">
        <f>IFERROR(Q83/F83,0)</f>
        <v>0</v>
      </c>
      <c r="S83" s="29">
        <f t="shared" si="72"/>
        <v>0</v>
      </c>
      <c r="T83" s="29">
        <f t="shared" si="16"/>
        <v>0</v>
      </c>
      <c r="U83" s="33">
        <f>IFERROR((VLOOKUP(A83,AtskaiteStatusuTabula!B:AI,23,0)),0)</f>
        <v>0</v>
      </c>
      <c r="V83" s="33">
        <v>0</v>
      </c>
      <c r="W83" s="29">
        <v>0</v>
      </c>
      <c r="X83" s="33">
        <f>IFERROR((VLOOKUP(A83,AtskaiteStatusuTabula!B:AI,24,0)),0)</f>
        <v>0</v>
      </c>
      <c r="Y83" s="29">
        <f>IFERROR(X83/F83,0)</f>
        <v>0</v>
      </c>
      <c r="Z83" s="29">
        <f t="shared" si="121"/>
        <v>0</v>
      </c>
      <c r="AA83" s="29">
        <f t="shared" si="18"/>
        <v>0</v>
      </c>
      <c r="AB83" s="33">
        <f>IFERROR((VLOOKUP(A83,AtskaiteStatusuTabula!B:AI,30,0)),0)</f>
        <v>0</v>
      </c>
      <c r="AC83" s="33">
        <v>0</v>
      </c>
      <c r="AD83" s="29">
        <v>0</v>
      </c>
      <c r="AE83" s="33">
        <f>IFERROR((VLOOKUP(A83,AtskaiteStatusuTabula!B:AI,31,0)),0)</f>
        <v>0</v>
      </c>
      <c r="AF83" s="29">
        <f t="shared" si="22"/>
        <v>0</v>
      </c>
      <c r="AG83" s="29">
        <f t="shared" si="74"/>
        <v>0</v>
      </c>
      <c r="AH83" s="29">
        <f t="shared" si="123"/>
        <v>0</v>
      </c>
      <c r="AI83" s="33">
        <v>0</v>
      </c>
      <c r="AJ83" s="29">
        <v>0</v>
      </c>
      <c r="AL83" s="55">
        <f t="shared" si="122"/>
        <v>0</v>
      </c>
    </row>
    <row r="84" spans="1:38" x14ac:dyDescent="0.3">
      <c r="A84" s="18" t="s">
        <v>293</v>
      </c>
      <c r="B84" s="10" t="str">
        <f>VLOOKUP(A84,saīsinājumi_LV_ENG!A:G,5,FALSE)</f>
        <v>Dzelzceļa infrastruktūra</v>
      </c>
      <c r="C84" s="9"/>
      <c r="D84" s="38" t="s">
        <v>345</v>
      </c>
      <c r="E84" s="38" t="s">
        <v>347</v>
      </c>
      <c r="F84" s="96">
        <v>123087758</v>
      </c>
      <c r="G84" s="33">
        <v>0</v>
      </c>
      <c r="H84" s="96">
        <f t="shared" si="120"/>
        <v>123087758</v>
      </c>
      <c r="I84" s="33">
        <v>0</v>
      </c>
      <c r="J84" s="33">
        <f>IFERROR((VLOOKUP(A84,AtskaiteStatusuTabula!B:AI,10,0)),0)</f>
        <v>61815726.850000001</v>
      </c>
      <c r="K84" s="29">
        <f t="shared" si="12"/>
        <v>0.50220856935260771</v>
      </c>
      <c r="L84" s="29">
        <f t="shared" si="70"/>
        <v>0</v>
      </c>
      <c r="M84" s="29">
        <f t="shared" si="19"/>
        <v>0</v>
      </c>
      <c r="N84" s="33">
        <f>IFERROR((VLOOKUP(A84,AtskaiteStatusuTabula!B:AI,17,0)),0)</f>
        <v>3</v>
      </c>
      <c r="O84" s="33">
        <v>61815726.850000001</v>
      </c>
      <c r="P84" s="29">
        <v>0.50220856935260771</v>
      </c>
      <c r="Q84" s="33">
        <f>IFERROR((VLOOKUP(A84,AtskaiteStatusuTabula!B:AI,18,0)),0)</f>
        <v>61815726.850000001</v>
      </c>
      <c r="R84" s="29">
        <f t="shared" si="71"/>
        <v>0.50220856935260771</v>
      </c>
      <c r="S84" s="29">
        <f t="shared" si="72"/>
        <v>0</v>
      </c>
      <c r="T84" s="29">
        <f t="shared" si="16"/>
        <v>0</v>
      </c>
      <c r="U84" s="33">
        <f>IFERROR((VLOOKUP(A84,AtskaiteStatusuTabula!B:AI,23,0)),0)</f>
        <v>3</v>
      </c>
      <c r="V84" s="33">
        <v>61815726.850000001</v>
      </c>
      <c r="W84" s="29">
        <v>0.50220856935260771</v>
      </c>
      <c r="X84" s="33">
        <f>IFERROR((VLOOKUP(A84,AtskaiteStatusuTabula!B:AI,24,0)),0)</f>
        <v>61815726.850000001</v>
      </c>
      <c r="Y84" s="29">
        <f t="shared" si="73"/>
        <v>0.50220856935260771</v>
      </c>
      <c r="Z84" s="29">
        <f t="shared" si="121"/>
        <v>0</v>
      </c>
      <c r="AA84" s="29">
        <f t="shared" si="18"/>
        <v>0</v>
      </c>
      <c r="AB84" s="33">
        <f>IFERROR((VLOOKUP(A84,AtskaiteStatusuTabula!B:AI,30,0)),0)</f>
        <v>3</v>
      </c>
      <c r="AC84" s="33">
        <v>61815726.850000001</v>
      </c>
      <c r="AD84" s="29">
        <v>0.50220856935260771</v>
      </c>
      <c r="AE84" s="33">
        <f>IFERROR((VLOOKUP(A84,AtskaiteStatusuTabula!B:AI,31,0)),0)</f>
        <v>61815726.850000001</v>
      </c>
      <c r="AF84" s="29">
        <f t="shared" si="22"/>
        <v>0.50220856935260771</v>
      </c>
      <c r="AG84" s="29">
        <f t="shared" si="74"/>
        <v>0</v>
      </c>
      <c r="AH84" s="29">
        <f t="shared" si="123"/>
        <v>0</v>
      </c>
      <c r="AI84" s="33">
        <v>61815726.850000001</v>
      </c>
      <c r="AJ84" s="29">
        <v>0.50220856935260771</v>
      </c>
      <c r="AL84" s="55">
        <f t="shared" si="122"/>
        <v>0</v>
      </c>
    </row>
    <row r="85" spans="1:38" ht="37.5" x14ac:dyDescent="0.3">
      <c r="A85" s="18" t="s">
        <v>294</v>
      </c>
      <c r="B85" s="10" t="str">
        <f>VLOOKUP(A85,saīsinājumi_LV_ENG!A:G,5,FALSE)</f>
        <v>Reģionālo autoceļu pārbūve</v>
      </c>
      <c r="C85" s="9"/>
      <c r="D85" s="38" t="s">
        <v>344</v>
      </c>
      <c r="E85" s="38" t="s">
        <v>347</v>
      </c>
      <c r="F85" s="33">
        <v>235477563</v>
      </c>
      <c r="G85" s="33">
        <v>0</v>
      </c>
      <c r="H85" s="33">
        <f t="shared" si="120"/>
        <v>235477563</v>
      </c>
      <c r="I85" s="33">
        <v>14363011</v>
      </c>
      <c r="J85" s="33">
        <f>IFERROR((VLOOKUP(A85,AtskaiteStatusuTabula!B:AI,10,0)),0)</f>
        <v>229698412.16999999</v>
      </c>
      <c r="K85" s="29">
        <f t="shared" si="12"/>
        <v>0.97545774316510991</v>
      </c>
      <c r="L85" s="29">
        <f t="shared" si="70"/>
        <v>0</v>
      </c>
      <c r="M85" s="29">
        <f t="shared" si="19"/>
        <v>0</v>
      </c>
      <c r="N85" s="33">
        <f>IFERROR((VLOOKUP(A85,AtskaiteStatusuTabula!B:AI,17,0)),0)</f>
        <v>37</v>
      </c>
      <c r="O85" s="33">
        <v>229698412.16999999</v>
      </c>
      <c r="P85" s="29">
        <v>0.97545774316510991</v>
      </c>
      <c r="Q85" s="33">
        <f>IFERROR((VLOOKUP(A85,AtskaiteStatusuTabula!B:AI,18,0)),0)</f>
        <v>229698412.16999999</v>
      </c>
      <c r="R85" s="29">
        <f t="shared" si="71"/>
        <v>0.97545774316510991</v>
      </c>
      <c r="S85" s="29">
        <f t="shared" si="72"/>
        <v>0</v>
      </c>
      <c r="T85" s="29">
        <f t="shared" si="16"/>
        <v>0</v>
      </c>
      <c r="U85" s="33">
        <f>IFERROR((VLOOKUP(A85,AtskaiteStatusuTabula!B:AI,23,0)),0)</f>
        <v>37</v>
      </c>
      <c r="V85" s="33">
        <v>229698412.16999999</v>
      </c>
      <c r="W85" s="29">
        <v>0.97545774316510991</v>
      </c>
      <c r="X85" s="33">
        <f>IFERROR((VLOOKUP(A85,AtskaiteStatusuTabula!B:AI,24,0)),0)</f>
        <v>229698412.16999999</v>
      </c>
      <c r="Y85" s="29">
        <f t="shared" si="73"/>
        <v>0.97545774316510991</v>
      </c>
      <c r="Z85" s="29">
        <f t="shared" si="121"/>
        <v>0</v>
      </c>
      <c r="AA85" s="29">
        <f t="shared" si="18"/>
        <v>0</v>
      </c>
      <c r="AB85" s="33">
        <f>IFERROR((VLOOKUP(A85,AtskaiteStatusuTabula!B:AI,30,0)),0)</f>
        <v>37</v>
      </c>
      <c r="AC85" s="33">
        <v>229698412.16999999</v>
      </c>
      <c r="AD85" s="29">
        <v>0.97545774316510991</v>
      </c>
      <c r="AE85" s="33">
        <f>IFERROR((VLOOKUP(A85,AtskaiteStatusuTabula!B:AI,31,0)),0)</f>
        <v>229360295.77000001</v>
      </c>
      <c r="AF85" s="29">
        <f t="shared" si="22"/>
        <v>0.97402186793482315</v>
      </c>
      <c r="AG85" s="29">
        <f t="shared" si="74"/>
        <v>0</v>
      </c>
      <c r="AH85" s="29">
        <f t="shared" si="123"/>
        <v>0</v>
      </c>
      <c r="AI85" s="33">
        <v>229360295.77000001</v>
      </c>
      <c r="AJ85" s="29">
        <v>0.97402186793482315</v>
      </c>
      <c r="AL85" s="55">
        <f t="shared" si="122"/>
        <v>0</v>
      </c>
    </row>
    <row r="86" spans="1:38" x14ac:dyDescent="0.3">
      <c r="A86" s="19" t="s">
        <v>86</v>
      </c>
      <c r="B86" s="8" t="str">
        <f>VLOOKUP(A86,saīsinājumi_LV_ENG!A:G,5,FALSE)</f>
        <v>Nodarbinātība</v>
      </c>
      <c r="C86" s="8"/>
      <c r="D86" s="40"/>
      <c r="E86" s="40"/>
      <c r="F86" s="35">
        <f>SUM(F87:F96)</f>
        <v>163481471</v>
      </c>
      <c r="G86" s="35">
        <f>SUM(G87:G96)</f>
        <v>0</v>
      </c>
      <c r="H86" s="35">
        <f>SUM(H87:H96)</f>
        <v>163481471</v>
      </c>
      <c r="I86" s="35">
        <f>SUM(I87:I96)</f>
        <v>6973974</v>
      </c>
      <c r="J86" s="35">
        <f>SUM(J87:J96)</f>
        <v>162109868.37</v>
      </c>
      <c r="K86" s="31">
        <f t="shared" ref="K86:K151" si="149">J86/F86</f>
        <v>0.99161004227812466</v>
      </c>
      <c r="L86" s="31">
        <f t="shared" si="70"/>
        <v>0</v>
      </c>
      <c r="M86" s="31">
        <f t="shared" si="19"/>
        <v>0</v>
      </c>
      <c r="N86" s="35">
        <f>SUM(N87:N96)</f>
        <v>7</v>
      </c>
      <c r="O86" s="35">
        <v>162109868.37</v>
      </c>
      <c r="P86" s="31">
        <v>0.99161004227812466</v>
      </c>
      <c r="Q86" s="35">
        <f>SUM(Q87:Q96)</f>
        <v>162109868.37</v>
      </c>
      <c r="R86" s="31">
        <f t="shared" si="71"/>
        <v>0.99161004227812466</v>
      </c>
      <c r="S86" s="31">
        <f t="shared" si="72"/>
        <v>0</v>
      </c>
      <c r="T86" s="31">
        <f t="shared" si="16"/>
        <v>0</v>
      </c>
      <c r="U86" s="35">
        <f>SUM(U87:U96)</f>
        <v>7</v>
      </c>
      <c r="V86" s="35">
        <v>162109868.37</v>
      </c>
      <c r="W86" s="31">
        <v>0.99161004227812466</v>
      </c>
      <c r="X86" s="35">
        <f>SUM(X87:X96)</f>
        <v>162109868.37</v>
      </c>
      <c r="Y86" s="31">
        <f t="shared" si="73"/>
        <v>0.99161004227812466</v>
      </c>
      <c r="Z86" s="31">
        <f t="shared" si="121"/>
        <v>0</v>
      </c>
      <c r="AA86" s="31">
        <f t="shared" si="18"/>
        <v>0</v>
      </c>
      <c r="AB86" s="35">
        <f>SUM(AB87:AB96)</f>
        <v>7</v>
      </c>
      <c r="AC86" s="35">
        <v>162109868.37</v>
      </c>
      <c r="AD86" s="31">
        <v>0.99161004227812466</v>
      </c>
      <c r="AE86" s="35">
        <f>SUM(AE87:AE96)</f>
        <v>162109868.37</v>
      </c>
      <c r="AF86" s="31">
        <f t="shared" si="22"/>
        <v>0.99161004227812466</v>
      </c>
      <c r="AG86" s="31">
        <f t="shared" si="74"/>
        <v>0</v>
      </c>
      <c r="AH86" s="31">
        <f t="shared" si="123"/>
        <v>0</v>
      </c>
      <c r="AI86" s="35">
        <v>162109868.37</v>
      </c>
      <c r="AJ86" s="31">
        <v>0.99161004227812466</v>
      </c>
      <c r="AL86" s="55">
        <f t="shared" si="122"/>
        <v>0</v>
      </c>
    </row>
    <row r="87" spans="1:38" ht="37.5" x14ac:dyDescent="0.3">
      <c r="A87" s="18" t="s">
        <v>296</v>
      </c>
      <c r="B87" s="10" t="str">
        <f>VLOOKUP(A87,saīsinājumi_LV_ENG!A:G,5,FALSE)</f>
        <v>Atbalsts bezdarbnieku izglītībai</v>
      </c>
      <c r="C87" s="470" t="s">
        <v>1569</v>
      </c>
      <c r="D87" s="38" t="s">
        <v>346</v>
      </c>
      <c r="E87" s="38" t="s">
        <v>351</v>
      </c>
      <c r="F87" s="96">
        <v>87338436</v>
      </c>
      <c r="G87" s="33">
        <v>0</v>
      </c>
      <c r="H87" s="33">
        <f t="shared" ref="H87:H96" si="150">F87+G87</f>
        <v>87338436</v>
      </c>
      <c r="I87" s="96">
        <v>5699925</v>
      </c>
      <c r="J87" s="445">
        <f>IFERROR((VLOOKUP(A87,AtskaiteStatusuTabula!B:AI,10,0)),0)-J169</f>
        <v>87333801.5</v>
      </c>
      <c r="K87" s="29">
        <f t="shared" si="149"/>
        <v>0.99994693630648479</v>
      </c>
      <c r="L87" s="29">
        <f t="shared" ref="L87:L116" si="151">K87-P87</f>
        <v>0</v>
      </c>
      <c r="M87" s="29">
        <f t="shared" si="19"/>
        <v>0</v>
      </c>
      <c r="N87" s="33">
        <f>IFERROR((VLOOKUP(A87,AtskaiteStatusuTabula!B:AI,17,0)),0)</f>
        <v>1</v>
      </c>
      <c r="O87" s="33">
        <v>87333801.5</v>
      </c>
      <c r="P87" s="29">
        <v>0.99994693630648479</v>
      </c>
      <c r="Q87" s="445">
        <f>IFERROR((VLOOKUP(A87,AtskaiteStatusuTabula!B:AI,18,0)),0)-Q169</f>
        <v>87333801.5</v>
      </c>
      <c r="R87" s="29">
        <f t="shared" ref="R87:R116" si="152">Q87/F87</f>
        <v>0.99994693630648479</v>
      </c>
      <c r="S87" s="29">
        <f t="shared" ref="S87:S116" si="153">R87-W87</f>
        <v>0</v>
      </c>
      <c r="T87" s="29">
        <f t="shared" ref="T87:T152" si="154">IFERROR(((Q87-V87)/V87),0)</f>
        <v>0</v>
      </c>
      <c r="U87" s="33">
        <f>IFERROR((VLOOKUP(A87,AtskaiteStatusuTabula!B:AI,23,0)),0)</f>
        <v>1</v>
      </c>
      <c r="V87" s="33">
        <v>87333801.5</v>
      </c>
      <c r="W87" s="29">
        <v>0.99994693630648479</v>
      </c>
      <c r="X87" s="445">
        <f>IFERROR((VLOOKUP(A87,AtskaiteStatusuTabula!B:AI,24,0)),0)-X169</f>
        <v>87333801.5</v>
      </c>
      <c r="Y87" s="29">
        <f t="shared" ref="Y87:Y116" si="155">X87/F87</f>
        <v>0.99994693630648479</v>
      </c>
      <c r="Z87" s="29">
        <f t="shared" si="121"/>
        <v>0</v>
      </c>
      <c r="AA87" s="29">
        <f t="shared" ref="AA87:AA152" si="156">IFERROR(((X87-AC87)/AC87),0)</f>
        <v>0</v>
      </c>
      <c r="AB87" s="33">
        <f>IFERROR((VLOOKUP(A87,AtskaiteStatusuTabula!B:AI,30,0)),0)</f>
        <v>1</v>
      </c>
      <c r="AC87" s="33">
        <v>87333801.5</v>
      </c>
      <c r="AD87" s="29">
        <v>0.99994693630648479</v>
      </c>
      <c r="AE87" s="445">
        <f>IFERROR((VLOOKUP(A87,AtskaiteStatusuTabula!B:AI,31,0)),0)-AE169</f>
        <v>87333801.5</v>
      </c>
      <c r="AF87" s="29">
        <f t="shared" ref="AF87:AF152" si="157">IFERROR((AE87/$F87),0)</f>
        <v>0.99994693630648479</v>
      </c>
      <c r="AG87" s="29">
        <f t="shared" si="74"/>
        <v>0</v>
      </c>
      <c r="AH87" s="29">
        <f t="shared" si="123"/>
        <v>0</v>
      </c>
      <c r="AI87" s="33">
        <v>87333801.5</v>
      </c>
      <c r="AJ87" s="29">
        <v>0.99994693630648479</v>
      </c>
      <c r="AL87" s="55">
        <f t="shared" si="122"/>
        <v>0</v>
      </c>
    </row>
    <row r="88" spans="1:38" ht="37.5" x14ac:dyDescent="0.3">
      <c r="A88" s="18" t="s">
        <v>297</v>
      </c>
      <c r="B88" s="10" t="str">
        <f>VLOOKUP(A88,saīsinājumi_LV_ENG!A:G,5,FALSE)</f>
        <v>EURES tīkla darbība Latvijā</v>
      </c>
      <c r="C88" s="470" t="s">
        <v>1569</v>
      </c>
      <c r="D88" s="38" t="s">
        <v>346</v>
      </c>
      <c r="E88" s="38" t="s">
        <v>351</v>
      </c>
      <c r="F88" s="96">
        <v>711612</v>
      </c>
      <c r="G88" s="96">
        <v>0</v>
      </c>
      <c r="H88" s="96">
        <f t="shared" si="150"/>
        <v>711612</v>
      </c>
      <c r="I88" s="96">
        <v>0</v>
      </c>
      <c r="J88" s="33">
        <f>IFERROR((VLOOKUP(A88,AtskaiteStatusuTabula!B:AI,10,0)),0)</f>
        <v>703641.07</v>
      </c>
      <c r="K88" s="29">
        <f t="shared" si="149"/>
        <v>0.98879876955419521</v>
      </c>
      <c r="L88" s="29">
        <f t="shared" si="151"/>
        <v>0</v>
      </c>
      <c r="M88" s="29">
        <f t="shared" ref="M88:M152" si="158">IFERROR(((J88-O88)/O88),0)</f>
        <v>0</v>
      </c>
      <c r="N88" s="33">
        <f>IFERROR((VLOOKUP(A88,AtskaiteStatusuTabula!B:AI,17,0)),0)</f>
        <v>1</v>
      </c>
      <c r="O88" s="33">
        <v>703641.07</v>
      </c>
      <c r="P88" s="29">
        <v>0.98879876955419521</v>
      </c>
      <c r="Q88" s="33">
        <f>IFERROR((VLOOKUP(A88,AtskaiteStatusuTabula!B:AI,18,0)),0)</f>
        <v>703641.07</v>
      </c>
      <c r="R88" s="29">
        <f t="shared" si="152"/>
        <v>0.98879876955419521</v>
      </c>
      <c r="S88" s="29">
        <f t="shared" si="153"/>
        <v>0</v>
      </c>
      <c r="T88" s="29">
        <f t="shared" si="154"/>
        <v>0</v>
      </c>
      <c r="U88" s="33">
        <f>IFERROR((VLOOKUP(A88,AtskaiteStatusuTabula!B:AI,23,0)),0)</f>
        <v>1</v>
      </c>
      <c r="V88" s="33">
        <v>703641.07</v>
      </c>
      <c r="W88" s="29">
        <v>0.98879876955419521</v>
      </c>
      <c r="X88" s="33">
        <f>IFERROR((VLOOKUP(A88,AtskaiteStatusuTabula!B:AI,24,0)),0)</f>
        <v>703641.07</v>
      </c>
      <c r="Y88" s="29">
        <f t="shared" si="155"/>
        <v>0.98879876955419521</v>
      </c>
      <c r="Z88" s="29">
        <f t="shared" si="121"/>
        <v>0</v>
      </c>
      <c r="AA88" s="29">
        <f t="shared" si="156"/>
        <v>0</v>
      </c>
      <c r="AB88" s="33">
        <f>IFERROR((VLOOKUP(A88,AtskaiteStatusuTabula!B:AI,30,0)),0)</f>
        <v>1</v>
      </c>
      <c r="AC88" s="33">
        <v>703641.07</v>
      </c>
      <c r="AD88" s="29">
        <v>0.98879876955419521</v>
      </c>
      <c r="AE88" s="33">
        <f>IFERROR((VLOOKUP(A88,AtskaiteStatusuTabula!B:AI,31,0)),0)</f>
        <v>703641.07</v>
      </c>
      <c r="AF88" s="29">
        <f t="shared" si="157"/>
        <v>0.98879876955419521</v>
      </c>
      <c r="AG88" s="29">
        <f t="shared" ref="AG88:AG117" si="159">AF88-AJ88</f>
        <v>0</v>
      </c>
      <c r="AH88" s="29">
        <f t="shared" si="123"/>
        <v>0</v>
      </c>
      <c r="AI88" s="33">
        <v>703641.07</v>
      </c>
      <c r="AJ88" s="29">
        <v>0.98879876955419521</v>
      </c>
      <c r="AL88" s="55">
        <f t="shared" si="122"/>
        <v>0</v>
      </c>
    </row>
    <row r="89" spans="1:38" ht="56.25" x14ac:dyDescent="0.3">
      <c r="A89" s="18" t="s">
        <v>298</v>
      </c>
      <c r="B89" s="10" t="str">
        <f>VLOOKUP(A89,saīsinājumi_LV_ENG!A:G,5,FALSE)</f>
        <v xml:space="preserve">Darba tirgus prognozēšanas sistēmas pilnveide </v>
      </c>
      <c r="C89" s="9"/>
      <c r="D89" s="38" t="s">
        <v>346</v>
      </c>
      <c r="E89" s="38" t="s">
        <v>351</v>
      </c>
      <c r="F89" s="96">
        <v>1190655</v>
      </c>
      <c r="G89" s="96">
        <v>0</v>
      </c>
      <c r="H89" s="96">
        <f t="shared" si="150"/>
        <v>1190655</v>
      </c>
      <c r="I89" s="96">
        <v>0</v>
      </c>
      <c r="J89" s="33">
        <f>IFERROR((VLOOKUP(A89,AtskaiteStatusuTabula!B:AI,10,0)),0)</f>
        <v>1183849.1499999999</v>
      </c>
      <c r="K89" s="29">
        <f t="shared" si="149"/>
        <v>0.99428394455152824</v>
      </c>
      <c r="L89" s="29">
        <f t="shared" si="151"/>
        <v>0</v>
      </c>
      <c r="M89" s="29">
        <f t="shared" si="158"/>
        <v>0</v>
      </c>
      <c r="N89" s="33">
        <f>IFERROR((VLOOKUP(A89,AtskaiteStatusuTabula!B:AI,17,0)),0)</f>
        <v>1</v>
      </c>
      <c r="O89" s="33">
        <v>1183849.1499999999</v>
      </c>
      <c r="P89" s="29">
        <v>0.99428394455152824</v>
      </c>
      <c r="Q89" s="33">
        <f>IFERROR((VLOOKUP(A89,AtskaiteStatusuTabula!B:AI,18,0)),0)</f>
        <v>1183849.1499999999</v>
      </c>
      <c r="R89" s="29">
        <f t="shared" si="152"/>
        <v>0.99428394455152824</v>
      </c>
      <c r="S89" s="29">
        <f t="shared" si="153"/>
        <v>0</v>
      </c>
      <c r="T89" s="29">
        <f t="shared" si="154"/>
        <v>0</v>
      </c>
      <c r="U89" s="33">
        <f>IFERROR((VLOOKUP(A89,AtskaiteStatusuTabula!B:AI,23,0)),0)</f>
        <v>1</v>
      </c>
      <c r="V89" s="33">
        <v>1183849.1499999999</v>
      </c>
      <c r="W89" s="29">
        <v>0.99428394455152824</v>
      </c>
      <c r="X89" s="33">
        <f>IFERROR((VLOOKUP(A89,AtskaiteStatusuTabula!B:AI,24,0)),0)</f>
        <v>1183849.1499999999</v>
      </c>
      <c r="Y89" s="29">
        <f t="shared" si="155"/>
        <v>0.99428394455152824</v>
      </c>
      <c r="Z89" s="29">
        <f t="shared" si="121"/>
        <v>0</v>
      </c>
      <c r="AA89" s="29">
        <f t="shared" si="156"/>
        <v>0</v>
      </c>
      <c r="AB89" s="33">
        <f>IFERROR((VLOOKUP(A89,AtskaiteStatusuTabula!B:AI,30,0)),0)</f>
        <v>1</v>
      </c>
      <c r="AC89" s="33">
        <v>1183849.1499999999</v>
      </c>
      <c r="AD89" s="29">
        <v>0.99428394455152824</v>
      </c>
      <c r="AE89" s="33">
        <f>IFERROR((VLOOKUP(A89,AtskaiteStatusuTabula!B:AI,31,0)),0)</f>
        <v>1183849.1499999999</v>
      </c>
      <c r="AF89" s="29">
        <f t="shared" si="157"/>
        <v>0.99428394455152824</v>
      </c>
      <c r="AG89" s="29">
        <f t="shared" si="159"/>
        <v>0</v>
      </c>
      <c r="AH89" s="29">
        <f t="shared" si="123"/>
        <v>0</v>
      </c>
      <c r="AI89" s="33">
        <v>1183849.1499999999</v>
      </c>
      <c r="AJ89" s="29">
        <v>0.99428394455152824</v>
      </c>
      <c r="AL89" s="55">
        <f t="shared" si="122"/>
        <v>0</v>
      </c>
    </row>
    <row r="90" spans="1:38" ht="56.25" x14ac:dyDescent="0.3">
      <c r="A90" s="18" t="s">
        <v>299</v>
      </c>
      <c r="B90" s="10" t="str">
        <f>VLOOKUP(A90,saīsinājumi_LV_ENG!A:G,5,FALSE)</f>
        <v>Jauniešu garantijas (aktīvās nodarbinātības pasākumi)</v>
      </c>
      <c r="C90" s="9">
        <v>1</v>
      </c>
      <c r="D90" s="38" t="s">
        <v>346</v>
      </c>
      <c r="E90" s="38" t="s">
        <v>351</v>
      </c>
      <c r="F90" s="33">
        <v>16606100</v>
      </c>
      <c r="G90" s="33">
        <v>0</v>
      </c>
      <c r="H90" s="33">
        <f t="shared" si="150"/>
        <v>16606100</v>
      </c>
      <c r="I90" s="33">
        <v>0</v>
      </c>
      <c r="J90" s="33">
        <f>IFERROR((VLOOKUP(A90,AtskaiteStatusuTabula!B:AI,10,0)),0)</f>
        <v>15996371.41</v>
      </c>
      <c r="K90" s="29">
        <f t="shared" si="149"/>
        <v>0.96328285449322837</v>
      </c>
      <c r="L90" s="29">
        <f t="shared" si="151"/>
        <v>0</v>
      </c>
      <c r="M90" s="29">
        <f t="shared" si="158"/>
        <v>0</v>
      </c>
      <c r="N90" s="146">
        <v>0</v>
      </c>
      <c r="O90" s="33">
        <v>15996371.41</v>
      </c>
      <c r="P90" s="29">
        <v>0.96328285449322837</v>
      </c>
      <c r="Q90" s="33">
        <f>IFERROR((VLOOKUP(A90,AtskaiteStatusuTabula!B:AI,18,0)),0)</f>
        <v>15996371.41</v>
      </c>
      <c r="R90" s="29">
        <f t="shared" si="152"/>
        <v>0.96328285449322837</v>
      </c>
      <c r="S90" s="29">
        <f t="shared" si="153"/>
        <v>0</v>
      </c>
      <c r="T90" s="29">
        <f t="shared" si="154"/>
        <v>0</v>
      </c>
      <c r="U90" s="146">
        <v>0</v>
      </c>
      <c r="V90" s="33">
        <v>15996371.41</v>
      </c>
      <c r="W90" s="29">
        <v>0.96328285449322837</v>
      </c>
      <c r="X90" s="33">
        <f>IFERROR((VLOOKUP(A90,AtskaiteStatusuTabula!B:AI,24,0)),0)</f>
        <v>15996371.41</v>
      </c>
      <c r="Y90" s="29">
        <f t="shared" si="155"/>
        <v>0.96328285449322837</v>
      </c>
      <c r="Z90" s="29">
        <f t="shared" si="121"/>
        <v>0</v>
      </c>
      <c r="AA90" s="29">
        <f t="shared" si="156"/>
        <v>0</v>
      </c>
      <c r="AB90" s="146">
        <v>0</v>
      </c>
      <c r="AC90" s="33">
        <v>15996371.41</v>
      </c>
      <c r="AD90" s="29">
        <v>0.96328285449322837</v>
      </c>
      <c r="AE90" s="33">
        <f>IFERROR((VLOOKUP(A90,AtskaiteStatusuTabula!B:AI,31,0)),0)</f>
        <v>15996371.41</v>
      </c>
      <c r="AF90" s="29">
        <f t="shared" si="157"/>
        <v>0.96328285449322837</v>
      </c>
      <c r="AG90" s="29">
        <f t="shared" si="159"/>
        <v>0</v>
      </c>
      <c r="AH90" s="29">
        <f t="shared" si="123"/>
        <v>0</v>
      </c>
      <c r="AI90" s="33">
        <v>15996371.41</v>
      </c>
      <c r="AJ90" s="29">
        <v>0.96328285449322837</v>
      </c>
      <c r="AL90" s="55">
        <f t="shared" si="122"/>
        <v>0</v>
      </c>
    </row>
    <row r="91" spans="1:38" ht="56.25" x14ac:dyDescent="0.3">
      <c r="A91" s="20" t="s">
        <v>299</v>
      </c>
      <c r="B91" s="10" t="str">
        <f>VLOOKUP(A91,saīsinājumi_LV_ENG!A:G,5,FALSE)</f>
        <v>Jauniešu garantijas (aktīvās nodarbinātības pasākumi)</v>
      </c>
      <c r="C91" s="9"/>
      <c r="D91" s="41" t="s">
        <v>358</v>
      </c>
      <c r="E91" s="41" t="s">
        <v>351</v>
      </c>
      <c r="F91" s="36">
        <v>15186315</v>
      </c>
      <c r="G91" s="33">
        <v>0</v>
      </c>
      <c r="H91" s="33">
        <f>F91+G91</f>
        <v>15186315</v>
      </c>
      <c r="I91" s="33">
        <v>0</v>
      </c>
      <c r="J91" s="146">
        <f>AtskaiteStatusuTabula!K141</f>
        <v>15796042.16</v>
      </c>
      <c r="K91" s="29">
        <f>J91/F91</f>
        <v>1.0401497769537904</v>
      </c>
      <c r="L91" s="29">
        <f t="shared" si="151"/>
        <v>0</v>
      </c>
      <c r="M91" s="29">
        <f>IFERROR(((J91-O91)/O91),0)</f>
        <v>0</v>
      </c>
      <c r="N91" s="146">
        <v>1</v>
      </c>
      <c r="O91" s="33">
        <v>15796042.16</v>
      </c>
      <c r="P91" s="29">
        <v>1.0401497769537904</v>
      </c>
      <c r="Q91" s="146">
        <f>AtskaiteStatusuTabula!S141</f>
        <v>15796042.16</v>
      </c>
      <c r="R91" s="29">
        <f t="shared" si="152"/>
        <v>1.0401497769537904</v>
      </c>
      <c r="S91" s="29">
        <f t="shared" si="153"/>
        <v>0</v>
      </c>
      <c r="T91" s="29">
        <f t="shared" si="154"/>
        <v>0</v>
      </c>
      <c r="U91" s="146">
        <v>1</v>
      </c>
      <c r="V91" s="33">
        <v>15796042.16</v>
      </c>
      <c r="W91" s="29">
        <v>1.0401497769537904</v>
      </c>
      <c r="X91" s="146">
        <f>AtskaiteStatusuTabula!Y141</f>
        <v>15796042.16</v>
      </c>
      <c r="Y91" s="29">
        <f t="shared" si="155"/>
        <v>1.0401497769537904</v>
      </c>
      <c r="Z91" s="29">
        <f t="shared" si="121"/>
        <v>0</v>
      </c>
      <c r="AA91" s="29">
        <f t="shared" si="156"/>
        <v>0</v>
      </c>
      <c r="AB91" s="146">
        <v>1</v>
      </c>
      <c r="AC91" s="33">
        <v>15796042.16</v>
      </c>
      <c r="AD91" s="29">
        <v>1.0401497769537904</v>
      </c>
      <c r="AE91" s="146">
        <f>AtskaiteStatusuTabula!AF141</f>
        <v>15796042.16</v>
      </c>
      <c r="AF91" s="29">
        <f t="shared" si="157"/>
        <v>1.0401497769537904</v>
      </c>
      <c r="AG91" s="29">
        <f t="shared" si="159"/>
        <v>0</v>
      </c>
      <c r="AH91" s="29">
        <f t="shared" si="123"/>
        <v>0</v>
      </c>
      <c r="AI91" s="33">
        <v>15796042.16</v>
      </c>
      <c r="AJ91" s="29">
        <v>1.0401497769537904</v>
      </c>
      <c r="AL91" s="55">
        <f t="shared" si="122"/>
        <v>-609727.16000000015</v>
      </c>
    </row>
    <row r="92" spans="1:38" ht="56.25" x14ac:dyDescent="0.3">
      <c r="A92" s="18" t="s">
        <v>300</v>
      </c>
      <c r="B92" s="10" t="str">
        <f>VLOOKUP(A92,saīsinājumi_LV_ENG!A:G,5,FALSE)</f>
        <v>Jauniešu garantijas (profesionālās izglītības pasākumi)</v>
      </c>
      <c r="C92" s="9">
        <v>1</v>
      </c>
      <c r="D92" s="38" t="s">
        <v>346</v>
      </c>
      <c r="E92" s="38" t="s">
        <v>351</v>
      </c>
      <c r="F92" s="33">
        <v>21201278</v>
      </c>
      <c r="G92" s="33">
        <v>0</v>
      </c>
      <c r="H92" s="33">
        <f t="shared" si="150"/>
        <v>21201278</v>
      </c>
      <c r="I92" s="33">
        <v>0</v>
      </c>
      <c r="J92" s="33">
        <f>IFERROR((VLOOKUP(A92,AtskaiteStatusuTabula!B:AI,10,0)),0)</f>
        <v>20971645.190000001</v>
      </c>
      <c r="K92" s="29">
        <f>J92/F92</f>
        <v>0.98916891660964967</v>
      </c>
      <c r="L92" s="29">
        <f t="shared" si="151"/>
        <v>0</v>
      </c>
      <c r="M92" s="29">
        <f t="shared" si="158"/>
        <v>0</v>
      </c>
      <c r="N92" s="146">
        <v>0</v>
      </c>
      <c r="O92" s="33">
        <v>20971645.190000001</v>
      </c>
      <c r="P92" s="29">
        <v>0.98916891660964967</v>
      </c>
      <c r="Q92" s="33">
        <f>IFERROR((VLOOKUP(A92,AtskaiteStatusuTabula!B:AI,18,0)),0)</f>
        <v>20971645.190000001</v>
      </c>
      <c r="R92" s="29">
        <f t="shared" si="152"/>
        <v>0.98916891660964967</v>
      </c>
      <c r="S92" s="29">
        <f t="shared" si="153"/>
        <v>0</v>
      </c>
      <c r="T92" s="29">
        <f t="shared" si="154"/>
        <v>0</v>
      </c>
      <c r="U92" s="146">
        <v>0</v>
      </c>
      <c r="V92" s="33">
        <v>20971645.190000001</v>
      </c>
      <c r="W92" s="29">
        <v>0.98916891660964967</v>
      </c>
      <c r="X92" s="33">
        <f>IFERROR((VLOOKUP(A92,AtskaiteStatusuTabula!B:AI,24,0)),0)</f>
        <v>20971645.190000001</v>
      </c>
      <c r="Y92" s="29">
        <f t="shared" si="155"/>
        <v>0.98916891660964967</v>
      </c>
      <c r="Z92" s="29">
        <f t="shared" si="121"/>
        <v>0</v>
      </c>
      <c r="AA92" s="29">
        <f t="shared" si="156"/>
        <v>0</v>
      </c>
      <c r="AB92" s="146">
        <v>0</v>
      </c>
      <c r="AC92" s="33">
        <v>20971645.190000001</v>
      </c>
      <c r="AD92" s="29">
        <v>0.98916891660964967</v>
      </c>
      <c r="AE92" s="33">
        <f>IFERROR((VLOOKUP(A92,AtskaiteStatusuTabula!B:AI,31,0)),0)</f>
        <v>20971645.190000001</v>
      </c>
      <c r="AF92" s="29">
        <f t="shared" si="157"/>
        <v>0.98916891660964967</v>
      </c>
      <c r="AG92" s="29">
        <f t="shared" si="159"/>
        <v>0</v>
      </c>
      <c r="AH92" s="29">
        <f t="shared" si="123"/>
        <v>0</v>
      </c>
      <c r="AI92" s="33">
        <v>20971645.190000001</v>
      </c>
      <c r="AJ92" s="29">
        <v>0.98916891660964967</v>
      </c>
      <c r="AL92" s="55">
        <f t="shared" si="122"/>
        <v>0</v>
      </c>
    </row>
    <row r="93" spans="1:38" ht="56.25" x14ac:dyDescent="0.3">
      <c r="A93" s="20" t="s">
        <v>300</v>
      </c>
      <c r="B93" s="10" t="str">
        <f>VLOOKUP(A93,saīsinājumi_LV_ENG!A:G,5,FALSE)</f>
        <v>Jauniešu garantijas (profesionālās izglītības pasākumi)</v>
      </c>
      <c r="C93" s="9"/>
      <c r="D93" s="41" t="s">
        <v>358</v>
      </c>
      <c r="E93" s="41" t="s">
        <v>351</v>
      </c>
      <c r="F93" s="36">
        <v>13824324</v>
      </c>
      <c r="G93" s="33">
        <v>0</v>
      </c>
      <c r="H93" s="33">
        <f t="shared" si="150"/>
        <v>13824324</v>
      </c>
      <c r="I93" s="33">
        <v>0</v>
      </c>
      <c r="J93" s="146">
        <f>AtskaiteStatusuTabula!K143</f>
        <v>13014361.460000001</v>
      </c>
      <c r="K93" s="29">
        <f>J93/F93</f>
        <v>0.94141033297541354</v>
      </c>
      <c r="L93" s="29">
        <f t="shared" si="151"/>
        <v>0</v>
      </c>
      <c r="M93" s="29">
        <f t="shared" si="158"/>
        <v>0</v>
      </c>
      <c r="N93" s="146">
        <v>1</v>
      </c>
      <c r="O93" s="33">
        <v>13014361.460000001</v>
      </c>
      <c r="P93" s="29">
        <v>0.94141033297541354</v>
      </c>
      <c r="Q93" s="146">
        <f>AtskaiteStatusuTabula!S143</f>
        <v>13014361.460000001</v>
      </c>
      <c r="R93" s="29">
        <f t="shared" si="152"/>
        <v>0.94141033297541354</v>
      </c>
      <c r="S93" s="29">
        <f t="shared" si="153"/>
        <v>0</v>
      </c>
      <c r="T93" s="29">
        <f t="shared" si="154"/>
        <v>0</v>
      </c>
      <c r="U93" s="146">
        <v>1</v>
      </c>
      <c r="V93" s="33">
        <v>13014361.460000001</v>
      </c>
      <c r="W93" s="29">
        <v>0.94141033297541354</v>
      </c>
      <c r="X93" s="146">
        <f>AtskaiteStatusuTabula!Y143</f>
        <v>13014361.460000001</v>
      </c>
      <c r="Y93" s="29">
        <f t="shared" si="155"/>
        <v>0.94141033297541354</v>
      </c>
      <c r="Z93" s="29">
        <f t="shared" si="121"/>
        <v>0</v>
      </c>
      <c r="AA93" s="29">
        <f t="shared" si="156"/>
        <v>0</v>
      </c>
      <c r="AB93" s="146">
        <v>1</v>
      </c>
      <c r="AC93" s="33">
        <v>13014361.460000001</v>
      </c>
      <c r="AD93" s="29">
        <v>0.94141033297541354</v>
      </c>
      <c r="AE93" s="146">
        <f>AtskaiteStatusuTabula!AF143</f>
        <v>13014361.460000001</v>
      </c>
      <c r="AF93" s="29">
        <f t="shared" si="157"/>
        <v>0.94141033297541354</v>
      </c>
      <c r="AG93" s="29">
        <f t="shared" si="159"/>
        <v>0</v>
      </c>
      <c r="AH93" s="29">
        <f t="shared" si="123"/>
        <v>0</v>
      </c>
      <c r="AI93" s="33">
        <v>13014361.460000001</v>
      </c>
      <c r="AJ93" s="29">
        <v>0.94141033297541354</v>
      </c>
      <c r="AL93" s="55">
        <f t="shared" si="122"/>
        <v>0</v>
      </c>
    </row>
    <row r="94" spans="1:38" ht="56.25" x14ac:dyDescent="0.3">
      <c r="A94" s="18" t="s">
        <v>301</v>
      </c>
      <c r="B94" s="10" t="s">
        <v>202</v>
      </c>
      <c r="C94" s="9"/>
      <c r="D94" s="38" t="s">
        <v>346</v>
      </c>
      <c r="E94" s="38" t="s">
        <v>351</v>
      </c>
      <c r="F94" s="96">
        <v>0</v>
      </c>
      <c r="G94" s="96">
        <v>0</v>
      </c>
      <c r="H94" s="96">
        <f t="shared" si="150"/>
        <v>0</v>
      </c>
      <c r="I94" s="96">
        <v>1274049</v>
      </c>
      <c r="J94" s="33">
        <f>IFERROR((VLOOKUP(A94,AtskaiteStatusuTabula!B:AI,10,0)),0)</f>
        <v>0</v>
      </c>
      <c r="K94" s="29">
        <f>IFERROR(J94/F94,0)</f>
        <v>0</v>
      </c>
      <c r="L94" s="29">
        <f>IFERROR(K94-P94,0)</f>
        <v>0</v>
      </c>
      <c r="M94" s="29">
        <f t="shared" si="158"/>
        <v>0</v>
      </c>
      <c r="N94" s="33">
        <f>IFERROR((VLOOKUP(A94,AtskaiteStatusuTabula!B:AI,17,0)),0)</f>
        <v>0</v>
      </c>
      <c r="O94" s="33">
        <v>0</v>
      </c>
      <c r="P94" s="29">
        <v>0</v>
      </c>
      <c r="Q94" s="33">
        <f>IFERROR((VLOOKUP(A94,AtskaiteStatusuTabula!B:AI,18,0)),0)</f>
        <v>0</v>
      </c>
      <c r="R94" s="29">
        <f>IFERROR(Q94/F94,0)</f>
        <v>0</v>
      </c>
      <c r="S94" s="29">
        <f>IFERROR(R94-W94,0)</f>
        <v>0</v>
      </c>
      <c r="T94" s="29">
        <f t="shared" si="154"/>
        <v>0</v>
      </c>
      <c r="U94" s="33">
        <f>IFERROR((VLOOKUP(A94,AtskaiteStatusuTabula!B:AI,23,0)),0)</f>
        <v>0</v>
      </c>
      <c r="V94" s="33">
        <v>0</v>
      </c>
      <c r="W94" s="29">
        <v>0</v>
      </c>
      <c r="X94" s="33">
        <f>IFERROR((VLOOKUP(A94,AtskaiteStatusuTabula!B:AI,24,0)),0)</f>
        <v>0</v>
      </c>
      <c r="Y94" s="29">
        <f>IFERROR(X94/F94,0)</f>
        <v>0</v>
      </c>
      <c r="Z94" s="29">
        <f>IFERROR(Y94-AD94,0)</f>
        <v>0</v>
      </c>
      <c r="AA94" s="29">
        <f t="shared" si="156"/>
        <v>0</v>
      </c>
      <c r="AB94" s="33">
        <f>IFERROR((VLOOKUP(A94,AtskaiteStatusuTabula!B:AI,30,0)),0)</f>
        <v>0</v>
      </c>
      <c r="AC94" s="33">
        <v>0</v>
      </c>
      <c r="AD94" s="29">
        <v>0</v>
      </c>
      <c r="AE94" s="33">
        <f>IFERROR((VLOOKUP(A94,AtskaiteStatusuTabula!B:AI,31,0)),0)</f>
        <v>0</v>
      </c>
      <c r="AF94" s="29">
        <f t="shared" si="157"/>
        <v>0</v>
      </c>
      <c r="AG94" s="29">
        <f t="shared" si="159"/>
        <v>0</v>
      </c>
      <c r="AH94" s="29">
        <f t="shared" si="123"/>
        <v>0</v>
      </c>
      <c r="AI94" s="33">
        <v>0</v>
      </c>
      <c r="AJ94" s="29">
        <v>0</v>
      </c>
      <c r="AL94" s="55">
        <f t="shared" si="122"/>
        <v>0</v>
      </c>
    </row>
    <row r="95" spans="1:38" ht="37.5" x14ac:dyDescent="0.3">
      <c r="A95" s="18" t="s">
        <v>302</v>
      </c>
      <c r="B95" s="10" t="str">
        <f>VLOOKUP(A95,saīsinājumi_LV_ENG!A:G,5,FALSE)</f>
        <v>Darba drošības uzlabošana</v>
      </c>
      <c r="C95" s="9"/>
      <c r="D95" s="38" t="s">
        <v>346</v>
      </c>
      <c r="E95" s="38" t="s">
        <v>351</v>
      </c>
      <c r="F95" s="33">
        <v>5856035</v>
      </c>
      <c r="G95" s="33">
        <v>0</v>
      </c>
      <c r="H95" s="33">
        <f t="shared" si="150"/>
        <v>5856035</v>
      </c>
      <c r="I95" s="33">
        <v>0</v>
      </c>
      <c r="J95" s="33">
        <f>IFERROR((VLOOKUP(A95,AtskaiteStatusuTabula!B:AI,10,0)),0)</f>
        <v>5543441.2199999997</v>
      </c>
      <c r="K95" s="29">
        <f t="shared" si="149"/>
        <v>0.94662023365639036</v>
      </c>
      <c r="L95" s="29">
        <f t="shared" si="151"/>
        <v>0</v>
      </c>
      <c r="M95" s="29">
        <f t="shared" si="158"/>
        <v>0</v>
      </c>
      <c r="N95" s="33">
        <f>IFERROR((VLOOKUP(A95,AtskaiteStatusuTabula!B:AI,17,0)),0)</f>
        <v>1</v>
      </c>
      <c r="O95" s="33">
        <v>5543441.2199999997</v>
      </c>
      <c r="P95" s="29">
        <v>0.94662023365639036</v>
      </c>
      <c r="Q95" s="33">
        <f>IFERROR((VLOOKUP(A95,AtskaiteStatusuTabula!B:AI,18,0)),0)</f>
        <v>5543441.2199999997</v>
      </c>
      <c r="R95" s="29">
        <f t="shared" si="152"/>
        <v>0.94662023365639036</v>
      </c>
      <c r="S95" s="29">
        <f t="shared" si="153"/>
        <v>0</v>
      </c>
      <c r="T95" s="29">
        <f t="shared" si="154"/>
        <v>0</v>
      </c>
      <c r="U95" s="33">
        <f>IFERROR((VLOOKUP(A95,AtskaiteStatusuTabula!B:AI,23,0)),0)</f>
        <v>1</v>
      </c>
      <c r="V95" s="33">
        <v>5543441.2199999997</v>
      </c>
      <c r="W95" s="29">
        <v>0.94662023365639036</v>
      </c>
      <c r="X95" s="33">
        <f>IFERROR((VLOOKUP(A95,AtskaiteStatusuTabula!B:AI,24,0)),0)</f>
        <v>5543441.2199999997</v>
      </c>
      <c r="Y95" s="29">
        <f t="shared" si="155"/>
        <v>0.94662023365639036</v>
      </c>
      <c r="Z95" s="29">
        <f t="shared" si="121"/>
        <v>0</v>
      </c>
      <c r="AA95" s="29">
        <f t="shared" si="156"/>
        <v>0</v>
      </c>
      <c r="AB95" s="33">
        <f>IFERROR((VLOOKUP(A95,AtskaiteStatusuTabula!B:AI,30,0)),0)</f>
        <v>1</v>
      </c>
      <c r="AC95" s="33">
        <v>5543441.2199999997</v>
      </c>
      <c r="AD95" s="29">
        <v>0.94662023365639036</v>
      </c>
      <c r="AE95" s="33">
        <f>IFERROR((VLOOKUP(A95,AtskaiteStatusuTabula!B:AI,31,0)),0)</f>
        <v>5543441.2199999997</v>
      </c>
      <c r="AF95" s="29">
        <f t="shared" si="157"/>
        <v>0.94662023365639036</v>
      </c>
      <c r="AG95" s="29">
        <f t="shared" si="159"/>
        <v>0</v>
      </c>
      <c r="AH95" s="29">
        <f t="shared" si="123"/>
        <v>0</v>
      </c>
      <c r="AI95" s="33">
        <v>5543441.2199999997</v>
      </c>
      <c r="AJ95" s="29">
        <v>0.94662023365639036</v>
      </c>
      <c r="AL95" s="55">
        <f t="shared" si="122"/>
        <v>0</v>
      </c>
    </row>
    <row r="96" spans="1:38" ht="56.25" x14ac:dyDescent="0.3">
      <c r="A96" s="18" t="s">
        <v>303</v>
      </c>
      <c r="B96" s="10" t="str">
        <f>VLOOKUP(A96,saīsinājumi_LV_ENG!A:G,5,FALSE)</f>
        <v>Gados vecāku nodarbināto darbspēju uzlabošana</v>
      </c>
      <c r="C96" s="407" t="s">
        <v>1362</v>
      </c>
      <c r="D96" s="38" t="s">
        <v>346</v>
      </c>
      <c r="E96" s="38" t="s">
        <v>351</v>
      </c>
      <c r="F96" s="33">
        <v>1566716</v>
      </c>
      <c r="G96" s="33">
        <v>0</v>
      </c>
      <c r="H96" s="299">
        <f t="shared" si="150"/>
        <v>1566716</v>
      </c>
      <c r="I96" s="33">
        <v>0</v>
      </c>
      <c r="J96" s="33">
        <f>IFERROR((VLOOKUP(A96,AtskaiteStatusuTabula!B:AI,10,0)),0)</f>
        <v>1566715.21</v>
      </c>
      <c r="K96" s="29">
        <f t="shared" si="149"/>
        <v>0.99999949576055902</v>
      </c>
      <c r="L96" s="29">
        <f t="shared" si="151"/>
        <v>0</v>
      </c>
      <c r="M96" s="29">
        <f t="shared" si="158"/>
        <v>0</v>
      </c>
      <c r="N96" s="33">
        <f>IFERROR((VLOOKUP(A96,AtskaiteStatusuTabula!B:AI,17,0)),0)</f>
        <v>1</v>
      </c>
      <c r="O96" s="33">
        <v>1566715.21</v>
      </c>
      <c r="P96" s="29">
        <v>0.99999949576055902</v>
      </c>
      <c r="Q96" s="33">
        <f>IFERROR((VLOOKUP(A96,AtskaiteStatusuTabula!B:AI,18,0)),0)</f>
        <v>1566715.21</v>
      </c>
      <c r="R96" s="29">
        <f t="shared" si="152"/>
        <v>0.99999949576055902</v>
      </c>
      <c r="S96" s="29">
        <f t="shared" si="153"/>
        <v>0</v>
      </c>
      <c r="T96" s="29">
        <f t="shared" si="154"/>
        <v>0</v>
      </c>
      <c r="U96" s="33">
        <f>IFERROR((VLOOKUP(A96,AtskaiteStatusuTabula!B:AI,23,0)),0)</f>
        <v>1</v>
      </c>
      <c r="V96" s="33">
        <v>1566715.21</v>
      </c>
      <c r="W96" s="29">
        <v>0.99999949576055902</v>
      </c>
      <c r="X96" s="33">
        <f>IFERROR((VLOOKUP(A96,AtskaiteStatusuTabula!B:AI,24,0)),0)</f>
        <v>1566715.21</v>
      </c>
      <c r="Y96" s="29">
        <f t="shared" si="155"/>
        <v>0.99999949576055902</v>
      </c>
      <c r="Z96" s="29">
        <f t="shared" si="121"/>
        <v>0</v>
      </c>
      <c r="AA96" s="29">
        <f t="shared" si="156"/>
        <v>0</v>
      </c>
      <c r="AB96" s="33">
        <f>IFERROR((VLOOKUP(A96,AtskaiteStatusuTabula!B:AI,30,0)),0)</f>
        <v>1</v>
      </c>
      <c r="AC96" s="33">
        <v>1566715.21</v>
      </c>
      <c r="AD96" s="29">
        <v>0.99999949576055902</v>
      </c>
      <c r="AE96" s="33">
        <f>IFERROR((VLOOKUP(A96,AtskaiteStatusuTabula!B:AI,31,0)),0)</f>
        <v>1566715.21</v>
      </c>
      <c r="AF96" s="29">
        <f t="shared" si="157"/>
        <v>0.99999949576055902</v>
      </c>
      <c r="AG96" s="29">
        <f t="shared" si="159"/>
        <v>0</v>
      </c>
      <c r="AH96" s="29">
        <f t="shared" si="123"/>
        <v>0</v>
      </c>
      <c r="AI96" s="33">
        <v>1566715.21</v>
      </c>
      <c r="AJ96" s="29">
        <v>0.99999949576055902</v>
      </c>
      <c r="AL96" s="55">
        <f t="shared" si="122"/>
        <v>0</v>
      </c>
    </row>
    <row r="97" spans="1:38" x14ac:dyDescent="0.3">
      <c r="A97" s="19" t="s">
        <v>97</v>
      </c>
      <c r="B97" s="8" t="str">
        <f>VLOOKUP(A97,saīsinājumi_LV_ENG!A:G,5,FALSE)</f>
        <v>Izglītība</v>
      </c>
      <c r="C97" s="8"/>
      <c r="D97" s="40"/>
      <c r="E97" s="40"/>
      <c r="F97" s="35">
        <f>SUM(F98:F118)</f>
        <v>523940298</v>
      </c>
      <c r="G97" s="35">
        <f>SUM(G98:G118)</f>
        <v>5607771</v>
      </c>
      <c r="H97" s="35">
        <f>SUM(H98:H118)</f>
        <v>529548069</v>
      </c>
      <c r="I97" s="35">
        <f>SUM(I98:I118)</f>
        <v>23439111.242077023</v>
      </c>
      <c r="J97" s="35">
        <f>SUM(J98:J118)</f>
        <v>519738662.79000008</v>
      </c>
      <c r="K97" s="31">
        <f t="shared" si="149"/>
        <v>0.99198069851462367</v>
      </c>
      <c r="L97" s="31">
        <f t="shared" si="151"/>
        <v>-3.4339026925289673E-6</v>
      </c>
      <c r="M97" s="31">
        <f t="shared" si="158"/>
        <v>-3.4616508271763305E-6</v>
      </c>
      <c r="N97" s="35">
        <f>SUM(N98:N118)</f>
        <v>188</v>
      </c>
      <c r="O97" s="35">
        <v>519740461.95000011</v>
      </c>
      <c r="P97" s="31">
        <v>0.9919841324173162</v>
      </c>
      <c r="Q97" s="35">
        <f>SUM(Q98:Q118)</f>
        <v>519738662.79000008</v>
      </c>
      <c r="R97" s="31">
        <f t="shared" si="152"/>
        <v>0.99198069851462367</v>
      </c>
      <c r="S97" s="31">
        <f t="shared" si="153"/>
        <v>-3.4339026925289673E-6</v>
      </c>
      <c r="T97" s="31">
        <f t="shared" si="154"/>
        <v>-3.4616508271763305E-6</v>
      </c>
      <c r="U97" s="35">
        <f>SUM(U98:U118)</f>
        <v>188</v>
      </c>
      <c r="V97" s="35">
        <v>519740461.95000011</v>
      </c>
      <c r="W97" s="31">
        <v>0.9919841324173162</v>
      </c>
      <c r="X97" s="35">
        <f>SUM(X98:X118)</f>
        <v>519738662.79000008</v>
      </c>
      <c r="Y97" s="31">
        <f t="shared" si="155"/>
        <v>0.99198069851462367</v>
      </c>
      <c r="Z97" s="31">
        <f t="shared" si="121"/>
        <v>-3.4339026925289673E-6</v>
      </c>
      <c r="AA97" s="31">
        <f t="shared" si="156"/>
        <v>-3.4616508271763305E-6</v>
      </c>
      <c r="AB97" s="35">
        <f>SUM(AB98:AB118)</f>
        <v>188</v>
      </c>
      <c r="AC97" s="35">
        <v>519740461.95000011</v>
      </c>
      <c r="AD97" s="31">
        <v>0.9919841324173162</v>
      </c>
      <c r="AE97" s="35">
        <f>SUM(AE98:AE118)</f>
        <v>516311028.60000008</v>
      </c>
      <c r="AF97" s="31">
        <f t="shared" si="157"/>
        <v>0.98543866652532253</v>
      </c>
      <c r="AG97" s="31">
        <f t="shared" si="159"/>
        <v>4.993278833409498E-6</v>
      </c>
      <c r="AH97" s="31">
        <f t="shared" si="123"/>
        <v>5.0670876883163596E-6</v>
      </c>
      <c r="AI97" s="35">
        <v>516308412.42000014</v>
      </c>
      <c r="AJ97" s="31">
        <v>0.98543367324648912</v>
      </c>
      <c r="AL97" s="55">
        <f t="shared" si="122"/>
        <v>0</v>
      </c>
    </row>
    <row r="98" spans="1:38" ht="37.5" x14ac:dyDescent="0.3">
      <c r="A98" s="18" t="s">
        <v>305</v>
      </c>
      <c r="B98" s="10" t="str">
        <f>VLOOKUP(A98,saīsinājumi_LV_ENG!A:G,5,FALSE)</f>
        <v>Augstskolu STEM infrastruktūra</v>
      </c>
      <c r="C98" s="9"/>
      <c r="D98" s="38" t="s">
        <v>344</v>
      </c>
      <c r="E98" s="38" t="s">
        <v>348</v>
      </c>
      <c r="F98" s="33">
        <v>38009447</v>
      </c>
      <c r="G98" s="33">
        <v>0</v>
      </c>
      <c r="H98" s="33">
        <f>F98+G98</f>
        <v>38009447</v>
      </c>
      <c r="I98" s="33">
        <v>2314490</v>
      </c>
      <c r="J98" s="33">
        <f>IFERROR((VLOOKUP(A98,AtskaiteStatusuTabula!B:AI,10,0)),0)</f>
        <v>37742128.32</v>
      </c>
      <c r="K98" s="29">
        <f t="shared" si="149"/>
        <v>0.99296704632403621</v>
      </c>
      <c r="L98" s="29">
        <f t="shared" si="151"/>
        <v>0</v>
      </c>
      <c r="M98" s="29">
        <f t="shared" si="158"/>
        <v>0</v>
      </c>
      <c r="N98" s="33">
        <f>IFERROR((VLOOKUP(A98,AtskaiteStatusuTabula!B:AI,17,0)),0)</f>
        <v>15</v>
      </c>
      <c r="O98" s="33">
        <v>37742128.32</v>
      </c>
      <c r="P98" s="29">
        <v>0.99296704632403621</v>
      </c>
      <c r="Q98" s="33">
        <f>IFERROR((VLOOKUP(A98,AtskaiteStatusuTabula!B:AI,18,0)),0)</f>
        <v>37742128.32</v>
      </c>
      <c r="R98" s="29">
        <f t="shared" si="152"/>
        <v>0.99296704632403621</v>
      </c>
      <c r="S98" s="29">
        <f t="shared" si="153"/>
        <v>0</v>
      </c>
      <c r="T98" s="29">
        <f t="shared" si="154"/>
        <v>0</v>
      </c>
      <c r="U98" s="33">
        <f>IFERROR((VLOOKUP(A98,AtskaiteStatusuTabula!B:AI,23,0)),0)</f>
        <v>15</v>
      </c>
      <c r="V98" s="33">
        <v>37742128.32</v>
      </c>
      <c r="W98" s="29">
        <v>0.99296704632403621</v>
      </c>
      <c r="X98" s="33">
        <f>IFERROR((VLOOKUP(A98,AtskaiteStatusuTabula!B:AI,24,0)),0)</f>
        <v>37742128.32</v>
      </c>
      <c r="Y98" s="29">
        <f t="shared" si="155"/>
        <v>0.99296704632403621</v>
      </c>
      <c r="Z98" s="29">
        <f t="shared" si="121"/>
        <v>0</v>
      </c>
      <c r="AA98" s="29">
        <f t="shared" si="156"/>
        <v>0</v>
      </c>
      <c r="AB98" s="33">
        <f>IFERROR((VLOOKUP(A98,AtskaiteStatusuTabula!B:AI,30,0)),0)</f>
        <v>15</v>
      </c>
      <c r="AC98" s="33">
        <v>37742128.32</v>
      </c>
      <c r="AD98" s="29">
        <v>0.99296704632403621</v>
      </c>
      <c r="AE98" s="33">
        <f>IFERROR((VLOOKUP(A98,AtskaiteStatusuTabula!B:AI,31,0)),0)</f>
        <v>37045829.759999998</v>
      </c>
      <c r="AF98" s="29">
        <f t="shared" si="157"/>
        <v>0.97464795423095729</v>
      </c>
      <c r="AG98" s="29">
        <f t="shared" si="159"/>
        <v>0</v>
      </c>
      <c r="AH98" s="29">
        <f t="shared" si="123"/>
        <v>0</v>
      </c>
      <c r="AI98" s="33">
        <v>37045829.759999998</v>
      </c>
      <c r="AJ98" s="29">
        <v>0.97464795423095729</v>
      </c>
      <c r="AL98" s="55">
        <f t="shared" si="122"/>
        <v>0</v>
      </c>
    </row>
    <row r="99" spans="1:38" ht="37.5" x14ac:dyDescent="0.3">
      <c r="A99" s="18" t="s">
        <v>445</v>
      </c>
      <c r="B99" s="10" t="str">
        <f>VLOOKUP(A99,saīsinājumi_LV_ENG!A:G,5,FALSE)</f>
        <v>Vispārējās izglītības infrastruktūra</v>
      </c>
      <c r="C99" s="9"/>
      <c r="D99" s="38" t="s">
        <v>344</v>
      </c>
      <c r="E99" s="38" t="s">
        <v>348</v>
      </c>
      <c r="F99" s="96">
        <v>133204393</v>
      </c>
      <c r="G99" s="33">
        <v>4095434</v>
      </c>
      <c r="H99" s="33">
        <f t="shared" ref="H99:H118" si="160">F99+G99</f>
        <v>137299827</v>
      </c>
      <c r="I99" s="33">
        <v>8470218</v>
      </c>
      <c r="J99" s="469">
        <f>IFERROR((VLOOKUP(A99,AtskaiteStatusuTabula!B:AI,10,0)),0)-AtskaiteStatusuTabula!L151</f>
        <v>133859724.88999999</v>
      </c>
      <c r="K99" s="29">
        <f t="shared" si="149"/>
        <v>1.0049197468284696</v>
      </c>
      <c r="L99" s="29">
        <f t="shared" si="151"/>
        <v>0</v>
      </c>
      <c r="M99" s="29">
        <f t="shared" si="158"/>
        <v>0</v>
      </c>
      <c r="N99" s="33">
        <f>IFERROR((VLOOKUP(A99,AtskaiteStatusuTabula!B:AI,17,0)),0)</f>
        <v>46</v>
      </c>
      <c r="O99" s="33">
        <v>133859724.88999999</v>
      </c>
      <c r="P99" s="29">
        <v>1.0049197468284696</v>
      </c>
      <c r="Q99" s="469">
        <f>IFERROR((VLOOKUP(A99,AtskaiteStatusuTabula!B:AI,18,0)),0)-AtskaiteStatusuTabula!T151</f>
        <v>133859724.88999999</v>
      </c>
      <c r="R99" s="29">
        <f t="shared" si="152"/>
        <v>1.0049197468284696</v>
      </c>
      <c r="S99" s="29">
        <f t="shared" si="153"/>
        <v>0</v>
      </c>
      <c r="T99" s="29">
        <f t="shared" si="154"/>
        <v>0</v>
      </c>
      <c r="U99" s="33">
        <f>IFERROR((VLOOKUP(A99,AtskaiteStatusuTabula!B:AI,23,0)),0)</f>
        <v>46</v>
      </c>
      <c r="V99" s="33">
        <v>133859724.88999999</v>
      </c>
      <c r="W99" s="29">
        <v>1.0049197468284696</v>
      </c>
      <c r="X99" s="469">
        <f>IFERROR((VLOOKUP(A99,AtskaiteStatusuTabula!B:AI,24,0)),0)-AtskaiteStatusuTabula!Z151</f>
        <v>133859724.88999999</v>
      </c>
      <c r="Y99" s="29">
        <f t="shared" si="155"/>
        <v>1.0049197468284696</v>
      </c>
      <c r="Z99" s="29">
        <f t="shared" si="121"/>
        <v>0</v>
      </c>
      <c r="AA99" s="29">
        <f t="shared" si="156"/>
        <v>0</v>
      </c>
      <c r="AB99" s="33">
        <f>IFERROR((VLOOKUP(A99,AtskaiteStatusuTabula!B:AI,30,0)),0)</f>
        <v>46</v>
      </c>
      <c r="AC99" s="33">
        <v>133859724.88999999</v>
      </c>
      <c r="AD99" s="29">
        <v>1.0049197468284696</v>
      </c>
      <c r="AE99" s="469">
        <f>IFERROR((VLOOKUP(A99,AtskaiteStatusuTabula!B:AI,31,0)),0)-AtskaiteStatusuTabula!AG151</f>
        <v>133118376.91999999</v>
      </c>
      <c r="AF99" s="29">
        <f t="shared" si="157"/>
        <v>0.99935425493061614</v>
      </c>
      <c r="AG99" s="29">
        <f t="shared" si="159"/>
        <v>0</v>
      </c>
      <c r="AH99" s="29">
        <f t="shared" si="123"/>
        <v>0</v>
      </c>
      <c r="AI99" s="33">
        <v>133118376.91999999</v>
      </c>
      <c r="AJ99" s="29">
        <v>0.99935425493061614</v>
      </c>
      <c r="AL99" s="55">
        <f t="shared" si="122"/>
        <v>0</v>
      </c>
    </row>
    <row r="100" spans="1:38" ht="37.5" x14ac:dyDescent="0.3">
      <c r="A100" s="18" t="s">
        <v>306</v>
      </c>
      <c r="B100" s="10" t="str">
        <f>VLOOKUP(A100,saīsinājumi_LV_ENG!A:G,5,FALSE)</f>
        <v>Profesionālās izglītības infrastruktūra</v>
      </c>
      <c r="C100" s="9"/>
      <c r="D100" s="38" t="s">
        <v>344</v>
      </c>
      <c r="E100" s="38" t="s">
        <v>348</v>
      </c>
      <c r="F100" s="96">
        <f>90376983-G100</f>
        <v>88864646</v>
      </c>
      <c r="G100" s="33">
        <v>1512337</v>
      </c>
      <c r="H100" s="33">
        <f t="shared" si="160"/>
        <v>90376983</v>
      </c>
      <c r="I100" s="33">
        <v>5404059.7000000002</v>
      </c>
      <c r="J100" s="33">
        <f>IFERROR((VLOOKUP(A100,AtskaiteStatusuTabula!B:AI,10,0)),0)</f>
        <v>89515294.299999997</v>
      </c>
      <c r="K100" s="29">
        <f t="shared" si="149"/>
        <v>1.0073217902651634</v>
      </c>
      <c r="L100" s="29">
        <f t="shared" si="151"/>
        <v>0</v>
      </c>
      <c r="M100" s="29">
        <f t="shared" si="158"/>
        <v>0</v>
      </c>
      <c r="N100" s="33">
        <f>IFERROR((VLOOKUP(A100,AtskaiteStatusuTabula!B:AI,17,0)),0)</f>
        <v>24</v>
      </c>
      <c r="O100" s="33">
        <v>89515294.299999997</v>
      </c>
      <c r="P100" s="29">
        <v>1.0073217902651634</v>
      </c>
      <c r="Q100" s="33">
        <f>IFERROR((VLOOKUP(A100,AtskaiteStatusuTabula!B:AI,18,0)),0)</f>
        <v>89515294.299999997</v>
      </c>
      <c r="R100" s="29">
        <f t="shared" si="152"/>
        <v>1.0073217902651634</v>
      </c>
      <c r="S100" s="29">
        <f t="shared" si="153"/>
        <v>0</v>
      </c>
      <c r="T100" s="29">
        <f t="shared" si="154"/>
        <v>0</v>
      </c>
      <c r="U100" s="33">
        <f>IFERROR((VLOOKUP(A100,AtskaiteStatusuTabula!B:AI,23,0)),0)</f>
        <v>24</v>
      </c>
      <c r="V100" s="33">
        <v>89515294.299999997</v>
      </c>
      <c r="W100" s="29">
        <v>1.0073217902651634</v>
      </c>
      <c r="X100" s="33">
        <f>IFERROR((VLOOKUP(A100,AtskaiteStatusuTabula!B:AI,24,0)),0)</f>
        <v>89515294.299999997</v>
      </c>
      <c r="Y100" s="29">
        <f t="shared" si="155"/>
        <v>1.0073217902651634</v>
      </c>
      <c r="Z100" s="29">
        <f t="shared" si="121"/>
        <v>0</v>
      </c>
      <c r="AA100" s="29">
        <f t="shared" si="156"/>
        <v>0</v>
      </c>
      <c r="AB100" s="33">
        <f>IFERROR((VLOOKUP(A100,AtskaiteStatusuTabula!B:AI,30,0)),0)</f>
        <v>24</v>
      </c>
      <c r="AC100" s="33">
        <v>89515294.299999997</v>
      </c>
      <c r="AD100" s="29">
        <v>1.0073217902651634</v>
      </c>
      <c r="AE100" s="33">
        <f>IFERROR((VLOOKUP(A100,AtskaiteStatusuTabula!B:AI,31,0)),0)</f>
        <v>87993777.900000006</v>
      </c>
      <c r="AF100" s="29">
        <f t="shared" si="157"/>
        <v>0.99020006111316761</v>
      </c>
      <c r="AG100" s="29">
        <f t="shared" si="159"/>
        <v>0</v>
      </c>
      <c r="AH100" s="29">
        <f t="shared" si="123"/>
        <v>0</v>
      </c>
      <c r="AI100" s="33">
        <v>87993777.900000006</v>
      </c>
      <c r="AJ100" s="29">
        <v>0.99020006111316761</v>
      </c>
      <c r="AL100" s="55">
        <f t="shared" si="122"/>
        <v>0</v>
      </c>
    </row>
    <row r="101" spans="1:38" ht="37.5" x14ac:dyDescent="0.3">
      <c r="A101" s="18" t="s">
        <v>307</v>
      </c>
      <c r="B101" s="10" t="str">
        <f>VLOOKUP(A101,saīsinājumi_LV_ENG!A:G,5,FALSE)</f>
        <v>Koledžu STEM infrastruktūrā</v>
      </c>
      <c r="C101" s="9"/>
      <c r="D101" s="38" t="s">
        <v>344</v>
      </c>
      <c r="E101" s="38" t="s">
        <v>348</v>
      </c>
      <c r="F101" s="33">
        <v>11993378</v>
      </c>
      <c r="G101" s="33">
        <v>0</v>
      </c>
      <c r="H101" s="33">
        <f t="shared" si="160"/>
        <v>11993378</v>
      </c>
      <c r="I101" s="33">
        <v>735445</v>
      </c>
      <c r="J101" s="33">
        <f>IFERROR((VLOOKUP(A101,AtskaiteStatusuTabula!B:AI,10,0)),0)</f>
        <v>11988378.939999999</v>
      </c>
      <c r="K101" s="29">
        <f t="shared" si="149"/>
        <v>0.99958318165240845</v>
      </c>
      <c r="L101" s="29">
        <f t="shared" si="151"/>
        <v>0</v>
      </c>
      <c r="M101" s="29">
        <f t="shared" si="158"/>
        <v>0</v>
      </c>
      <c r="N101" s="33">
        <f>IFERROR((VLOOKUP(A101,AtskaiteStatusuTabula!B:AI,17,0)),0)</f>
        <v>9</v>
      </c>
      <c r="O101" s="33">
        <v>11988378.939999999</v>
      </c>
      <c r="P101" s="29">
        <v>0.99958318165240845</v>
      </c>
      <c r="Q101" s="33">
        <f>IFERROR((VLOOKUP(A101,AtskaiteStatusuTabula!B:AI,18,0)),0)</f>
        <v>11988378.939999999</v>
      </c>
      <c r="R101" s="29">
        <f t="shared" si="152"/>
        <v>0.99958318165240845</v>
      </c>
      <c r="S101" s="29">
        <f t="shared" si="153"/>
        <v>0</v>
      </c>
      <c r="T101" s="29">
        <f t="shared" si="154"/>
        <v>0</v>
      </c>
      <c r="U101" s="33">
        <f>IFERROR((VLOOKUP(A101,AtskaiteStatusuTabula!B:AI,23,0)),0)</f>
        <v>9</v>
      </c>
      <c r="V101" s="33">
        <v>11988378.939999999</v>
      </c>
      <c r="W101" s="29">
        <v>0.99958318165240845</v>
      </c>
      <c r="X101" s="33">
        <f>IFERROR((VLOOKUP(A101,AtskaiteStatusuTabula!B:AI,24,0)),0)</f>
        <v>11988378.939999999</v>
      </c>
      <c r="Y101" s="29">
        <f t="shared" si="155"/>
        <v>0.99958318165240845</v>
      </c>
      <c r="Z101" s="29">
        <f t="shared" si="121"/>
        <v>0</v>
      </c>
      <c r="AA101" s="29">
        <f t="shared" si="156"/>
        <v>0</v>
      </c>
      <c r="AB101" s="33">
        <f>IFERROR((VLOOKUP(A101,AtskaiteStatusuTabula!B:AI,30,0)),0)</f>
        <v>9</v>
      </c>
      <c r="AC101" s="33">
        <v>11988378.939999999</v>
      </c>
      <c r="AD101" s="29">
        <v>0.99958318165240845</v>
      </c>
      <c r="AE101" s="33">
        <f>IFERROR((VLOOKUP(A101,AtskaiteStatusuTabula!B:AI,31,0)),0)</f>
        <v>11530276.880000001</v>
      </c>
      <c r="AF101" s="29">
        <f t="shared" si="157"/>
        <v>0.96138693202198755</v>
      </c>
      <c r="AG101" s="29">
        <f t="shared" si="159"/>
        <v>0</v>
      </c>
      <c r="AH101" s="29">
        <f t="shared" si="123"/>
        <v>0</v>
      </c>
      <c r="AI101" s="33">
        <v>11530276.880000001</v>
      </c>
      <c r="AJ101" s="29">
        <v>0.96138693202198755</v>
      </c>
      <c r="AL101" s="55">
        <f t="shared" si="122"/>
        <v>0</v>
      </c>
    </row>
    <row r="102" spans="1:38" ht="56.25" x14ac:dyDescent="0.3">
      <c r="A102" s="18" t="s">
        <v>308</v>
      </c>
      <c r="B102" s="10" t="str">
        <f>VLOOKUP(A102,saīsinājumi_LV_ENG!A:G,5,FALSE)</f>
        <v>Studiju programmu fragmentācijas samazināšana</v>
      </c>
      <c r="C102" s="9"/>
      <c r="D102" s="38" t="s">
        <v>346</v>
      </c>
      <c r="E102" s="38" t="s">
        <v>348</v>
      </c>
      <c r="F102" s="33">
        <v>10757181</v>
      </c>
      <c r="G102" s="33">
        <v>0</v>
      </c>
      <c r="H102" s="33">
        <f t="shared" si="160"/>
        <v>10757181</v>
      </c>
      <c r="I102" s="33">
        <v>571654</v>
      </c>
      <c r="J102" s="33">
        <f>IFERROR((VLOOKUP(A102,AtskaiteStatusuTabula!B:AI,10,0)),0)</f>
        <v>10362191.369999999</v>
      </c>
      <c r="K102" s="29">
        <f t="shared" si="149"/>
        <v>0.96328130669178103</v>
      </c>
      <c r="L102" s="29">
        <f t="shared" si="151"/>
        <v>0</v>
      </c>
      <c r="M102" s="29">
        <f t="shared" si="158"/>
        <v>0</v>
      </c>
      <c r="N102" s="33">
        <f>IFERROR((VLOOKUP(A102,AtskaiteStatusuTabula!B:AI,17,0)),0)</f>
        <v>20</v>
      </c>
      <c r="O102" s="33">
        <v>10362191.369999999</v>
      </c>
      <c r="P102" s="29">
        <v>0.96328130669178103</v>
      </c>
      <c r="Q102" s="33">
        <f>IFERROR((VLOOKUP(A102,AtskaiteStatusuTabula!B:AI,18,0)),0)</f>
        <v>10362191.369999999</v>
      </c>
      <c r="R102" s="29">
        <f t="shared" si="152"/>
        <v>0.96328130669178103</v>
      </c>
      <c r="S102" s="29">
        <f t="shared" si="153"/>
        <v>0</v>
      </c>
      <c r="T102" s="29">
        <f t="shared" si="154"/>
        <v>0</v>
      </c>
      <c r="U102" s="33">
        <f>IFERROR((VLOOKUP(A102,AtskaiteStatusuTabula!B:AI,23,0)),0)</f>
        <v>20</v>
      </c>
      <c r="V102" s="33">
        <v>10362191.369999999</v>
      </c>
      <c r="W102" s="29">
        <v>0.96328130669178103</v>
      </c>
      <c r="X102" s="33">
        <f>IFERROR((VLOOKUP(A102,AtskaiteStatusuTabula!B:AI,24,0)),0)</f>
        <v>10362191.369999999</v>
      </c>
      <c r="Y102" s="29">
        <f t="shared" si="155"/>
        <v>0.96328130669178103</v>
      </c>
      <c r="Z102" s="29">
        <f t="shared" si="121"/>
        <v>0</v>
      </c>
      <c r="AA102" s="29">
        <f t="shared" si="156"/>
        <v>0</v>
      </c>
      <c r="AB102" s="33">
        <f>IFERROR((VLOOKUP(A102,AtskaiteStatusuTabula!B:AI,30,0)),0)</f>
        <v>20</v>
      </c>
      <c r="AC102" s="33">
        <v>10362191.369999999</v>
      </c>
      <c r="AD102" s="29">
        <v>0.96328130669178103</v>
      </c>
      <c r="AE102" s="33">
        <f>IFERROR((VLOOKUP(A102,AtskaiteStatusuTabula!B:AI,31,0)),0)</f>
        <v>10362191.369999999</v>
      </c>
      <c r="AF102" s="29">
        <f t="shared" si="157"/>
        <v>0.96328130669178103</v>
      </c>
      <c r="AG102" s="29">
        <f t="shared" si="159"/>
        <v>0</v>
      </c>
      <c r="AH102" s="29">
        <f t="shared" si="123"/>
        <v>0</v>
      </c>
      <c r="AI102" s="33">
        <v>10362191.369999999</v>
      </c>
      <c r="AJ102" s="29">
        <v>0.96328130669178103</v>
      </c>
      <c r="AL102" s="55">
        <f t="shared" si="122"/>
        <v>0</v>
      </c>
    </row>
    <row r="103" spans="1:38" ht="56.25" x14ac:dyDescent="0.3">
      <c r="A103" s="18" t="s">
        <v>309</v>
      </c>
      <c r="B103" s="10" t="str">
        <f>VLOOKUP(A103,saīsinājumi_LV_ENG!A:G,5,FALSE)</f>
        <v>Akadēmiskā personāla stratēģiskās specializācijas stiprināšana</v>
      </c>
      <c r="C103" s="9"/>
      <c r="D103" s="38" t="s">
        <v>346</v>
      </c>
      <c r="E103" s="38" t="s">
        <v>348</v>
      </c>
      <c r="F103" s="33">
        <v>27199264</v>
      </c>
      <c r="G103" s="33">
        <v>0</v>
      </c>
      <c r="H103" s="33">
        <f t="shared" si="160"/>
        <v>27199264</v>
      </c>
      <c r="I103" s="96">
        <v>1815163</v>
      </c>
      <c r="J103" s="33">
        <f>IFERROR((VLOOKUP(A103,AtskaiteStatusuTabula!B:AI,10,0)),0)</f>
        <v>24667982.48</v>
      </c>
      <c r="K103" s="29">
        <f t="shared" si="149"/>
        <v>0.90693566120024427</v>
      </c>
      <c r="L103" s="29">
        <f t="shared" si="151"/>
        <v>0</v>
      </c>
      <c r="M103" s="29">
        <f t="shared" si="158"/>
        <v>0</v>
      </c>
      <c r="N103" s="33">
        <f>IFERROR((VLOOKUP(A103,AtskaiteStatusuTabula!B:AI,17,0)),0)</f>
        <v>32</v>
      </c>
      <c r="O103" s="33">
        <v>24667982.48</v>
      </c>
      <c r="P103" s="29">
        <v>0.90693566120024427</v>
      </c>
      <c r="Q103" s="33">
        <f>IFERROR((VLOOKUP(A103,AtskaiteStatusuTabula!B:AI,18,0)),0)</f>
        <v>24667982.48</v>
      </c>
      <c r="R103" s="29">
        <f t="shared" si="152"/>
        <v>0.90693566120024427</v>
      </c>
      <c r="S103" s="29">
        <f t="shared" si="153"/>
        <v>0</v>
      </c>
      <c r="T103" s="29">
        <f t="shared" si="154"/>
        <v>0</v>
      </c>
      <c r="U103" s="33">
        <f>IFERROR((VLOOKUP(A103,AtskaiteStatusuTabula!B:AI,23,0)),0)</f>
        <v>32</v>
      </c>
      <c r="V103" s="33">
        <v>24667982.48</v>
      </c>
      <c r="W103" s="29">
        <v>0.90693566120024427</v>
      </c>
      <c r="X103" s="33">
        <f>IFERROR((VLOOKUP(A103,AtskaiteStatusuTabula!B:AI,24,0)),0)</f>
        <v>24667982.48</v>
      </c>
      <c r="Y103" s="29">
        <f t="shared" si="155"/>
        <v>0.90693566120024427</v>
      </c>
      <c r="Z103" s="29">
        <f t="shared" si="121"/>
        <v>0</v>
      </c>
      <c r="AA103" s="29">
        <f t="shared" si="156"/>
        <v>0</v>
      </c>
      <c r="AB103" s="33">
        <f>IFERROR((VLOOKUP(A103,AtskaiteStatusuTabula!B:AI,30,0)),0)</f>
        <v>32</v>
      </c>
      <c r="AC103" s="33">
        <v>24667982.48</v>
      </c>
      <c r="AD103" s="29">
        <v>0.90693566120024427</v>
      </c>
      <c r="AE103" s="33">
        <f>IFERROR((VLOOKUP(A103,AtskaiteStatusuTabula!B:AI,31,0)),0)</f>
        <v>24398504.649999999</v>
      </c>
      <c r="AF103" s="29">
        <f t="shared" si="157"/>
        <v>0.89702811995206921</v>
      </c>
      <c r="AG103" s="29">
        <f t="shared" si="159"/>
        <v>0</v>
      </c>
      <c r="AH103" s="29">
        <f t="shared" si="123"/>
        <v>0</v>
      </c>
      <c r="AI103" s="33">
        <v>24398504.649999999</v>
      </c>
      <c r="AJ103" s="29">
        <v>0.89702811995206921</v>
      </c>
      <c r="AL103" s="55">
        <f t="shared" si="122"/>
        <v>0</v>
      </c>
    </row>
    <row r="104" spans="1:38" ht="56.25" x14ac:dyDescent="0.3">
      <c r="A104" s="18" t="s">
        <v>310</v>
      </c>
      <c r="B104" s="10" t="str">
        <f>VLOOKUP(A104,saīsinājumi_LV_ENG!A:G,5,FALSE)</f>
        <v>Efektīvas pārvaldības nodrošināšana augstskolās</v>
      </c>
      <c r="C104" s="473" t="s">
        <v>1599</v>
      </c>
      <c r="D104" s="38" t="s">
        <v>346</v>
      </c>
      <c r="E104" s="38" t="s">
        <v>348</v>
      </c>
      <c r="F104" s="33">
        <v>15820266</v>
      </c>
      <c r="G104" s="33">
        <v>0</v>
      </c>
      <c r="H104" s="33">
        <f>F104+G104</f>
        <v>15820266</v>
      </c>
      <c r="I104" s="33">
        <v>1136067</v>
      </c>
      <c r="J104" s="445">
        <f>IFERROR((VLOOKUP(A104,AtskaiteStatusuTabula!B:AI,10,0)),0)-AtskaiteStatusuTabula!L157</f>
        <v>15686416.969999999</v>
      </c>
      <c r="K104" s="29">
        <f t="shared" si="149"/>
        <v>0.99153939447035844</v>
      </c>
      <c r="L104" s="29">
        <f t="shared" si="151"/>
        <v>0</v>
      </c>
      <c r="M104" s="29">
        <f t="shared" si="158"/>
        <v>0</v>
      </c>
      <c r="N104" s="445">
        <f>IFERROR((VLOOKUP(A104,AtskaiteStatusuTabula!B:AI,17,0)),0)-N167</f>
        <v>18</v>
      </c>
      <c r="O104" s="33">
        <v>15686416.969999999</v>
      </c>
      <c r="P104" s="29">
        <v>0.99153939447035844</v>
      </c>
      <c r="Q104" s="445">
        <f>IFERROR((VLOOKUP(A104,AtskaiteStatusuTabula!B:AI,18,0)),0)-AtskaiteStatusuTabula!T157</f>
        <v>15686416.969999999</v>
      </c>
      <c r="R104" s="29">
        <f t="shared" si="152"/>
        <v>0.99153939447035844</v>
      </c>
      <c r="S104" s="29">
        <f t="shared" si="153"/>
        <v>0</v>
      </c>
      <c r="T104" s="29">
        <f t="shared" si="154"/>
        <v>0</v>
      </c>
      <c r="U104" s="445">
        <f>IFERROR((VLOOKUP(A104,AtskaiteStatusuTabula!B:AI,23,0)),0)-U167</f>
        <v>18</v>
      </c>
      <c r="V104" s="33">
        <v>15686416.969999999</v>
      </c>
      <c r="W104" s="29">
        <v>0.99153939447035844</v>
      </c>
      <c r="X104" s="445">
        <f>IFERROR((VLOOKUP(A104,AtskaiteStatusuTabula!B:AI,24,0)),0)-AtskaiteStatusuTabula!Z157</f>
        <v>15686416.969999999</v>
      </c>
      <c r="Y104" s="29">
        <f t="shared" si="155"/>
        <v>0.99153939447035844</v>
      </c>
      <c r="Z104" s="29">
        <f t="shared" si="121"/>
        <v>0</v>
      </c>
      <c r="AA104" s="29">
        <f t="shared" si="156"/>
        <v>0</v>
      </c>
      <c r="AB104" s="445">
        <f>IFERROR((VLOOKUP(A104,AtskaiteStatusuTabula!B:AI,30,0)),0)-AB167</f>
        <v>18</v>
      </c>
      <c r="AC104" s="33">
        <v>15686416.969999999</v>
      </c>
      <c r="AD104" s="29">
        <v>0.99153939447035844</v>
      </c>
      <c r="AE104" s="445">
        <f>IFERROR((VLOOKUP(A104,AtskaiteStatusuTabula!B:AI,31,0)),0)-AtskaiteStatusuTabula!AG157</f>
        <v>15945525.6</v>
      </c>
      <c r="AF104" s="29">
        <f t="shared" si="157"/>
        <v>1.0079176671239283</v>
      </c>
      <c r="AG104" s="29">
        <f t="shared" si="159"/>
        <v>0</v>
      </c>
      <c r="AH104" s="29">
        <f t="shared" si="123"/>
        <v>0</v>
      </c>
      <c r="AI104" s="33">
        <v>15945525.6</v>
      </c>
      <c r="AJ104" s="29">
        <v>1.0079176671239283</v>
      </c>
      <c r="AL104" s="55">
        <f t="shared" si="122"/>
        <v>0</v>
      </c>
    </row>
    <row r="105" spans="1:38" x14ac:dyDescent="0.3">
      <c r="A105" s="18" t="s">
        <v>311</v>
      </c>
      <c r="B105" s="10" t="str">
        <f>VLOOKUP(A105,saīsinājumi_LV_ENG!A:G,5,FALSE)</f>
        <v>Atbalsts EQAR aģentūrai</v>
      </c>
      <c r="C105" s="9">
        <v>15</v>
      </c>
      <c r="D105" s="38" t="s">
        <v>346</v>
      </c>
      <c r="E105" s="38" t="s">
        <v>348</v>
      </c>
      <c r="F105" s="33">
        <v>1048927</v>
      </c>
      <c r="G105" s="33">
        <v>0</v>
      </c>
      <c r="H105" s="33">
        <f t="shared" si="160"/>
        <v>1048927</v>
      </c>
      <c r="I105" s="33">
        <v>0</v>
      </c>
      <c r="J105" s="33">
        <f>IFERROR((VLOOKUP(A105,AtskaiteStatusuTabula!B:AI,10,0)),0)</f>
        <v>1048926.68</v>
      </c>
      <c r="K105" s="29">
        <f t="shared" si="149"/>
        <v>0.999999694926339</v>
      </c>
      <c r="L105" s="29">
        <f t="shared" si="151"/>
        <v>0</v>
      </c>
      <c r="M105" s="29">
        <f t="shared" si="158"/>
        <v>0</v>
      </c>
      <c r="N105" s="33">
        <f>IFERROR((VLOOKUP(A105,AtskaiteStatusuTabula!B:AI,17,0)),0)</f>
        <v>1</v>
      </c>
      <c r="O105" s="33">
        <v>1048926.68</v>
      </c>
      <c r="P105" s="29">
        <v>0.999999694926339</v>
      </c>
      <c r="Q105" s="33">
        <f>IFERROR((VLOOKUP(A105,AtskaiteStatusuTabula!B:AI,18,0)),0)</f>
        <v>1048926.68</v>
      </c>
      <c r="R105" s="29">
        <f t="shared" si="152"/>
        <v>0.999999694926339</v>
      </c>
      <c r="S105" s="29">
        <f t="shared" si="153"/>
        <v>0</v>
      </c>
      <c r="T105" s="29">
        <f t="shared" si="154"/>
        <v>0</v>
      </c>
      <c r="U105" s="33">
        <f>IFERROR((VLOOKUP(A105,AtskaiteStatusuTabula!B:AI,23,0)),0)</f>
        <v>1</v>
      </c>
      <c r="V105" s="33">
        <v>1048926.68</v>
      </c>
      <c r="W105" s="29">
        <v>0.999999694926339</v>
      </c>
      <c r="X105" s="33">
        <f>IFERROR((VLOOKUP(A105,AtskaiteStatusuTabula!B:AI,24,0)),0)</f>
        <v>1048926.68</v>
      </c>
      <c r="Y105" s="29">
        <f t="shared" si="155"/>
        <v>0.999999694926339</v>
      </c>
      <c r="Z105" s="29">
        <f t="shared" si="121"/>
        <v>0</v>
      </c>
      <c r="AA105" s="29">
        <f t="shared" si="156"/>
        <v>0</v>
      </c>
      <c r="AB105" s="33">
        <f>IFERROR((VLOOKUP(A105,AtskaiteStatusuTabula!B:AI,30,0)),0)</f>
        <v>1</v>
      </c>
      <c r="AC105" s="33">
        <v>1048926.68</v>
      </c>
      <c r="AD105" s="29">
        <v>0.999999694926339</v>
      </c>
      <c r="AE105" s="33">
        <f>IFERROR((VLOOKUP(A105,AtskaiteStatusuTabula!B:AI,31,0)),0)</f>
        <v>1048926.68</v>
      </c>
      <c r="AF105" s="29">
        <f t="shared" si="157"/>
        <v>0.999999694926339</v>
      </c>
      <c r="AG105" s="29">
        <f t="shared" si="159"/>
        <v>0</v>
      </c>
      <c r="AH105" s="29">
        <f t="shared" si="123"/>
        <v>0</v>
      </c>
      <c r="AI105" s="33">
        <v>1048926.68</v>
      </c>
      <c r="AJ105" s="29">
        <v>0.999999694926339</v>
      </c>
      <c r="AL105" s="55">
        <f t="shared" si="122"/>
        <v>0</v>
      </c>
    </row>
    <row r="106" spans="1:38" ht="37.5" x14ac:dyDescent="0.3">
      <c r="A106" s="18" t="s">
        <v>447</v>
      </c>
      <c r="B106" s="10" t="str">
        <f>VLOOKUP(A106,saīsinājumi_LV_ENG!A:G,5,FALSE)</f>
        <v>Kompetenču pieejas satura aprobācija</v>
      </c>
      <c r="C106" s="9" t="s">
        <v>1287</v>
      </c>
      <c r="D106" s="38" t="s">
        <v>346</v>
      </c>
      <c r="E106" s="38" t="s">
        <v>348</v>
      </c>
      <c r="F106" s="96">
        <f>26424600+343400</f>
        <v>26768000</v>
      </c>
      <c r="G106" s="33">
        <v>0</v>
      </c>
      <c r="H106" s="33">
        <f t="shared" si="160"/>
        <v>26768000</v>
      </c>
      <c r="I106" s="33">
        <v>0</v>
      </c>
      <c r="J106" s="33">
        <f>IFERROR((VLOOKUP(A106,AtskaiteStatusuTabula!B:AI,10,0)),0)</f>
        <v>26615060.350000001</v>
      </c>
      <c r="K106" s="29">
        <f t="shared" si="149"/>
        <v>0.99428647452181718</v>
      </c>
      <c r="L106" s="29">
        <f t="shared" si="151"/>
        <v>0</v>
      </c>
      <c r="M106" s="29">
        <f t="shared" si="158"/>
        <v>0</v>
      </c>
      <c r="N106" s="33">
        <f>IFERROR((VLOOKUP(A106,AtskaiteStatusuTabula!B:AI,17,0)),0)</f>
        <v>1</v>
      </c>
      <c r="O106" s="33">
        <v>26615060.350000001</v>
      </c>
      <c r="P106" s="29">
        <v>0.99428647452181718</v>
      </c>
      <c r="Q106" s="33">
        <f>IFERROR((VLOOKUP(A106,AtskaiteStatusuTabula!B:AI,18,0)),0)</f>
        <v>26615060.350000001</v>
      </c>
      <c r="R106" s="29">
        <f t="shared" si="152"/>
        <v>0.99428647452181718</v>
      </c>
      <c r="S106" s="29">
        <f t="shared" si="153"/>
        <v>0</v>
      </c>
      <c r="T106" s="29">
        <f t="shared" si="154"/>
        <v>0</v>
      </c>
      <c r="U106" s="33">
        <f>IFERROR((VLOOKUP(A106,AtskaiteStatusuTabula!B:AI,23,0)),0)</f>
        <v>1</v>
      </c>
      <c r="V106" s="33">
        <v>26615060.350000001</v>
      </c>
      <c r="W106" s="29">
        <v>0.99428647452181718</v>
      </c>
      <c r="X106" s="33">
        <f>IFERROR((VLOOKUP(A106,AtskaiteStatusuTabula!B:AI,24,0)),0)</f>
        <v>26615060.350000001</v>
      </c>
      <c r="Y106" s="29">
        <f t="shared" si="155"/>
        <v>0.99428647452181718</v>
      </c>
      <c r="Z106" s="29">
        <f t="shared" si="121"/>
        <v>0</v>
      </c>
      <c r="AA106" s="29">
        <f t="shared" si="156"/>
        <v>0</v>
      </c>
      <c r="AB106" s="33">
        <f>IFERROR((VLOOKUP(A106,AtskaiteStatusuTabula!B:AI,30,0)),0)</f>
        <v>1</v>
      </c>
      <c r="AC106" s="33">
        <v>26615060.350000001</v>
      </c>
      <c r="AD106" s="29">
        <v>0.99428647452181718</v>
      </c>
      <c r="AE106" s="33">
        <f>IFERROR((VLOOKUP(A106,AtskaiteStatusuTabula!B:AI,31,0)),0)</f>
        <v>26615060.350000001</v>
      </c>
      <c r="AF106" s="29">
        <f t="shared" si="157"/>
        <v>0.99428647452181718</v>
      </c>
      <c r="AG106" s="29">
        <f t="shared" si="159"/>
        <v>0</v>
      </c>
      <c r="AH106" s="29">
        <f t="shared" si="123"/>
        <v>0</v>
      </c>
      <c r="AI106" s="33">
        <v>26615060.350000001</v>
      </c>
      <c r="AJ106" s="29">
        <v>0.99428647452181718</v>
      </c>
      <c r="AL106" s="55">
        <f t="shared" si="122"/>
        <v>0</v>
      </c>
    </row>
    <row r="107" spans="1:38" x14ac:dyDescent="0.3">
      <c r="A107" s="18" t="s">
        <v>312</v>
      </c>
      <c r="B107" s="10" t="str">
        <f>VLOOKUP(A107,saīsinājumi_LV_ENG!A:G,5,FALSE)</f>
        <v>Digitālo līdzekļu izstrāde</v>
      </c>
      <c r="C107" s="9"/>
      <c r="D107" s="38" t="s">
        <v>346</v>
      </c>
      <c r="E107" s="38" t="s">
        <v>348</v>
      </c>
      <c r="F107" s="96">
        <v>1105911</v>
      </c>
      <c r="G107" s="33">
        <v>0</v>
      </c>
      <c r="H107" s="33">
        <f t="shared" si="160"/>
        <v>1105911</v>
      </c>
      <c r="I107" s="33">
        <v>0</v>
      </c>
      <c r="J107" s="33">
        <f>IFERROR((VLOOKUP(A107,AtskaiteStatusuTabula!B:AI,10,0)),0)</f>
        <v>1060395.79</v>
      </c>
      <c r="K107" s="29">
        <f t="shared" si="149"/>
        <v>0.95884369537874203</v>
      </c>
      <c r="L107" s="29">
        <f t="shared" si="151"/>
        <v>0</v>
      </c>
      <c r="M107" s="29">
        <f t="shared" si="158"/>
        <v>0</v>
      </c>
      <c r="N107" s="33">
        <f>IFERROR((VLOOKUP(A107,AtskaiteStatusuTabula!B:AI,17,0)),0)</f>
        <v>11</v>
      </c>
      <c r="O107" s="33">
        <v>1060395.79</v>
      </c>
      <c r="P107" s="29">
        <v>0.95884369537874203</v>
      </c>
      <c r="Q107" s="33">
        <f>IFERROR((VLOOKUP(A107,AtskaiteStatusuTabula!B:AI,18,0)),0)</f>
        <v>1060395.79</v>
      </c>
      <c r="R107" s="29">
        <f t="shared" si="152"/>
        <v>0.95884369537874203</v>
      </c>
      <c r="S107" s="29">
        <f t="shared" si="153"/>
        <v>0</v>
      </c>
      <c r="T107" s="29">
        <f t="shared" si="154"/>
        <v>0</v>
      </c>
      <c r="U107" s="33">
        <f>IFERROR((VLOOKUP(A107,AtskaiteStatusuTabula!B:AI,23,0)),0)</f>
        <v>11</v>
      </c>
      <c r="V107" s="33">
        <v>1060395.79</v>
      </c>
      <c r="W107" s="29">
        <v>0.95884369537874203</v>
      </c>
      <c r="X107" s="33">
        <f>IFERROR((VLOOKUP(A107,AtskaiteStatusuTabula!B:AI,24,0)),0)</f>
        <v>1060395.79</v>
      </c>
      <c r="Y107" s="29">
        <f t="shared" si="155"/>
        <v>0.95884369537874203</v>
      </c>
      <c r="Z107" s="29">
        <f t="shared" si="121"/>
        <v>0</v>
      </c>
      <c r="AA107" s="29">
        <f t="shared" si="156"/>
        <v>0</v>
      </c>
      <c r="AB107" s="33">
        <f>IFERROR((VLOOKUP(A107,AtskaiteStatusuTabula!B:AI,30,0)),0)</f>
        <v>11</v>
      </c>
      <c r="AC107" s="33">
        <v>1060395.79</v>
      </c>
      <c r="AD107" s="29">
        <v>0.95884369537874203</v>
      </c>
      <c r="AE107" s="33">
        <f>IFERROR((VLOOKUP(A107,AtskaiteStatusuTabula!B:AI,31,0)),0)</f>
        <v>1060395.79</v>
      </c>
      <c r="AF107" s="29">
        <f t="shared" si="157"/>
        <v>0.95884369537874203</v>
      </c>
      <c r="AG107" s="29">
        <f t="shared" si="159"/>
        <v>0</v>
      </c>
      <c r="AH107" s="29">
        <f t="shared" si="123"/>
        <v>0</v>
      </c>
      <c r="AI107" s="33">
        <v>1060395.79</v>
      </c>
      <c r="AJ107" s="29">
        <v>0.95884369537874203</v>
      </c>
      <c r="AL107" s="55">
        <f t="shared" si="122"/>
        <v>0</v>
      </c>
    </row>
    <row r="108" spans="1:38" ht="37.5" x14ac:dyDescent="0.3">
      <c r="A108" s="18" t="s">
        <v>313</v>
      </c>
      <c r="B108" s="10" t="str">
        <f>VLOOKUP(A108,saīsinājumi_LV_ENG!A:G,5,FALSE)</f>
        <v>Izglītojamo talantu attīstība</v>
      </c>
      <c r="C108" s="9"/>
      <c r="D108" s="38" t="s">
        <v>346</v>
      </c>
      <c r="E108" s="38" t="s">
        <v>348</v>
      </c>
      <c r="F108" s="96">
        <v>3585597</v>
      </c>
      <c r="G108" s="33">
        <v>0</v>
      </c>
      <c r="H108" s="33">
        <f t="shared" si="160"/>
        <v>3585597</v>
      </c>
      <c r="I108" s="33">
        <v>0</v>
      </c>
      <c r="J108" s="33">
        <f>IFERROR((VLOOKUP(A108,AtskaiteStatusuTabula!B:AI,10,0)),0)</f>
        <v>3555368.62</v>
      </c>
      <c r="K108" s="29">
        <f t="shared" si="149"/>
        <v>0.99156949874734945</v>
      </c>
      <c r="L108" s="29">
        <f t="shared" si="151"/>
        <v>0</v>
      </c>
      <c r="M108" s="29">
        <f t="shared" si="158"/>
        <v>0</v>
      </c>
      <c r="N108" s="33">
        <f>IFERROR((VLOOKUP(A108,AtskaiteStatusuTabula!B:AI,17,0)),0)</f>
        <v>1</v>
      </c>
      <c r="O108" s="33">
        <v>3555368.62</v>
      </c>
      <c r="P108" s="29">
        <v>0.99156949874734945</v>
      </c>
      <c r="Q108" s="33">
        <f>IFERROR((VLOOKUP(A108,AtskaiteStatusuTabula!B:AI,18,0)),0)</f>
        <v>3555368.62</v>
      </c>
      <c r="R108" s="29">
        <f t="shared" si="152"/>
        <v>0.99156949874734945</v>
      </c>
      <c r="S108" s="29">
        <f t="shared" si="153"/>
        <v>0</v>
      </c>
      <c r="T108" s="29">
        <f t="shared" si="154"/>
        <v>0</v>
      </c>
      <c r="U108" s="33">
        <f>IFERROR((VLOOKUP(A108,AtskaiteStatusuTabula!B:AI,23,0)),0)</f>
        <v>1</v>
      </c>
      <c r="V108" s="33">
        <v>3555368.62</v>
      </c>
      <c r="W108" s="29">
        <v>0.99156949874734945</v>
      </c>
      <c r="X108" s="33">
        <f>IFERROR((VLOOKUP(A108,AtskaiteStatusuTabula!B:AI,24,0)),0)</f>
        <v>3555368.62</v>
      </c>
      <c r="Y108" s="29">
        <f t="shared" si="155"/>
        <v>0.99156949874734945</v>
      </c>
      <c r="Z108" s="29">
        <f t="shared" si="121"/>
        <v>0</v>
      </c>
      <c r="AA108" s="29">
        <f t="shared" si="156"/>
        <v>0</v>
      </c>
      <c r="AB108" s="33">
        <f>IFERROR((VLOOKUP(A108,AtskaiteStatusuTabula!B:AI,30,0)),0)</f>
        <v>1</v>
      </c>
      <c r="AC108" s="33">
        <v>3555368.62</v>
      </c>
      <c r="AD108" s="29">
        <v>0.99156949874734945</v>
      </c>
      <c r="AE108" s="33">
        <f>IFERROR((VLOOKUP(A108,AtskaiteStatusuTabula!B:AI,31,0)),0)</f>
        <v>3555368.62</v>
      </c>
      <c r="AF108" s="29">
        <f t="shared" si="157"/>
        <v>0.99156949874734945</v>
      </c>
      <c r="AG108" s="29">
        <f t="shared" si="159"/>
        <v>0</v>
      </c>
      <c r="AH108" s="29">
        <f t="shared" si="123"/>
        <v>0</v>
      </c>
      <c r="AI108" s="33">
        <v>3555368.62</v>
      </c>
      <c r="AJ108" s="29">
        <v>0.99156949874734945</v>
      </c>
      <c r="AL108" s="55">
        <f t="shared" si="122"/>
        <v>0</v>
      </c>
    </row>
    <row r="109" spans="1:38" ht="36.75" customHeight="1" x14ac:dyDescent="0.3">
      <c r="A109" s="18" t="s">
        <v>314</v>
      </c>
      <c r="B109" s="93" t="str">
        <f>VLOOKUP(A109,saīsinājumi_LV_ENG!A:G,5,FALSE)</f>
        <v xml:space="preserve">Individuālo kompetenču attīstība </v>
      </c>
      <c r="C109" s="93" t="s">
        <v>1584</v>
      </c>
      <c r="D109" s="95" t="s">
        <v>346</v>
      </c>
      <c r="E109" s="95" t="s">
        <v>348</v>
      </c>
      <c r="F109" s="96">
        <v>30776103</v>
      </c>
      <c r="G109" s="96">
        <v>0</v>
      </c>
      <c r="H109" s="96">
        <f t="shared" si="160"/>
        <v>30776103</v>
      </c>
      <c r="I109" s="96">
        <v>0</v>
      </c>
      <c r="J109" s="33">
        <f>IFERROR((VLOOKUP(A109,AtskaiteStatusuTabula!B:AI,10,0)),0)</f>
        <v>30430575.809999999</v>
      </c>
      <c r="K109" s="97">
        <f t="shared" si="149"/>
        <v>0.98877287387555202</v>
      </c>
      <c r="L109" s="97">
        <f t="shared" si="151"/>
        <v>0</v>
      </c>
      <c r="M109" s="97">
        <f t="shared" si="158"/>
        <v>0</v>
      </c>
      <c r="N109" s="33">
        <f>IFERROR((VLOOKUP(A109,AtskaiteStatusuTabula!B:AI,17,0)),0)</f>
        <v>1</v>
      </c>
      <c r="O109" s="96">
        <v>30430575.809999999</v>
      </c>
      <c r="P109" s="97">
        <v>0.98877287387555202</v>
      </c>
      <c r="Q109" s="33">
        <f>IFERROR((VLOOKUP(A109,AtskaiteStatusuTabula!B:AI,18,0)),0)</f>
        <v>30430575.809999999</v>
      </c>
      <c r="R109" s="29">
        <f t="shared" si="152"/>
        <v>0.98877287387555202</v>
      </c>
      <c r="S109" s="29">
        <f t="shared" si="153"/>
        <v>0</v>
      </c>
      <c r="T109" s="29">
        <f t="shared" si="154"/>
        <v>0</v>
      </c>
      <c r="U109" s="33">
        <f>IFERROR((VLOOKUP(A109,AtskaiteStatusuTabula!B:AI,23,0)),0)</f>
        <v>1</v>
      </c>
      <c r="V109" s="33">
        <v>30430575.809999999</v>
      </c>
      <c r="W109" s="29">
        <v>0.98877287387555202</v>
      </c>
      <c r="X109" s="33">
        <f>IFERROR((VLOOKUP(A109,AtskaiteStatusuTabula!B:AI,24,0)),0)</f>
        <v>30430575.809999999</v>
      </c>
      <c r="Y109" s="29">
        <f t="shared" si="155"/>
        <v>0.98877287387555202</v>
      </c>
      <c r="Z109" s="29">
        <f t="shared" si="121"/>
        <v>0</v>
      </c>
      <c r="AA109" s="29">
        <f t="shared" si="156"/>
        <v>0</v>
      </c>
      <c r="AB109" s="33">
        <f>IFERROR((VLOOKUP(A109,AtskaiteStatusuTabula!B:AI,30,0)),0)</f>
        <v>1</v>
      </c>
      <c r="AC109" s="33">
        <v>30430575.809999999</v>
      </c>
      <c r="AD109" s="29">
        <v>0.98877287387555202</v>
      </c>
      <c r="AE109" s="33">
        <f>IFERROR((VLOOKUP(A109,AtskaiteStatusuTabula!B:AI,31,0)),0)</f>
        <v>30430575.809999999</v>
      </c>
      <c r="AF109" s="29">
        <f t="shared" si="157"/>
        <v>0.98877287387555202</v>
      </c>
      <c r="AG109" s="29">
        <f t="shared" si="159"/>
        <v>0</v>
      </c>
      <c r="AH109" s="29">
        <f t="shared" si="123"/>
        <v>0</v>
      </c>
      <c r="AI109" s="33">
        <v>30430575.809999999</v>
      </c>
      <c r="AJ109" s="29">
        <v>0.98877287387555202</v>
      </c>
      <c r="AL109" s="55">
        <f t="shared" si="122"/>
        <v>0</v>
      </c>
    </row>
    <row r="110" spans="1:38" ht="37.5" x14ac:dyDescent="0.3">
      <c r="A110" s="18" t="s">
        <v>315</v>
      </c>
      <c r="B110" s="93" t="str">
        <f>VLOOKUP(A110,saīsinājumi_LV_ENG!A:G,5,FALSE)</f>
        <v>NEET jauniešu prasmju attīstīšana</v>
      </c>
      <c r="C110" s="94"/>
      <c r="D110" s="95" t="s">
        <v>346</v>
      </c>
      <c r="E110" s="95" t="s">
        <v>348</v>
      </c>
      <c r="F110" s="96">
        <v>7191280</v>
      </c>
      <c r="G110" s="96">
        <v>0</v>
      </c>
      <c r="H110" s="96">
        <f t="shared" si="160"/>
        <v>7191280</v>
      </c>
      <c r="I110" s="96">
        <v>0</v>
      </c>
      <c r="J110" s="469">
        <f>IFERROR((VLOOKUP(A110,AtskaiteStatusuTabula!B:AI,10,0)),0)-AtskaiteStatusuTabula!L166</f>
        <v>7172086.4199999999</v>
      </c>
      <c r="K110" s="97">
        <f t="shared" si="149"/>
        <v>0.99733099253540403</v>
      </c>
      <c r="L110" s="97">
        <f t="shared" si="151"/>
        <v>0</v>
      </c>
      <c r="M110" s="97">
        <f t="shared" si="158"/>
        <v>0</v>
      </c>
      <c r="N110" s="33">
        <f>IFERROR((VLOOKUP(A110,AtskaiteStatusuTabula!B:AI,17,0)),0)</f>
        <v>1</v>
      </c>
      <c r="O110" s="96">
        <v>7172086.4199999999</v>
      </c>
      <c r="P110" s="97">
        <v>0.99733099253540403</v>
      </c>
      <c r="Q110" s="469">
        <f>IFERROR((VLOOKUP(A110,AtskaiteStatusuTabula!B:AI,18,0)),0)-AtskaiteStatusuTabula!T166</f>
        <v>7172086.4199999999</v>
      </c>
      <c r="R110" s="29">
        <f t="shared" si="152"/>
        <v>0.99733099253540403</v>
      </c>
      <c r="S110" s="29">
        <f t="shared" si="153"/>
        <v>0</v>
      </c>
      <c r="T110" s="29">
        <f t="shared" si="154"/>
        <v>0</v>
      </c>
      <c r="U110" s="33">
        <f>IFERROR((VLOOKUP(A110,AtskaiteStatusuTabula!B:AI,23,0)),0)</f>
        <v>1</v>
      </c>
      <c r="V110" s="33">
        <v>7172086.4199999999</v>
      </c>
      <c r="W110" s="29">
        <v>0.99733099253540403</v>
      </c>
      <c r="X110" s="469">
        <f>IFERROR((VLOOKUP(A110,AtskaiteStatusuTabula!B:AI,24,0)),0)-AtskaiteStatusuTabula!Z166</f>
        <v>7172086.4199999999</v>
      </c>
      <c r="Y110" s="29">
        <f t="shared" si="155"/>
        <v>0.99733099253540403</v>
      </c>
      <c r="Z110" s="29">
        <f t="shared" si="121"/>
        <v>0</v>
      </c>
      <c r="AA110" s="29">
        <f t="shared" si="156"/>
        <v>0</v>
      </c>
      <c r="AB110" s="33">
        <f>IFERROR((VLOOKUP(A110,AtskaiteStatusuTabula!B:AI,30,0)),0)</f>
        <v>1</v>
      </c>
      <c r="AC110" s="33">
        <v>7172086.4199999999</v>
      </c>
      <c r="AD110" s="29">
        <v>0.99733099253540403</v>
      </c>
      <c r="AE110" s="469">
        <f>IFERROR((VLOOKUP(A110,AtskaiteStatusuTabula!B:AI,31,0)),0)-AtskaiteStatusuTabula!AG166</f>
        <v>7172086.4199999999</v>
      </c>
      <c r="AF110" s="29">
        <f t="shared" si="157"/>
        <v>0.99733099253540403</v>
      </c>
      <c r="AG110" s="29">
        <f t="shared" si="159"/>
        <v>0</v>
      </c>
      <c r="AH110" s="29">
        <f t="shared" si="123"/>
        <v>0</v>
      </c>
      <c r="AI110" s="33">
        <v>7172086.4199999999</v>
      </c>
      <c r="AJ110" s="29">
        <v>0.99733099253540403</v>
      </c>
      <c r="AL110" s="55">
        <f t="shared" si="122"/>
        <v>0</v>
      </c>
    </row>
    <row r="111" spans="1:38" ht="56.25" x14ac:dyDescent="0.3">
      <c r="A111" s="18" t="s">
        <v>316</v>
      </c>
      <c r="B111" s="93" t="str">
        <f>VLOOKUP(A111,saīsinājumi_LV_ENG!A:G,5,FALSE)</f>
        <v>Priekšlaicīgas mācību pārtraukšanas samazināšana</v>
      </c>
      <c r="C111" s="94"/>
      <c r="D111" s="95" t="s">
        <v>346</v>
      </c>
      <c r="E111" s="95" t="s">
        <v>348</v>
      </c>
      <c r="F111" s="96">
        <v>30727948</v>
      </c>
      <c r="G111" s="96">
        <v>0</v>
      </c>
      <c r="H111" s="96">
        <f t="shared" si="160"/>
        <v>30727948</v>
      </c>
      <c r="I111" s="96">
        <v>0</v>
      </c>
      <c r="J111" s="33">
        <f>IFERROR((VLOOKUP(A111,AtskaiteStatusuTabula!B:AI,10,0)),0)</f>
        <v>30166486.23</v>
      </c>
      <c r="K111" s="97">
        <f t="shared" si="149"/>
        <v>0.9817279770845746</v>
      </c>
      <c r="L111" s="97">
        <f t="shared" si="151"/>
        <v>0</v>
      </c>
      <c r="M111" s="97">
        <f t="shared" si="158"/>
        <v>0</v>
      </c>
      <c r="N111" s="33">
        <f>IFERROR((VLOOKUP(A111,AtskaiteStatusuTabula!B:AI,17,0)),0)</f>
        <v>1</v>
      </c>
      <c r="O111" s="96">
        <v>30166486.23</v>
      </c>
      <c r="P111" s="97">
        <v>0.9817279770845746</v>
      </c>
      <c r="Q111" s="33">
        <f>IFERROR((VLOOKUP(A111,AtskaiteStatusuTabula!B:AI,18,0)),0)</f>
        <v>30166486.23</v>
      </c>
      <c r="R111" s="29">
        <f t="shared" si="152"/>
        <v>0.9817279770845746</v>
      </c>
      <c r="S111" s="29">
        <f t="shared" si="153"/>
        <v>0</v>
      </c>
      <c r="T111" s="29">
        <f t="shared" si="154"/>
        <v>0</v>
      </c>
      <c r="U111" s="33">
        <f>IFERROR((VLOOKUP(A111,AtskaiteStatusuTabula!B:AI,23,0)),0)</f>
        <v>1</v>
      </c>
      <c r="V111" s="33">
        <v>30166486.23</v>
      </c>
      <c r="W111" s="29">
        <v>0.9817279770845746</v>
      </c>
      <c r="X111" s="33">
        <f>IFERROR((VLOOKUP(A111,AtskaiteStatusuTabula!B:AI,24,0)),0)</f>
        <v>30166486.23</v>
      </c>
      <c r="Y111" s="29">
        <f t="shared" si="155"/>
        <v>0.9817279770845746</v>
      </c>
      <c r="Z111" s="29">
        <f t="shared" si="121"/>
        <v>0</v>
      </c>
      <c r="AA111" s="29">
        <f t="shared" si="156"/>
        <v>0</v>
      </c>
      <c r="AB111" s="33">
        <f>IFERROR((VLOOKUP(A111,AtskaiteStatusuTabula!B:AI,30,0)),0)</f>
        <v>1</v>
      </c>
      <c r="AC111" s="33">
        <v>30166486.23</v>
      </c>
      <c r="AD111" s="29">
        <v>0.9817279770845746</v>
      </c>
      <c r="AE111" s="33">
        <f>IFERROR((VLOOKUP(A111,AtskaiteStatusuTabula!B:AI,31,0)),0)</f>
        <v>30166486.23</v>
      </c>
      <c r="AF111" s="29">
        <f t="shared" si="157"/>
        <v>0.9817279770845746</v>
      </c>
      <c r="AG111" s="29">
        <f t="shared" si="159"/>
        <v>0</v>
      </c>
      <c r="AH111" s="29">
        <f t="shared" si="123"/>
        <v>0</v>
      </c>
      <c r="AI111" s="33">
        <v>30166486.23</v>
      </c>
      <c r="AJ111" s="29">
        <v>0.9817279770845746</v>
      </c>
      <c r="AL111" s="55">
        <f t="shared" si="122"/>
        <v>0</v>
      </c>
    </row>
    <row r="112" spans="1:38" ht="37.5" x14ac:dyDescent="0.3">
      <c r="A112" s="18" t="s">
        <v>317</v>
      </c>
      <c r="B112" s="93" t="str">
        <f>VLOOKUP(A112,saīsinājumi_LV_ENG!A:G,5,FALSE)</f>
        <v>Karjeras pieejas uzlabošana</v>
      </c>
      <c r="C112" s="94" t="s">
        <v>1363</v>
      </c>
      <c r="D112" s="95" t="s">
        <v>346</v>
      </c>
      <c r="E112" s="95" t="s">
        <v>348</v>
      </c>
      <c r="F112" s="96">
        <v>20075865</v>
      </c>
      <c r="G112" s="96">
        <v>0</v>
      </c>
      <c r="H112" s="96">
        <f t="shared" si="160"/>
        <v>20075865</v>
      </c>
      <c r="I112" s="96">
        <v>1219986</v>
      </c>
      <c r="J112" s="33">
        <f>IFERROR((VLOOKUP(A112,AtskaiteStatusuTabula!B:AI,10,0)),0)</f>
        <v>19942396.420000002</v>
      </c>
      <c r="K112" s="97">
        <f t="shared" si="149"/>
        <v>0.99335178932514245</v>
      </c>
      <c r="L112" s="97">
        <f t="shared" si="151"/>
        <v>0</v>
      </c>
      <c r="M112" s="97">
        <f t="shared" si="158"/>
        <v>0</v>
      </c>
      <c r="N112" s="33">
        <f>IFERROR((VLOOKUP(A112,AtskaiteStatusuTabula!B:AI,17,0)),0)</f>
        <v>1</v>
      </c>
      <c r="O112" s="96">
        <v>19942396.420000002</v>
      </c>
      <c r="P112" s="97">
        <v>0.99335178932514245</v>
      </c>
      <c r="Q112" s="33">
        <f>IFERROR((VLOOKUP(A112,AtskaiteStatusuTabula!B:AI,18,0)),0)</f>
        <v>19942396.420000002</v>
      </c>
      <c r="R112" s="29">
        <f t="shared" si="152"/>
        <v>0.99335178932514245</v>
      </c>
      <c r="S112" s="29">
        <f t="shared" si="153"/>
        <v>0</v>
      </c>
      <c r="T112" s="29">
        <f t="shared" si="154"/>
        <v>0</v>
      </c>
      <c r="U112" s="33">
        <f>IFERROR((VLOOKUP(A112,AtskaiteStatusuTabula!B:AI,23,0)),0)</f>
        <v>1</v>
      </c>
      <c r="V112" s="33">
        <v>19942396.420000002</v>
      </c>
      <c r="W112" s="29">
        <v>0.99335178932514245</v>
      </c>
      <c r="X112" s="33">
        <f>IFERROR((VLOOKUP(A112,AtskaiteStatusuTabula!B:AI,24,0)),0)</f>
        <v>19942396.420000002</v>
      </c>
      <c r="Y112" s="29">
        <f t="shared" si="155"/>
        <v>0.99335178932514245</v>
      </c>
      <c r="Z112" s="29">
        <f t="shared" si="121"/>
        <v>0</v>
      </c>
      <c r="AA112" s="29">
        <f t="shared" si="156"/>
        <v>0</v>
      </c>
      <c r="AB112" s="33">
        <f>IFERROR((VLOOKUP(A112,AtskaiteStatusuTabula!B:AI,30,0)),0)</f>
        <v>1</v>
      </c>
      <c r="AC112" s="33">
        <v>19942396.420000002</v>
      </c>
      <c r="AD112" s="29">
        <v>0.99335178932514245</v>
      </c>
      <c r="AE112" s="33">
        <f>IFERROR((VLOOKUP(A112,AtskaiteStatusuTabula!B:AI,31,0)),0)</f>
        <v>19942396.420000002</v>
      </c>
      <c r="AF112" s="29">
        <f t="shared" si="157"/>
        <v>0.99335178932514245</v>
      </c>
      <c r="AG112" s="29">
        <f t="shared" si="159"/>
        <v>0</v>
      </c>
      <c r="AH112" s="29">
        <f t="shared" si="123"/>
        <v>0</v>
      </c>
      <c r="AI112" s="33">
        <v>19942396.420000002</v>
      </c>
      <c r="AJ112" s="29">
        <v>0.99335178932514245</v>
      </c>
      <c r="AL112" s="55">
        <f t="shared" si="122"/>
        <v>0</v>
      </c>
    </row>
    <row r="113" spans="1:38" x14ac:dyDescent="0.3">
      <c r="A113" s="18" t="s">
        <v>318</v>
      </c>
      <c r="B113" s="93" t="str">
        <f>VLOOKUP(A113,saīsinājumi_LV_ENG!A:G,5,FALSE)</f>
        <v>Starptautiskie pētījumi</v>
      </c>
      <c r="C113" s="94" t="s">
        <v>1598</v>
      </c>
      <c r="D113" s="95" t="s">
        <v>346</v>
      </c>
      <c r="E113" s="95" t="s">
        <v>348</v>
      </c>
      <c r="F113" s="96">
        <v>5765907</v>
      </c>
      <c r="G113" s="96">
        <v>0</v>
      </c>
      <c r="H113" s="96">
        <f t="shared" si="160"/>
        <v>5765907</v>
      </c>
      <c r="I113" s="96">
        <v>0</v>
      </c>
      <c r="J113" s="33">
        <f>IFERROR((VLOOKUP(A113,AtskaiteStatusuTabula!B:AI,10,0)),0)</f>
        <v>5732007.0999999996</v>
      </c>
      <c r="K113" s="97">
        <f t="shared" si="149"/>
        <v>0.99412063011075269</v>
      </c>
      <c r="L113" s="97">
        <f t="shared" si="151"/>
        <v>0</v>
      </c>
      <c r="M113" s="97">
        <f t="shared" si="158"/>
        <v>0</v>
      </c>
      <c r="N113" s="33">
        <f>IFERROR((VLOOKUP(A113,AtskaiteStatusuTabula!B:AI,17,0)),0)</f>
        <v>1</v>
      </c>
      <c r="O113" s="96">
        <v>5732007.0999999996</v>
      </c>
      <c r="P113" s="97">
        <v>0.99412063011075269</v>
      </c>
      <c r="Q113" s="33">
        <f>IFERROR((VLOOKUP(A113,AtskaiteStatusuTabula!B:AI,18,0)),0)</f>
        <v>5732007.0999999996</v>
      </c>
      <c r="R113" s="29">
        <f t="shared" si="152"/>
        <v>0.99412063011075269</v>
      </c>
      <c r="S113" s="29">
        <f t="shared" si="153"/>
        <v>0</v>
      </c>
      <c r="T113" s="29">
        <f t="shared" si="154"/>
        <v>0</v>
      </c>
      <c r="U113" s="33">
        <f>IFERROR((VLOOKUP(A113,AtskaiteStatusuTabula!B:AI,23,0)),0)</f>
        <v>1</v>
      </c>
      <c r="V113" s="33">
        <v>5732007.0999999996</v>
      </c>
      <c r="W113" s="29">
        <v>0.99412063011075269</v>
      </c>
      <c r="X113" s="33">
        <f>IFERROR((VLOOKUP(A113,AtskaiteStatusuTabula!B:AI,24,0)),0)</f>
        <v>5732007.0999999996</v>
      </c>
      <c r="Y113" s="29">
        <f t="shared" si="155"/>
        <v>0.99412063011075269</v>
      </c>
      <c r="Z113" s="29">
        <f t="shared" si="121"/>
        <v>0</v>
      </c>
      <c r="AA113" s="29">
        <f t="shared" si="156"/>
        <v>0</v>
      </c>
      <c r="AB113" s="33">
        <f>IFERROR((VLOOKUP(A113,AtskaiteStatusuTabula!B:AI,30,0)),0)</f>
        <v>1</v>
      </c>
      <c r="AC113" s="33">
        <v>5732007.0999999996</v>
      </c>
      <c r="AD113" s="29">
        <v>0.99412063011075269</v>
      </c>
      <c r="AE113" s="33">
        <f>IFERROR((VLOOKUP(A113,AtskaiteStatusuTabula!B:AI,31,0)),0)</f>
        <v>5732007.0999999996</v>
      </c>
      <c r="AF113" s="29">
        <f t="shared" si="157"/>
        <v>0.99412063011075269</v>
      </c>
      <c r="AG113" s="29">
        <f t="shared" si="159"/>
        <v>0</v>
      </c>
      <c r="AH113" s="29">
        <f t="shared" si="123"/>
        <v>0</v>
      </c>
      <c r="AI113" s="33">
        <v>5732007.0999999996</v>
      </c>
      <c r="AJ113" s="29">
        <v>0.99412063011075269</v>
      </c>
      <c r="AL113" s="55">
        <f t="shared" si="122"/>
        <v>0</v>
      </c>
    </row>
    <row r="114" spans="1:38" ht="37.5" x14ac:dyDescent="0.3">
      <c r="A114" s="92" t="s">
        <v>319</v>
      </c>
      <c r="B114" s="93" t="str">
        <f>VLOOKUP(A114,saīsinājumi_LV_ENG!A:G,5,FALSE)</f>
        <v>Izglītības kvalitātes monitoringa sistēma</v>
      </c>
      <c r="C114" s="94" t="s">
        <v>1537</v>
      </c>
      <c r="D114" s="95" t="s">
        <v>346</v>
      </c>
      <c r="E114" s="95" t="s">
        <v>348</v>
      </c>
      <c r="F114" s="96">
        <v>3794705</v>
      </c>
      <c r="G114" s="96">
        <v>0</v>
      </c>
      <c r="H114" s="96">
        <f t="shared" si="160"/>
        <v>3794705</v>
      </c>
      <c r="I114" s="296">
        <v>0</v>
      </c>
      <c r="J114" s="33">
        <f>IFERROR((VLOOKUP(A114,AtskaiteStatusuTabula!B:AI,10,0)),0)</f>
        <v>3707048.5</v>
      </c>
      <c r="K114" s="97">
        <f t="shared" si="149"/>
        <v>0.97690031240900144</v>
      </c>
      <c r="L114" s="97">
        <f t="shared" si="151"/>
        <v>0</v>
      </c>
      <c r="M114" s="97">
        <f t="shared" si="158"/>
        <v>0</v>
      </c>
      <c r="N114" s="33">
        <f>IFERROR((VLOOKUP(A114,AtskaiteStatusuTabula!B:AI,17,0)),0)</f>
        <v>1</v>
      </c>
      <c r="O114" s="96">
        <v>3707048.5</v>
      </c>
      <c r="P114" s="97">
        <v>0.97690031240900144</v>
      </c>
      <c r="Q114" s="33">
        <f>IFERROR((VLOOKUP(A114,AtskaiteStatusuTabula!B:AI,18,0)),0)</f>
        <v>3707048.5</v>
      </c>
      <c r="R114" s="29">
        <f t="shared" si="152"/>
        <v>0.97690031240900144</v>
      </c>
      <c r="S114" s="29">
        <f t="shared" si="153"/>
        <v>0</v>
      </c>
      <c r="T114" s="29">
        <f t="shared" si="154"/>
        <v>0</v>
      </c>
      <c r="U114" s="33">
        <f>IFERROR((VLOOKUP(A114,AtskaiteStatusuTabula!B:AI,23,0)),0)</f>
        <v>1</v>
      </c>
      <c r="V114" s="33">
        <v>3707048.5</v>
      </c>
      <c r="W114" s="29">
        <v>0.97690031240900144</v>
      </c>
      <c r="X114" s="33">
        <f>IFERROR((VLOOKUP(A114,AtskaiteStatusuTabula!B:AI,24,0)),0)</f>
        <v>3707048.5</v>
      </c>
      <c r="Y114" s="29">
        <f t="shared" si="155"/>
        <v>0.97690031240900144</v>
      </c>
      <c r="Z114" s="29">
        <f t="shared" si="121"/>
        <v>0</v>
      </c>
      <c r="AA114" s="29">
        <f t="shared" si="156"/>
        <v>0</v>
      </c>
      <c r="AB114" s="33">
        <f>IFERROR((VLOOKUP(A114,AtskaiteStatusuTabula!B:AI,30,0)),0)</f>
        <v>1</v>
      </c>
      <c r="AC114" s="33">
        <v>3707048.5</v>
      </c>
      <c r="AD114" s="29">
        <v>0.97690031240900144</v>
      </c>
      <c r="AE114" s="33">
        <f>IFERROR((VLOOKUP(A114,AtskaiteStatusuTabula!B:AI,31,0)),0)</f>
        <v>3707048.5</v>
      </c>
      <c r="AF114" s="29">
        <f t="shared" si="157"/>
        <v>0.97690031240900144</v>
      </c>
      <c r="AG114" s="29">
        <f t="shared" si="159"/>
        <v>0</v>
      </c>
      <c r="AH114" s="29">
        <f t="shared" si="123"/>
        <v>0</v>
      </c>
      <c r="AI114" s="33">
        <v>3707048.5</v>
      </c>
      <c r="AJ114" s="29">
        <v>0.97690031240900144</v>
      </c>
      <c r="AL114" s="55">
        <f t="shared" si="122"/>
        <v>0</v>
      </c>
    </row>
    <row r="115" spans="1:38" x14ac:dyDescent="0.3">
      <c r="A115" s="92" t="s">
        <v>450</v>
      </c>
      <c r="B115" s="93" t="str">
        <f>VLOOKUP(A115,saīsinājumi_LV_ENG!A:G,5,FALSE)</f>
        <v xml:space="preserve">Mūžizglītība </v>
      </c>
      <c r="C115" s="94" t="s">
        <v>1583</v>
      </c>
      <c r="D115" s="95" t="s">
        <v>346</v>
      </c>
      <c r="E115" s="95" t="s">
        <v>348</v>
      </c>
      <c r="F115" s="96">
        <v>37406057</v>
      </c>
      <c r="G115" s="96">
        <v>0</v>
      </c>
      <c r="H115" s="96">
        <f t="shared" si="160"/>
        <v>37406057</v>
      </c>
      <c r="I115" s="96">
        <v>1428978.6074669501</v>
      </c>
      <c r="J115" s="33">
        <f>IFERROR((VLOOKUP(A115,AtskaiteStatusuTabula!B:AI,10,0)),0)</f>
        <v>36926055.189999998</v>
      </c>
      <c r="K115" s="97">
        <f t="shared" si="149"/>
        <v>0.98716780520331238</v>
      </c>
      <c r="L115" s="97">
        <f t="shared" si="151"/>
        <v>0</v>
      </c>
      <c r="M115" s="97">
        <f t="shared" si="158"/>
        <v>0</v>
      </c>
      <c r="N115" s="33">
        <f>IFERROR((VLOOKUP(A115,AtskaiteStatusuTabula!B:AI,17,0)),0)</f>
        <v>1</v>
      </c>
      <c r="O115" s="96">
        <v>36926055.189999998</v>
      </c>
      <c r="P115" s="97">
        <v>0.98716780520331238</v>
      </c>
      <c r="Q115" s="33">
        <f>IFERROR((VLOOKUP(A115,AtskaiteStatusuTabula!B:AI,18,0)),0)</f>
        <v>36926055.189999998</v>
      </c>
      <c r="R115" s="29">
        <f t="shared" si="152"/>
        <v>0.98716780520331238</v>
      </c>
      <c r="S115" s="29">
        <f t="shared" si="153"/>
        <v>0</v>
      </c>
      <c r="T115" s="29">
        <f t="shared" si="154"/>
        <v>0</v>
      </c>
      <c r="U115" s="33">
        <f>IFERROR((VLOOKUP(A115,AtskaiteStatusuTabula!B:AI,23,0)),0)</f>
        <v>1</v>
      </c>
      <c r="V115" s="33">
        <v>36926055.189999998</v>
      </c>
      <c r="W115" s="29">
        <v>0.98716780520331238</v>
      </c>
      <c r="X115" s="33">
        <f>IFERROR((VLOOKUP(A115,AtskaiteStatusuTabula!B:AI,24,0)),0)</f>
        <v>36926055.189999998</v>
      </c>
      <c r="Y115" s="29">
        <f t="shared" si="155"/>
        <v>0.98716780520331238</v>
      </c>
      <c r="Z115" s="29">
        <f t="shared" si="121"/>
        <v>0</v>
      </c>
      <c r="AA115" s="29">
        <f t="shared" si="156"/>
        <v>0</v>
      </c>
      <c r="AB115" s="33">
        <f>IFERROR((VLOOKUP(A115,AtskaiteStatusuTabula!B:AI,30,0)),0)</f>
        <v>1</v>
      </c>
      <c r="AC115" s="33">
        <v>36926055.189999998</v>
      </c>
      <c r="AD115" s="29">
        <v>0.98716780520331238</v>
      </c>
      <c r="AE115" s="33">
        <f>IFERROR((VLOOKUP(A115,AtskaiteStatusuTabula!B:AI,31,0)),0)</f>
        <v>36926055.189999998</v>
      </c>
      <c r="AF115" s="29">
        <f t="shared" si="157"/>
        <v>0.98716780520331238</v>
      </c>
      <c r="AG115" s="29">
        <f t="shared" si="159"/>
        <v>0</v>
      </c>
      <c r="AH115" s="29">
        <f t="shared" si="123"/>
        <v>0</v>
      </c>
      <c r="AI115" s="33">
        <v>36926055.189999998</v>
      </c>
      <c r="AJ115" s="29">
        <v>0.98716780520331238</v>
      </c>
      <c r="AL115" s="55">
        <f t="shared" si="122"/>
        <v>0</v>
      </c>
    </row>
    <row r="116" spans="1:38" ht="56.25" x14ac:dyDescent="0.3">
      <c r="A116" s="92" t="s">
        <v>320</v>
      </c>
      <c r="B116" s="93" t="str">
        <f>VLOOKUP(A116,saīsinājumi_LV_ENG!A:G,5,FALSE)</f>
        <v>Darba vidē balstītās mācības un mācību prakses</v>
      </c>
      <c r="C116" s="94" t="s">
        <v>1583</v>
      </c>
      <c r="D116" s="95" t="s">
        <v>346</v>
      </c>
      <c r="E116" s="95" t="s">
        <v>348</v>
      </c>
      <c r="F116" s="96">
        <v>13642147</v>
      </c>
      <c r="G116" s="96">
        <v>0</v>
      </c>
      <c r="H116" s="96">
        <f t="shared" si="160"/>
        <v>13642147</v>
      </c>
      <c r="I116" s="96">
        <v>0</v>
      </c>
      <c r="J116" s="33">
        <f>IFERROR((VLOOKUP(A116,AtskaiteStatusuTabula!B:AI,10,0)),0)</f>
        <v>13622344.84</v>
      </c>
      <c r="K116" s="97">
        <f t="shared" si="149"/>
        <v>0.99854845721864749</v>
      </c>
      <c r="L116" s="97">
        <f t="shared" si="151"/>
        <v>-1.3188246688733418E-4</v>
      </c>
      <c r="M116" s="97">
        <f t="shared" si="158"/>
        <v>-1.320567369223453E-4</v>
      </c>
      <c r="N116" s="33">
        <f>IFERROR((VLOOKUP(A116,AtskaiteStatusuTabula!B:AI,17,0)),0)</f>
        <v>1</v>
      </c>
      <c r="O116" s="96">
        <v>13624144</v>
      </c>
      <c r="P116" s="97">
        <v>0.99868033968553482</v>
      </c>
      <c r="Q116" s="33">
        <f>IFERROR((VLOOKUP(A116,AtskaiteStatusuTabula!B:AI,18,0)),0)</f>
        <v>13622344.84</v>
      </c>
      <c r="R116" s="29">
        <f t="shared" si="152"/>
        <v>0.99854845721864749</v>
      </c>
      <c r="S116" s="29">
        <f t="shared" si="153"/>
        <v>-1.3188246688733418E-4</v>
      </c>
      <c r="T116" s="29">
        <f t="shared" si="154"/>
        <v>-1.320567369223453E-4</v>
      </c>
      <c r="U116" s="33">
        <f>IFERROR((VLOOKUP(A116,AtskaiteStatusuTabula!B:AI,23,0)),0)</f>
        <v>1</v>
      </c>
      <c r="V116" s="33">
        <v>13624144</v>
      </c>
      <c r="W116" s="29">
        <v>0.99868033968553482</v>
      </c>
      <c r="X116" s="33">
        <f>IFERROR((VLOOKUP(A116,AtskaiteStatusuTabula!B:AI,24,0)),0)</f>
        <v>13622344.84</v>
      </c>
      <c r="Y116" s="29">
        <f t="shared" si="155"/>
        <v>0.99854845721864749</v>
      </c>
      <c r="Z116" s="29">
        <f t="shared" si="121"/>
        <v>-1.3188246688733418E-4</v>
      </c>
      <c r="AA116" s="29">
        <f t="shared" si="156"/>
        <v>-1.320567369223453E-4</v>
      </c>
      <c r="AB116" s="33">
        <f>IFERROR((VLOOKUP(A116,AtskaiteStatusuTabula!B:AI,30,0)),0)</f>
        <v>1</v>
      </c>
      <c r="AC116" s="33">
        <v>13624144</v>
      </c>
      <c r="AD116" s="29">
        <v>0.99868033968553482</v>
      </c>
      <c r="AE116" s="33">
        <f>IFERROR((VLOOKUP(A116,AtskaiteStatusuTabula!B:AI,31,0)),0)</f>
        <v>13622344.84</v>
      </c>
      <c r="AF116" s="29">
        <f t="shared" si="157"/>
        <v>0.99854845721864749</v>
      </c>
      <c r="AG116" s="29">
        <f t="shared" si="159"/>
        <v>1.9177186699426141E-4</v>
      </c>
      <c r="AH116" s="29">
        <f t="shared" si="123"/>
        <v>1.9208752724150834E-4</v>
      </c>
      <c r="AI116" s="33">
        <v>13619728.66</v>
      </c>
      <c r="AJ116" s="29">
        <v>0.99835668535165323</v>
      </c>
      <c r="AL116" s="55">
        <f t="shared" si="122"/>
        <v>0</v>
      </c>
    </row>
    <row r="117" spans="1:38" ht="56.25" x14ac:dyDescent="0.3">
      <c r="A117" s="18" t="s">
        <v>321</v>
      </c>
      <c r="B117" s="93" t="str">
        <f>VLOOKUP(A117,saīsinājumi_LV_ENG!A:G,5,FALSE)</f>
        <v>Profesionālās izglītības kvalifikācijas atbilstība Eiropas prasībām</v>
      </c>
      <c r="C117" s="94" t="s">
        <v>1288</v>
      </c>
      <c r="D117" s="95" t="s">
        <v>346</v>
      </c>
      <c r="E117" s="95" t="s">
        <v>348</v>
      </c>
      <c r="F117" s="96">
        <v>10686696</v>
      </c>
      <c r="G117" s="96">
        <v>0</v>
      </c>
      <c r="H117" s="96">
        <f t="shared" si="160"/>
        <v>10686696</v>
      </c>
      <c r="I117" s="96">
        <v>0</v>
      </c>
      <c r="J117" s="33">
        <f>IFERROR((VLOOKUP(A117,AtskaiteStatusuTabula!B:AI,10,0)),0)</f>
        <v>10615913.76</v>
      </c>
      <c r="K117" s="97">
        <f t="shared" si="149"/>
        <v>0.9933766020854341</v>
      </c>
      <c r="L117" s="97">
        <f t="shared" ref="L117:L152" si="161">K117-P117</f>
        <v>0</v>
      </c>
      <c r="M117" s="97">
        <f t="shared" si="158"/>
        <v>0</v>
      </c>
      <c r="N117" s="33">
        <f>IFERROR((VLOOKUP(A117,AtskaiteStatusuTabula!B:AI,17,0)),0)</f>
        <v>1</v>
      </c>
      <c r="O117" s="96">
        <v>10615913.76</v>
      </c>
      <c r="P117" s="97">
        <v>0.9933766020854341</v>
      </c>
      <c r="Q117" s="33">
        <f>IFERROR((VLOOKUP(A117,AtskaiteStatusuTabula!B:AI,18,0)),0)</f>
        <v>10615913.76</v>
      </c>
      <c r="R117" s="29">
        <f t="shared" ref="R117:R152" si="162">Q117/F117</f>
        <v>0.9933766020854341</v>
      </c>
      <c r="S117" s="29">
        <f t="shared" ref="S117:S152" si="163">R117-W117</f>
        <v>0</v>
      </c>
      <c r="T117" s="29">
        <f t="shared" si="154"/>
        <v>0</v>
      </c>
      <c r="U117" s="33">
        <f>IFERROR((VLOOKUP(A117,AtskaiteStatusuTabula!B:AI,23,0)),0)</f>
        <v>1</v>
      </c>
      <c r="V117" s="33">
        <v>10615913.76</v>
      </c>
      <c r="W117" s="29">
        <v>0.9933766020854341</v>
      </c>
      <c r="X117" s="33">
        <f>IFERROR((VLOOKUP(A117,AtskaiteStatusuTabula!B:AI,24,0)),0)</f>
        <v>10615913.76</v>
      </c>
      <c r="Y117" s="29">
        <f t="shared" ref="Y117:Y152" si="164">X117/F117</f>
        <v>0.9933766020854341</v>
      </c>
      <c r="Z117" s="29">
        <f t="shared" si="121"/>
        <v>0</v>
      </c>
      <c r="AA117" s="29">
        <f t="shared" si="156"/>
        <v>0</v>
      </c>
      <c r="AB117" s="33">
        <f>IFERROR((VLOOKUP(A117,AtskaiteStatusuTabula!B:AI,30,0)),0)</f>
        <v>1</v>
      </c>
      <c r="AC117" s="33">
        <v>10615913.76</v>
      </c>
      <c r="AD117" s="29">
        <v>0.9933766020854341</v>
      </c>
      <c r="AE117" s="33">
        <f>IFERROR((VLOOKUP(A117,AtskaiteStatusuTabula!B:AI,31,0)),0)</f>
        <v>10615913.76</v>
      </c>
      <c r="AF117" s="29">
        <f t="shared" si="157"/>
        <v>0.9933766020854341</v>
      </c>
      <c r="AG117" s="29">
        <f t="shared" si="159"/>
        <v>0</v>
      </c>
      <c r="AH117" s="29">
        <f t="shared" si="123"/>
        <v>0</v>
      </c>
      <c r="AI117" s="33">
        <v>10615913.76</v>
      </c>
      <c r="AJ117" s="29">
        <v>0.9933766020854341</v>
      </c>
      <c r="AL117" s="55">
        <f t="shared" si="122"/>
        <v>0</v>
      </c>
    </row>
    <row r="118" spans="1:38" ht="37.5" x14ac:dyDescent="0.3">
      <c r="A118" s="18" t="s">
        <v>322</v>
      </c>
      <c r="B118" s="10" t="str">
        <f>VLOOKUP(A118,saīsinājumi_LV_ENG!A:G,5,FALSE)</f>
        <v xml:space="preserve">Profesionālās izglītības pārvaldība </v>
      </c>
      <c r="C118" s="9"/>
      <c r="D118" s="38" t="s">
        <v>346</v>
      </c>
      <c r="E118" s="38" t="s">
        <v>348</v>
      </c>
      <c r="F118" s="33">
        <v>5516580</v>
      </c>
      <c r="G118" s="33">
        <v>0</v>
      </c>
      <c r="H118" s="33">
        <f t="shared" si="160"/>
        <v>5516580</v>
      </c>
      <c r="I118" s="33">
        <v>343049.934610072</v>
      </c>
      <c r="J118" s="33">
        <f>IFERROR((VLOOKUP(A118,AtskaiteStatusuTabula!B:AI,10,0)),0)</f>
        <v>5321879.8099999996</v>
      </c>
      <c r="K118" s="29">
        <f t="shared" si="149"/>
        <v>0.9647063597373734</v>
      </c>
      <c r="L118" s="29">
        <f t="shared" si="161"/>
        <v>0</v>
      </c>
      <c r="M118" s="29">
        <f t="shared" si="158"/>
        <v>0</v>
      </c>
      <c r="N118" s="33">
        <f>IFERROR((VLOOKUP(A118,AtskaiteStatusuTabula!B:AI,17,0)),0)</f>
        <v>1</v>
      </c>
      <c r="O118" s="33">
        <v>5321879.8099999996</v>
      </c>
      <c r="P118" s="29">
        <v>0.9647063597373734</v>
      </c>
      <c r="Q118" s="33">
        <f>IFERROR((VLOOKUP(A118,AtskaiteStatusuTabula!B:AI,18,0)),0)</f>
        <v>5321879.8099999996</v>
      </c>
      <c r="R118" s="29">
        <f t="shared" si="162"/>
        <v>0.9647063597373734</v>
      </c>
      <c r="S118" s="29">
        <f t="shared" si="163"/>
        <v>0</v>
      </c>
      <c r="T118" s="29">
        <f t="shared" si="154"/>
        <v>0</v>
      </c>
      <c r="U118" s="33">
        <f>IFERROR((VLOOKUP(A118,AtskaiteStatusuTabula!B:AI,23,0)),0)</f>
        <v>1</v>
      </c>
      <c r="V118" s="33">
        <v>5321879.8099999996</v>
      </c>
      <c r="W118" s="29">
        <v>0.9647063597373734</v>
      </c>
      <c r="X118" s="33">
        <f>IFERROR((VLOOKUP(A118,AtskaiteStatusuTabula!B:AI,24,0)),0)</f>
        <v>5321879.8099999996</v>
      </c>
      <c r="Y118" s="29">
        <f t="shared" si="164"/>
        <v>0.9647063597373734</v>
      </c>
      <c r="Z118" s="29">
        <f t="shared" si="121"/>
        <v>0</v>
      </c>
      <c r="AA118" s="29">
        <f t="shared" si="156"/>
        <v>0</v>
      </c>
      <c r="AB118" s="33">
        <f>IFERROR((VLOOKUP(A118,AtskaiteStatusuTabula!B:AI,30,0)),0)</f>
        <v>1</v>
      </c>
      <c r="AC118" s="33">
        <v>5321879.8099999996</v>
      </c>
      <c r="AD118" s="29">
        <v>0.9647063597373734</v>
      </c>
      <c r="AE118" s="33">
        <f>IFERROR((VLOOKUP(A118,AtskaiteStatusuTabula!B:AI,31,0)),0)</f>
        <v>5321879.8099999996</v>
      </c>
      <c r="AF118" s="29">
        <f t="shared" si="157"/>
        <v>0.9647063597373734</v>
      </c>
      <c r="AG118" s="29">
        <f t="shared" ref="AG118:AG152" si="165">AF118-AJ118</f>
        <v>0</v>
      </c>
      <c r="AH118" s="29">
        <f t="shared" si="123"/>
        <v>0</v>
      </c>
      <c r="AI118" s="33">
        <v>5321879.8099999996</v>
      </c>
      <c r="AJ118" s="29">
        <v>0.9647063597373734</v>
      </c>
      <c r="AL118" s="55">
        <f t="shared" si="122"/>
        <v>0</v>
      </c>
    </row>
    <row r="119" spans="1:38" x14ac:dyDescent="0.3">
      <c r="A119" s="19" t="s">
        <v>127</v>
      </c>
      <c r="B119" s="8" t="str">
        <f>VLOOKUP(A119,saīsinājumi_LV_ENG!A:G,5,FALSE)</f>
        <v>Sociālā iekļaušana</v>
      </c>
      <c r="C119" s="8"/>
      <c r="D119" s="40"/>
      <c r="E119" s="40"/>
      <c r="F119" s="35">
        <f>SUM(F120:F144)</f>
        <v>516095086</v>
      </c>
      <c r="G119" s="35">
        <f>SUM(G120:G144)</f>
        <v>15313244</v>
      </c>
      <c r="H119" s="35">
        <f>SUM(H120:H144)</f>
        <v>531408330</v>
      </c>
      <c r="I119" s="35">
        <f>SUM(I120:I144)</f>
        <v>15459759</v>
      </c>
      <c r="J119" s="35">
        <f>SUM(J120:J144)</f>
        <v>496391786.76999998</v>
      </c>
      <c r="K119" s="31">
        <f t="shared" si="149"/>
        <v>0.96182234676421619</v>
      </c>
      <c r="L119" s="31">
        <f t="shared" si="161"/>
        <v>-5.0363651941456311E-2</v>
      </c>
      <c r="M119" s="31">
        <f t="shared" si="158"/>
        <v>-4.9757309433106744E-2</v>
      </c>
      <c r="N119" s="35">
        <f>SUM(N120:N144)</f>
        <v>611</v>
      </c>
      <c r="O119" s="35">
        <v>522384220.04999995</v>
      </c>
      <c r="P119" s="31">
        <v>1.0121859987056725</v>
      </c>
      <c r="Q119" s="35">
        <f>SUM(Q120:Q144)</f>
        <v>496391786.76999998</v>
      </c>
      <c r="R119" s="31">
        <f t="shared" si="162"/>
        <v>0.96182234676421619</v>
      </c>
      <c r="S119" s="31">
        <f t="shared" si="163"/>
        <v>-5.0363651941456311E-2</v>
      </c>
      <c r="T119" s="31">
        <f t="shared" si="154"/>
        <v>-4.9757309433106744E-2</v>
      </c>
      <c r="U119" s="35">
        <f>SUM(U120:U144)</f>
        <v>611</v>
      </c>
      <c r="V119" s="35">
        <v>522384220.04999995</v>
      </c>
      <c r="W119" s="31">
        <v>1.0121859987056725</v>
      </c>
      <c r="X119" s="35">
        <f>SUM(X120:X144)</f>
        <v>496391786.76999998</v>
      </c>
      <c r="Y119" s="31">
        <f t="shared" si="164"/>
        <v>0.96182234676421619</v>
      </c>
      <c r="Z119" s="31">
        <f t="shared" si="121"/>
        <v>-5.0363651941456311E-2</v>
      </c>
      <c r="AA119" s="31">
        <f t="shared" si="156"/>
        <v>-4.9757309433106744E-2</v>
      </c>
      <c r="AB119" s="35">
        <f>SUM(AB120:AB144)</f>
        <v>611</v>
      </c>
      <c r="AC119" s="35">
        <v>522384220.04999995</v>
      </c>
      <c r="AD119" s="31">
        <v>1.0121859987056725</v>
      </c>
      <c r="AE119" s="35">
        <f>SUM(AE120:AE144)</f>
        <v>497917843.67000002</v>
      </c>
      <c r="AF119" s="31">
        <f t="shared" si="157"/>
        <v>0.96477927648782147</v>
      </c>
      <c r="AG119" s="31">
        <f t="shared" si="165"/>
        <v>0</v>
      </c>
      <c r="AH119" s="31">
        <f t="shared" si="123"/>
        <v>0</v>
      </c>
      <c r="AI119" s="35">
        <v>497917843.67000002</v>
      </c>
      <c r="AJ119" s="31">
        <v>0.96477927648782147</v>
      </c>
      <c r="AL119" s="55">
        <f t="shared" si="122"/>
        <v>0</v>
      </c>
    </row>
    <row r="120" spans="1:38" ht="37.5" x14ac:dyDescent="0.3">
      <c r="A120" s="18" t="s">
        <v>324</v>
      </c>
      <c r="B120" s="10" t="str">
        <f>VLOOKUP(A120,saīsinājumi_LV_ENG!A:G,5,FALSE)</f>
        <v>Subsidētās darbavietas bezdarbniekiem</v>
      </c>
      <c r="C120" s="447" t="s">
        <v>1593</v>
      </c>
      <c r="D120" s="38" t="s">
        <v>346</v>
      </c>
      <c r="E120" s="38" t="s">
        <v>351</v>
      </c>
      <c r="F120" s="96">
        <v>65931882</v>
      </c>
      <c r="G120" s="33">
        <v>0</v>
      </c>
      <c r="H120" s="33">
        <f t="shared" ref="H120:H139" si="166">F120+G120</f>
        <v>65931882</v>
      </c>
      <c r="I120" s="33">
        <v>0</v>
      </c>
      <c r="J120" s="33">
        <f>IFERROR((VLOOKUP(A120,AtskaiteStatusuTabula!B:AI,10,0)),0)</f>
        <v>65086757.420000002</v>
      </c>
      <c r="K120" s="29">
        <f t="shared" si="149"/>
        <v>0.98718185262783797</v>
      </c>
      <c r="L120" s="29">
        <f t="shared" si="161"/>
        <v>0</v>
      </c>
      <c r="M120" s="29">
        <f t="shared" si="158"/>
        <v>0</v>
      </c>
      <c r="N120" s="33">
        <f>IFERROR((VLOOKUP(A120,AtskaiteStatusuTabula!B:AI,17,0)),0)</f>
        <v>1</v>
      </c>
      <c r="O120" s="33">
        <v>65086757.420000002</v>
      </c>
      <c r="P120" s="29">
        <v>0.98718185262783797</v>
      </c>
      <c r="Q120" s="33">
        <f>IFERROR((VLOOKUP(A120,AtskaiteStatusuTabula!B:AI,18,0)),0)</f>
        <v>65086757.420000002</v>
      </c>
      <c r="R120" s="29">
        <f t="shared" si="162"/>
        <v>0.98718185262783797</v>
      </c>
      <c r="S120" s="29">
        <f t="shared" si="163"/>
        <v>0</v>
      </c>
      <c r="T120" s="29">
        <f t="shared" si="154"/>
        <v>0</v>
      </c>
      <c r="U120" s="33">
        <f>IFERROR((VLOOKUP(A120,AtskaiteStatusuTabula!B:AI,23,0)),0)</f>
        <v>1</v>
      </c>
      <c r="V120" s="33">
        <v>65086757.420000002</v>
      </c>
      <c r="W120" s="29">
        <v>0.98718185262783797</v>
      </c>
      <c r="X120" s="33">
        <f>IFERROR((VLOOKUP(A120,AtskaiteStatusuTabula!B:AI,24,0)),0)</f>
        <v>65086757.420000002</v>
      </c>
      <c r="Y120" s="29">
        <f t="shared" si="164"/>
        <v>0.98718185262783797</v>
      </c>
      <c r="Z120" s="29">
        <f t="shared" si="121"/>
        <v>0</v>
      </c>
      <c r="AA120" s="29">
        <f t="shared" si="156"/>
        <v>0</v>
      </c>
      <c r="AB120" s="33">
        <f>IFERROR((VLOOKUP(A120,AtskaiteStatusuTabula!B:AI,30,0)),0)</f>
        <v>1</v>
      </c>
      <c r="AC120" s="33">
        <v>65086757.420000002</v>
      </c>
      <c r="AD120" s="29">
        <v>0.98718185262783797</v>
      </c>
      <c r="AE120" s="33">
        <f>IFERROR((VLOOKUP(A120,AtskaiteStatusuTabula!B:AI,31,0)),0)</f>
        <v>65060354.759999998</v>
      </c>
      <c r="AF120" s="29">
        <f t="shared" si="157"/>
        <v>0.98678139902027973</v>
      </c>
      <c r="AG120" s="29">
        <f t="shared" si="165"/>
        <v>0</v>
      </c>
      <c r="AH120" s="29">
        <f t="shared" si="123"/>
        <v>0</v>
      </c>
      <c r="AI120" s="33">
        <v>65060354.759999998</v>
      </c>
      <c r="AJ120" s="29">
        <v>0.98678139902027973</v>
      </c>
      <c r="AL120" s="55">
        <f t="shared" si="122"/>
        <v>0</v>
      </c>
    </row>
    <row r="121" spans="1:38" ht="37.5" x14ac:dyDescent="0.3">
      <c r="A121" s="18" t="s">
        <v>325</v>
      </c>
      <c r="B121" s="10" t="str">
        <f>VLOOKUP(A121,saīsinājumi_LV_ENG!A:G,5,FALSE)</f>
        <v>Atbalsts ilgstošajiem bezdarbniekiem</v>
      </c>
      <c r="C121" s="447" t="s">
        <v>1543</v>
      </c>
      <c r="D121" s="38" t="s">
        <v>346</v>
      </c>
      <c r="E121" s="38" t="s">
        <v>351</v>
      </c>
      <c r="F121" s="96">
        <v>15114906</v>
      </c>
      <c r="G121" s="33">
        <v>0</v>
      </c>
      <c r="H121" s="33">
        <f t="shared" si="166"/>
        <v>15114906</v>
      </c>
      <c r="I121" s="33">
        <v>0</v>
      </c>
      <c r="J121" s="33">
        <f>IFERROR((VLOOKUP(A121,AtskaiteStatusuTabula!B:AI,10,0)),0)</f>
        <v>15109732.189999999</v>
      </c>
      <c r="K121" s="29">
        <f t="shared" si="149"/>
        <v>0.99965770147693933</v>
      </c>
      <c r="L121" s="29">
        <f t="shared" si="161"/>
        <v>0</v>
      </c>
      <c r="M121" s="29">
        <f t="shared" si="158"/>
        <v>0</v>
      </c>
      <c r="N121" s="33">
        <f>IFERROR((VLOOKUP(A121,AtskaiteStatusuTabula!B:AI,17,0)),0)</f>
        <v>1</v>
      </c>
      <c r="O121" s="33">
        <v>15109732.189999999</v>
      </c>
      <c r="P121" s="29">
        <v>0.99965770147693933</v>
      </c>
      <c r="Q121" s="33">
        <f>IFERROR((VLOOKUP(A121,AtskaiteStatusuTabula!B:AI,18,0)),0)</f>
        <v>15109732.189999999</v>
      </c>
      <c r="R121" s="29">
        <f t="shared" si="162"/>
        <v>0.99965770147693933</v>
      </c>
      <c r="S121" s="29">
        <f t="shared" si="163"/>
        <v>0</v>
      </c>
      <c r="T121" s="29">
        <f t="shared" si="154"/>
        <v>0</v>
      </c>
      <c r="U121" s="33">
        <f>IFERROR((VLOOKUP(A121,AtskaiteStatusuTabula!B:AI,23,0)),0)</f>
        <v>1</v>
      </c>
      <c r="V121" s="33">
        <v>15109732.189999999</v>
      </c>
      <c r="W121" s="29">
        <v>0.99965770147693933</v>
      </c>
      <c r="X121" s="33">
        <f>IFERROR((VLOOKUP(A121,AtskaiteStatusuTabula!B:AI,24,0)),0)</f>
        <v>15109732.189999999</v>
      </c>
      <c r="Y121" s="29">
        <f t="shared" si="164"/>
        <v>0.99965770147693933</v>
      </c>
      <c r="Z121" s="29">
        <f t="shared" si="121"/>
        <v>0</v>
      </c>
      <c r="AA121" s="29">
        <f t="shared" si="156"/>
        <v>0</v>
      </c>
      <c r="AB121" s="33">
        <f>IFERROR((VLOOKUP(A121,AtskaiteStatusuTabula!B:AI,30,0)),0)</f>
        <v>1</v>
      </c>
      <c r="AC121" s="33">
        <v>15109732.189999999</v>
      </c>
      <c r="AD121" s="29">
        <v>0.99965770147693933</v>
      </c>
      <c r="AE121" s="33">
        <f>IFERROR((VLOOKUP(A121,AtskaiteStatusuTabula!B:AI,31,0)),0)</f>
        <v>15065475.98</v>
      </c>
      <c r="AF121" s="29">
        <f t="shared" si="157"/>
        <v>0.99672971700915647</v>
      </c>
      <c r="AG121" s="29">
        <f t="shared" si="165"/>
        <v>0</v>
      </c>
      <c r="AH121" s="29">
        <f t="shared" si="123"/>
        <v>0</v>
      </c>
      <c r="AI121" s="33">
        <v>15065475.98</v>
      </c>
      <c r="AJ121" s="29">
        <v>0.99672971700915647</v>
      </c>
      <c r="AL121" s="55">
        <f t="shared" si="122"/>
        <v>0</v>
      </c>
    </row>
    <row r="122" spans="1:38" x14ac:dyDescent="0.3">
      <c r="A122" s="18" t="s">
        <v>326</v>
      </c>
      <c r="B122" s="10" t="str">
        <f>VLOOKUP(A122,saīsinājumi_LV_ENG!A:G,5,FALSE)</f>
        <v xml:space="preserve">Sociālā uzņēmējdarbība </v>
      </c>
      <c r="C122" s="447" t="s">
        <v>1542</v>
      </c>
      <c r="D122" s="38" t="s">
        <v>346</v>
      </c>
      <c r="E122" s="38" t="s">
        <v>351</v>
      </c>
      <c r="F122" s="33">
        <v>14521202</v>
      </c>
      <c r="G122" s="33">
        <v>0</v>
      </c>
      <c r="H122" s="33">
        <f>F122+G122</f>
        <v>14521202</v>
      </c>
      <c r="I122" s="33">
        <v>0</v>
      </c>
      <c r="J122" s="33">
        <f>IFERROR((VLOOKUP(A122,AtskaiteStatusuTabula!B:AI,10,0)),0)</f>
        <v>14048711.130000001</v>
      </c>
      <c r="K122" s="29">
        <f t="shared" si="149"/>
        <v>0.96746200004655269</v>
      </c>
      <c r="L122" s="29">
        <f t="shared" si="161"/>
        <v>0</v>
      </c>
      <c r="M122" s="29">
        <f t="shared" si="158"/>
        <v>0</v>
      </c>
      <c r="N122" s="33">
        <f>IFERROR((VLOOKUP(A122,AtskaiteStatusuTabula!B:AI,17,0)),0)</f>
        <v>1</v>
      </c>
      <c r="O122" s="33">
        <v>14048711.130000001</v>
      </c>
      <c r="P122" s="29">
        <v>0.96746200004655269</v>
      </c>
      <c r="Q122" s="33">
        <f>IFERROR((VLOOKUP(A122,AtskaiteStatusuTabula!B:AI,18,0)),0)</f>
        <v>14048711.130000001</v>
      </c>
      <c r="R122" s="29">
        <f t="shared" si="162"/>
        <v>0.96746200004655269</v>
      </c>
      <c r="S122" s="29">
        <f t="shared" si="163"/>
        <v>0</v>
      </c>
      <c r="T122" s="29">
        <f t="shared" si="154"/>
        <v>0</v>
      </c>
      <c r="U122" s="33">
        <f>IFERROR((VLOOKUP(A122,AtskaiteStatusuTabula!B:AI,23,0)),0)</f>
        <v>1</v>
      </c>
      <c r="V122" s="33">
        <v>14048711.130000001</v>
      </c>
      <c r="W122" s="29">
        <v>0.96746200004655269</v>
      </c>
      <c r="X122" s="33">
        <f>IFERROR((VLOOKUP(A122,AtskaiteStatusuTabula!B:AI,24,0)),0)</f>
        <v>14048711.130000001</v>
      </c>
      <c r="Y122" s="29">
        <f t="shared" si="164"/>
        <v>0.96746200004655269</v>
      </c>
      <c r="Z122" s="29">
        <f t="shared" si="121"/>
        <v>0</v>
      </c>
      <c r="AA122" s="29">
        <f t="shared" si="156"/>
        <v>0</v>
      </c>
      <c r="AB122" s="33">
        <f>IFERROR((VLOOKUP(A122,AtskaiteStatusuTabula!B:AI,30,0)),0)</f>
        <v>1</v>
      </c>
      <c r="AC122" s="33">
        <v>14048711.130000001</v>
      </c>
      <c r="AD122" s="29">
        <v>0.96746200004655269</v>
      </c>
      <c r="AE122" s="33">
        <f>IFERROR((VLOOKUP(A122,AtskaiteStatusuTabula!B:AI,31,0)),0)</f>
        <v>13312414.5</v>
      </c>
      <c r="AF122" s="29">
        <f t="shared" si="157"/>
        <v>0.91675706322382955</v>
      </c>
      <c r="AG122" s="29">
        <f t="shared" si="165"/>
        <v>0</v>
      </c>
      <c r="AH122" s="29">
        <f t="shared" si="123"/>
        <v>0</v>
      </c>
      <c r="AI122" s="33">
        <v>13312414.5</v>
      </c>
      <c r="AJ122" s="29">
        <v>0.91675706322382955</v>
      </c>
      <c r="AL122" s="55">
        <f t="shared" si="122"/>
        <v>0</v>
      </c>
    </row>
    <row r="123" spans="1:38" ht="37.5" x14ac:dyDescent="0.3">
      <c r="A123" s="18" t="s">
        <v>327</v>
      </c>
      <c r="B123" s="10" t="str">
        <f>VLOOKUP(A123,saīsinājumi_LV_ENG!A:G,5,FALSE)</f>
        <v>Bijušo ieslodzīto integrācija sabiedrībā</v>
      </c>
      <c r="C123" s="9"/>
      <c r="D123" s="38" t="s">
        <v>346</v>
      </c>
      <c r="E123" s="38" t="s">
        <v>353</v>
      </c>
      <c r="F123" s="476">
        <v>3813642</v>
      </c>
      <c r="G123" s="33">
        <v>0</v>
      </c>
      <c r="H123" s="33">
        <f t="shared" si="166"/>
        <v>3813642</v>
      </c>
      <c r="I123" s="33">
        <v>273537</v>
      </c>
      <c r="J123" s="33">
        <f>IFERROR((VLOOKUP(A123,AtskaiteStatusuTabula!B:AI,10,0)),0)</f>
        <v>3813625.6</v>
      </c>
      <c r="K123" s="29">
        <f t="shared" si="149"/>
        <v>0.99999569964878721</v>
      </c>
      <c r="L123" s="29">
        <f t="shared" si="161"/>
        <v>0</v>
      </c>
      <c r="M123" s="29">
        <f t="shared" si="158"/>
        <v>0</v>
      </c>
      <c r="N123" s="33">
        <f>IFERROR((VLOOKUP(A123,AtskaiteStatusuTabula!B:AI,17,0)),0)</f>
        <v>1</v>
      </c>
      <c r="O123" s="33">
        <v>3813625.6</v>
      </c>
      <c r="P123" s="29">
        <v>0.99999569964878721</v>
      </c>
      <c r="Q123" s="33">
        <f>IFERROR((VLOOKUP(A123,AtskaiteStatusuTabula!B:AI,18,0)),0)</f>
        <v>3813625.6</v>
      </c>
      <c r="R123" s="29">
        <f t="shared" si="162"/>
        <v>0.99999569964878721</v>
      </c>
      <c r="S123" s="29">
        <f t="shared" si="163"/>
        <v>0</v>
      </c>
      <c r="T123" s="29">
        <f t="shared" si="154"/>
        <v>0</v>
      </c>
      <c r="U123" s="33">
        <f>IFERROR((VLOOKUP(A123,AtskaiteStatusuTabula!B:AI,23,0)),0)</f>
        <v>1</v>
      </c>
      <c r="V123" s="33">
        <v>3813625.6</v>
      </c>
      <c r="W123" s="29">
        <v>0.99999569964878721</v>
      </c>
      <c r="X123" s="33">
        <f>IFERROR((VLOOKUP(A123,AtskaiteStatusuTabula!B:AI,24,0)),0)</f>
        <v>3813625.6</v>
      </c>
      <c r="Y123" s="29">
        <f t="shared" si="164"/>
        <v>0.99999569964878721</v>
      </c>
      <c r="Z123" s="29">
        <f t="shared" si="121"/>
        <v>0</v>
      </c>
      <c r="AA123" s="29">
        <f t="shared" si="156"/>
        <v>0</v>
      </c>
      <c r="AB123" s="33">
        <f>IFERROR((VLOOKUP(A123,AtskaiteStatusuTabula!B:AI,30,0)),0)</f>
        <v>1</v>
      </c>
      <c r="AC123" s="33">
        <v>3813625.6</v>
      </c>
      <c r="AD123" s="29">
        <v>0.99999569964878721</v>
      </c>
      <c r="AE123" s="33">
        <f>IFERROR((VLOOKUP(A123,AtskaiteStatusuTabula!B:AI,31,0)),0)</f>
        <v>3813625.6</v>
      </c>
      <c r="AF123" s="29">
        <f t="shared" si="157"/>
        <v>0.99999569964878721</v>
      </c>
      <c r="AG123" s="29">
        <f t="shared" si="165"/>
        <v>0</v>
      </c>
      <c r="AH123" s="29">
        <f t="shared" si="123"/>
        <v>0</v>
      </c>
      <c r="AI123" s="33">
        <v>3813625.6</v>
      </c>
      <c r="AJ123" s="29">
        <v>0.99999569964878721</v>
      </c>
      <c r="AL123" s="55">
        <f t="shared" si="122"/>
        <v>0</v>
      </c>
    </row>
    <row r="124" spans="1:38" ht="56.25" x14ac:dyDescent="0.3">
      <c r="A124" s="18" t="s">
        <v>328</v>
      </c>
      <c r="B124" s="10" t="str">
        <f>VLOOKUP(A124,saīsinājumi_LV_ENG!A:G,5,FALSE)</f>
        <v>Resocializācijas sistēmas efektivitātes paaugstināšana</v>
      </c>
      <c r="C124" s="9"/>
      <c r="D124" s="38" t="s">
        <v>346</v>
      </c>
      <c r="E124" s="38" t="s">
        <v>353</v>
      </c>
      <c r="F124" s="33">
        <v>4446397</v>
      </c>
      <c r="G124" s="33">
        <v>0</v>
      </c>
      <c r="H124" s="33">
        <f t="shared" si="166"/>
        <v>4446397</v>
      </c>
      <c r="I124" s="33">
        <v>223729</v>
      </c>
      <c r="J124" s="33">
        <f>IFERROR((VLOOKUP(A124,AtskaiteStatusuTabula!B:AI,10,0)),0)</f>
        <v>4446397</v>
      </c>
      <c r="K124" s="29">
        <f t="shared" si="149"/>
        <v>1</v>
      </c>
      <c r="L124" s="29">
        <f t="shared" si="161"/>
        <v>0</v>
      </c>
      <c r="M124" s="29">
        <f t="shared" si="158"/>
        <v>0</v>
      </c>
      <c r="N124" s="33">
        <f>IFERROR((VLOOKUP(A124,AtskaiteStatusuTabula!B:AI,17,0)),0)</f>
        <v>1</v>
      </c>
      <c r="O124" s="33">
        <v>4446397</v>
      </c>
      <c r="P124" s="29">
        <v>1</v>
      </c>
      <c r="Q124" s="33">
        <f>IFERROR((VLOOKUP(A124,AtskaiteStatusuTabula!B:AI,18,0)),0)</f>
        <v>4446397</v>
      </c>
      <c r="R124" s="29">
        <f t="shared" si="162"/>
        <v>1</v>
      </c>
      <c r="S124" s="29">
        <f t="shared" si="163"/>
        <v>0</v>
      </c>
      <c r="T124" s="29">
        <f t="shared" si="154"/>
        <v>0</v>
      </c>
      <c r="U124" s="33">
        <f>IFERROR((VLOOKUP(A124,AtskaiteStatusuTabula!B:AI,23,0)),0)</f>
        <v>1</v>
      </c>
      <c r="V124" s="33">
        <v>4446397</v>
      </c>
      <c r="W124" s="29">
        <v>1</v>
      </c>
      <c r="X124" s="33">
        <f>IFERROR((VLOOKUP(A124,AtskaiteStatusuTabula!B:AI,24,0)),0)</f>
        <v>4446397</v>
      </c>
      <c r="Y124" s="29">
        <f t="shared" si="164"/>
        <v>1</v>
      </c>
      <c r="Z124" s="29">
        <f t="shared" si="121"/>
        <v>0</v>
      </c>
      <c r="AA124" s="29">
        <f t="shared" si="156"/>
        <v>0</v>
      </c>
      <c r="AB124" s="33">
        <f>IFERROR((VLOOKUP(A124,AtskaiteStatusuTabula!B:AI,30,0)),0)</f>
        <v>1</v>
      </c>
      <c r="AC124" s="33">
        <v>4446397</v>
      </c>
      <c r="AD124" s="29">
        <v>1</v>
      </c>
      <c r="AE124" s="33">
        <f>IFERROR((VLOOKUP(A124,AtskaiteStatusuTabula!B:AI,31,0)),0)</f>
        <v>4446397</v>
      </c>
      <c r="AF124" s="29">
        <f t="shared" si="157"/>
        <v>1</v>
      </c>
      <c r="AG124" s="29">
        <f t="shared" si="165"/>
        <v>0</v>
      </c>
      <c r="AH124" s="29">
        <f t="shared" si="123"/>
        <v>0</v>
      </c>
      <c r="AI124" s="33">
        <v>4446397</v>
      </c>
      <c r="AJ124" s="29">
        <v>1</v>
      </c>
      <c r="AL124" s="55">
        <f t="shared" si="122"/>
        <v>0</v>
      </c>
    </row>
    <row r="125" spans="1:38" x14ac:dyDescent="0.3">
      <c r="A125" s="18" t="s">
        <v>329</v>
      </c>
      <c r="B125" s="10" t="str">
        <f>VLOOKUP(A125,saīsinājumi_LV_ENG!A:G,5,FALSE)</f>
        <v>Profesionālā rehabilitācija</v>
      </c>
      <c r="D125" s="38" t="s">
        <v>346</v>
      </c>
      <c r="E125" s="38" t="s">
        <v>351</v>
      </c>
      <c r="F125" s="33">
        <v>1486320</v>
      </c>
      <c r="G125" s="33">
        <v>0</v>
      </c>
      <c r="H125" s="33">
        <f t="shared" si="166"/>
        <v>1486320</v>
      </c>
      <c r="I125" s="33">
        <v>0</v>
      </c>
      <c r="J125" s="33">
        <f>IFERROR((VLOOKUP(A125,AtskaiteStatusuTabula!B:AI,10,0)),0)</f>
        <v>1486319.49</v>
      </c>
      <c r="K125" s="29">
        <f t="shared" si="149"/>
        <v>0.99999965687066039</v>
      </c>
      <c r="L125" s="29">
        <f t="shared" si="161"/>
        <v>0</v>
      </c>
      <c r="M125" s="29">
        <f t="shared" si="158"/>
        <v>0</v>
      </c>
      <c r="N125" s="33">
        <f>IFERROR((VLOOKUP(A125,AtskaiteStatusuTabula!B:AI,17,0)),0)</f>
        <v>1</v>
      </c>
      <c r="O125" s="33">
        <v>1486319.49</v>
      </c>
      <c r="P125" s="29">
        <v>0.99999965687066039</v>
      </c>
      <c r="Q125" s="33">
        <f>IFERROR((VLOOKUP(A125,AtskaiteStatusuTabula!B:AI,18,0)),0)</f>
        <v>1486319.49</v>
      </c>
      <c r="R125" s="29">
        <f t="shared" si="162"/>
        <v>0.99999965687066039</v>
      </c>
      <c r="S125" s="29">
        <f t="shared" si="163"/>
        <v>0</v>
      </c>
      <c r="T125" s="29">
        <f t="shared" si="154"/>
        <v>0</v>
      </c>
      <c r="U125" s="33">
        <f>IFERROR((VLOOKUP(A125,AtskaiteStatusuTabula!B:AI,23,0)),0)</f>
        <v>1</v>
      </c>
      <c r="V125" s="33">
        <v>1486319.49</v>
      </c>
      <c r="W125" s="29">
        <v>0.99999965687066039</v>
      </c>
      <c r="X125" s="33">
        <f>IFERROR((VLOOKUP(A125,AtskaiteStatusuTabula!B:AI,24,0)),0)</f>
        <v>1486319.49</v>
      </c>
      <c r="Y125" s="29">
        <f t="shared" si="164"/>
        <v>0.99999965687066039</v>
      </c>
      <c r="Z125" s="29">
        <f t="shared" si="121"/>
        <v>0</v>
      </c>
      <c r="AA125" s="29">
        <f t="shared" si="156"/>
        <v>0</v>
      </c>
      <c r="AB125" s="33">
        <f>IFERROR((VLOOKUP(A125,AtskaiteStatusuTabula!B:AI,30,0)),0)</f>
        <v>1</v>
      </c>
      <c r="AC125" s="33">
        <v>1486319.49</v>
      </c>
      <c r="AD125" s="29">
        <v>0.99999965687066039</v>
      </c>
      <c r="AE125" s="33">
        <f>IFERROR((VLOOKUP(A125,AtskaiteStatusuTabula!B:AI,31,0)),0)</f>
        <v>1486319.49</v>
      </c>
      <c r="AF125" s="29">
        <f t="shared" si="157"/>
        <v>0.99999965687066039</v>
      </c>
      <c r="AG125" s="29">
        <f t="shared" si="165"/>
        <v>0</v>
      </c>
      <c r="AH125" s="29">
        <f t="shared" si="123"/>
        <v>0</v>
      </c>
      <c r="AI125" s="33">
        <v>1486319.49</v>
      </c>
      <c r="AJ125" s="29">
        <v>0.99999965687066039</v>
      </c>
      <c r="AL125" s="55">
        <f t="shared" si="122"/>
        <v>0</v>
      </c>
    </row>
    <row r="126" spans="1:38" ht="75" x14ac:dyDescent="0.3">
      <c r="A126" s="18" t="s">
        <v>330</v>
      </c>
      <c r="B126" s="10" t="str">
        <f>VLOOKUP(A126,saīsinājumi_LV_ENG!A:G,5,FALSE)</f>
        <v>Funkcionēšanas novērtēšana un tehnisko palīglīdzekļu pieejamības izpēte</v>
      </c>
      <c r="C126" s="477"/>
      <c r="D126" s="38" t="s">
        <v>346</v>
      </c>
      <c r="E126" s="38" t="s">
        <v>351</v>
      </c>
      <c r="F126" s="33">
        <v>974708</v>
      </c>
      <c r="G126" s="33">
        <v>0</v>
      </c>
      <c r="H126" s="33">
        <f>F126+G126</f>
        <v>974708</v>
      </c>
      <c r="I126" s="33">
        <v>0</v>
      </c>
      <c r="J126" s="33">
        <f>IFERROR((VLOOKUP(A126,AtskaiteStatusuTabula!B:AI,10,0)),0)</f>
        <v>974635.41</v>
      </c>
      <c r="K126" s="29">
        <f t="shared" si="149"/>
        <v>0.99992552641406451</v>
      </c>
      <c r="L126" s="29">
        <f t="shared" si="161"/>
        <v>0</v>
      </c>
      <c r="M126" s="29">
        <f t="shared" si="158"/>
        <v>0</v>
      </c>
      <c r="N126" s="33">
        <f>IFERROR((VLOOKUP(A126,AtskaiteStatusuTabula!B:AI,17,0)),0)</f>
        <v>1</v>
      </c>
      <c r="O126" s="33">
        <v>974635.41</v>
      </c>
      <c r="P126" s="29">
        <v>0.99992552641406451</v>
      </c>
      <c r="Q126" s="33">
        <f>IFERROR((VLOOKUP(A126,AtskaiteStatusuTabula!B:AI,18,0)),0)</f>
        <v>974635.41</v>
      </c>
      <c r="R126" s="29">
        <f t="shared" si="162"/>
        <v>0.99992552641406451</v>
      </c>
      <c r="S126" s="29">
        <f t="shared" si="163"/>
        <v>0</v>
      </c>
      <c r="T126" s="29">
        <f t="shared" si="154"/>
        <v>0</v>
      </c>
      <c r="U126" s="33">
        <f>IFERROR((VLOOKUP(A126,AtskaiteStatusuTabula!B:AI,23,0)),0)</f>
        <v>1</v>
      </c>
      <c r="V126" s="33">
        <v>974635.41</v>
      </c>
      <c r="W126" s="29">
        <v>0.99992552641406451</v>
      </c>
      <c r="X126" s="33">
        <f>IFERROR((VLOOKUP(A126,AtskaiteStatusuTabula!B:AI,24,0)),0)</f>
        <v>974635.41</v>
      </c>
      <c r="Y126" s="29">
        <f t="shared" si="164"/>
        <v>0.99992552641406451</v>
      </c>
      <c r="Z126" s="29">
        <f t="shared" si="121"/>
        <v>0</v>
      </c>
      <c r="AA126" s="29">
        <f t="shared" si="156"/>
        <v>0</v>
      </c>
      <c r="AB126" s="33">
        <f>IFERROR((VLOOKUP(A126,AtskaiteStatusuTabula!B:AI,30,0)),0)</f>
        <v>1</v>
      </c>
      <c r="AC126" s="33">
        <v>974635.41</v>
      </c>
      <c r="AD126" s="29">
        <v>0.99992552641406451</v>
      </c>
      <c r="AE126" s="33">
        <f>IFERROR((VLOOKUP(A126,AtskaiteStatusuTabula!B:AI,31,0)),0)</f>
        <v>974635.41</v>
      </c>
      <c r="AF126" s="29">
        <f t="shared" si="157"/>
        <v>0.99992552641406451</v>
      </c>
      <c r="AG126" s="29">
        <f t="shared" si="165"/>
        <v>0</v>
      </c>
      <c r="AH126" s="29">
        <f t="shared" si="123"/>
        <v>0</v>
      </c>
      <c r="AI126" s="33">
        <v>974635.41</v>
      </c>
      <c r="AJ126" s="29">
        <v>0.99992552641406451</v>
      </c>
      <c r="AL126" s="55">
        <f t="shared" si="122"/>
        <v>0</v>
      </c>
    </row>
    <row r="127" spans="1:38" ht="56.25" x14ac:dyDescent="0.3">
      <c r="A127" s="18" t="s">
        <v>331</v>
      </c>
      <c r="B127" s="10" t="str">
        <f>VLOOKUP(A127,saīsinājumi_LV_ENG!A:G,5,FALSE)</f>
        <v>Bērnu invaliditātes noteikšanas sistēmas pilnveide</v>
      </c>
      <c r="D127" s="38" t="s">
        <v>346</v>
      </c>
      <c r="E127" s="38" t="s">
        <v>351</v>
      </c>
      <c r="F127" s="33">
        <v>259298</v>
      </c>
      <c r="G127" s="33">
        <v>0</v>
      </c>
      <c r="H127" s="33">
        <f t="shared" si="166"/>
        <v>259298</v>
      </c>
      <c r="I127" s="33">
        <v>0</v>
      </c>
      <c r="J127" s="33">
        <f>IFERROR((VLOOKUP(A127,AtskaiteStatusuTabula!B:AI,10,0)),0)</f>
        <v>259297.52</v>
      </c>
      <c r="K127" s="29">
        <f t="shared" si="149"/>
        <v>0.9999981488480435</v>
      </c>
      <c r="L127" s="29">
        <f t="shared" si="161"/>
        <v>0</v>
      </c>
      <c r="M127" s="29">
        <f t="shared" si="158"/>
        <v>0</v>
      </c>
      <c r="N127" s="33">
        <f>IFERROR((VLOOKUP(A127,AtskaiteStatusuTabula!B:AI,17,0)),0)</f>
        <v>1</v>
      </c>
      <c r="O127" s="33">
        <v>259297.52</v>
      </c>
      <c r="P127" s="29">
        <v>0.9999981488480435</v>
      </c>
      <c r="Q127" s="33">
        <f>IFERROR((VLOOKUP(A127,AtskaiteStatusuTabula!B:AI,18,0)),0)</f>
        <v>259297.52</v>
      </c>
      <c r="R127" s="29">
        <f t="shared" si="162"/>
        <v>0.9999981488480435</v>
      </c>
      <c r="S127" s="29">
        <f t="shared" si="163"/>
        <v>0</v>
      </c>
      <c r="T127" s="29">
        <f t="shared" si="154"/>
        <v>0</v>
      </c>
      <c r="U127" s="33">
        <f>IFERROR((VLOOKUP(A127,AtskaiteStatusuTabula!B:AI,23,0)),0)</f>
        <v>1</v>
      </c>
      <c r="V127" s="33">
        <v>259297.52</v>
      </c>
      <c r="W127" s="29">
        <v>0.9999981488480435</v>
      </c>
      <c r="X127" s="33">
        <f>IFERROR((VLOOKUP(A127,AtskaiteStatusuTabula!B:AI,24,0)),0)</f>
        <v>259297.52</v>
      </c>
      <c r="Y127" s="29">
        <f t="shared" si="164"/>
        <v>0.9999981488480435</v>
      </c>
      <c r="Z127" s="29">
        <f t="shared" si="121"/>
        <v>0</v>
      </c>
      <c r="AA127" s="29">
        <f t="shared" si="156"/>
        <v>0</v>
      </c>
      <c r="AB127" s="33">
        <f>IFERROR((VLOOKUP(A127,AtskaiteStatusuTabula!B:AI,30,0)),0)</f>
        <v>1</v>
      </c>
      <c r="AC127" s="33">
        <v>259297.52</v>
      </c>
      <c r="AD127" s="29">
        <v>0.9999981488480435</v>
      </c>
      <c r="AE127" s="33">
        <f>IFERROR((VLOOKUP(A127,AtskaiteStatusuTabula!B:AI,31,0)),0)</f>
        <v>259297.52</v>
      </c>
      <c r="AF127" s="29">
        <f t="shared" si="157"/>
        <v>0.9999981488480435</v>
      </c>
      <c r="AG127" s="29">
        <f t="shared" si="165"/>
        <v>0</v>
      </c>
      <c r="AH127" s="29">
        <f t="shared" si="123"/>
        <v>0</v>
      </c>
      <c r="AI127" s="33">
        <v>259297.52</v>
      </c>
      <c r="AJ127" s="29">
        <v>0.9999981488480435</v>
      </c>
      <c r="AL127" s="55">
        <f t="shared" si="122"/>
        <v>0</v>
      </c>
    </row>
    <row r="128" spans="1:38" x14ac:dyDescent="0.3">
      <c r="A128" s="18" t="s">
        <v>332</v>
      </c>
      <c r="B128" s="10" t="str">
        <f>VLOOKUP(A128,saīsinājumi_LV_ENG!A:G,5,FALSE)</f>
        <v>Diskriminācijas novēršana</v>
      </c>
      <c r="C128" s="447" t="s">
        <v>1582</v>
      </c>
      <c r="D128" s="38" t="s">
        <v>346</v>
      </c>
      <c r="E128" s="38" t="s">
        <v>351</v>
      </c>
      <c r="F128" s="96">
        <v>6770468</v>
      </c>
      <c r="G128" s="33">
        <v>0</v>
      </c>
      <c r="H128" s="33">
        <f>F128+G128</f>
        <v>6770468</v>
      </c>
      <c r="I128" s="33">
        <v>0</v>
      </c>
      <c r="J128" s="33">
        <f>IFERROR((VLOOKUP(A128,AtskaiteStatusuTabula!B:AI,10,0)),0)</f>
        <v>6509427.5</v>
      </c>
      <c r="K128" s="29">
        <f t="shared" si="149"/>
        <v>0.9614442458039828</v>
      </c>
      <c r="L128" s="29">
        <f t="shared" si="161"/>
        <v>0</v>
      </c>
      <c r="M128" s="29">
        <f t="shared" si="158"/>
        <v>0</v>
      </c>
      <c r="N128" s="33">
        <f>IFERROR((VLOOKUP(A128,AtskaiteStatusuTabula!B:AI,17,0)),0)</f>
        <v>1</v>
      </c>
      <c r="O128" s="33">
        <v>6509427.5</v>
      </c>
      <c r="P128" s="29">
        <v>0.9614442458039828</v>
      </c>
      <c r="Q128" s="33">
        <f>IFERROR((VLOOKUP(A128,AtskaiteStatusuTabula!B:AI,18,0)),0)</f>
        <v>6509427.5</v>
      </c>
      <c r="R128" s="29">
        <f t="shared" si="162"/>
        <v>0.9614442458039828</v>
      </c>
      <c r="S128" s="29">
        <f t="shared" si="163"/>
        <v>0</v>
      </c>
      <c r="T128" s="29">
        <f t="shared" si="154"/>
        <v>0</v>
      </c>
      <c r="U128" s="33">
        <f>IFERROR((VLOOKUP(A128,AtskaiteStatusuTabula!B:AI,23,0)),0)</f>
        <v>1</v>
      </c>
      <c r="V128" s="33">
        <v>6509427.5</v>
      </c>
      <c r="W128" s="29">
        <v>0.9614442458039828</v>
      </c>
      <c r="X128" s="33">
        <f>IFERROR((VLOOKUP(A128,AtskaiteStatusuTabula!B:AI,24,0)),0)</f>
        <v>6509427.5</v>
      </c>
      <c r="Y128" s="29">
        <f t="shared" si="164"/>
        <v>0.9614442458039828</v>
      </c>
      <c r="Z128" s="29">
        <f t="shared" si="121"/>
        <v>0</v>
      </c>
      <c r="AA128" s="29">
        <f t="shared" si="156"/>
        <v>0</v>
      </c>
      <c r="AB128" s="33">
        <f>IFERROR((VLOOKUP(A128,AtskaiteStatusuTabula!B:AI,30,0)),0)</f>
        <v>1</v>
      </c>
      <c r="AC128" s="33">
        <v>6509427.5</v>
      </c>
      <c r="AD128" s="29">
        <v>0.9614442458039828</v>
      </c>
      <c r="AE128" s="33">
        <f>IFERROR((VLOOKUP(A128,AtskaiteStatusuTabula!B:AI,31,0)),0)</f>
        <v>6509427.5</v>
      </c>
      <c r="AF128" s="29">
        <f t="shared" si="157"/>
        <v>0.9614442458039828</v>
      </c>
      <c r="AG128" s="29">
        <f t="shared" si="165"/>
        <v>0</v>
      </c>
      <c r="AH128" s="29">
        <f t="shared" si="123"/>
        <v>0</v>
      </c>
      <c r="AI128" s="33">
        <v>6509427.5</v>
      </c>
      <c r="AJ128" s="29">
        <v>0.9614442458039828</v>
      </c>
      <c r="AL128" s="55">
        <f t="shared" si="122"/>
        <v>0</v>
      </c>
    </row>
    <row r="129" spans="1:38" ht="37.5" x14ac:dyDescent="0.3">
      <c r="A129" s="18" t="s">
        <v>333</v>
      </c>
      <c r="B129" s="10" t="str">
        <f>VLOOKUP(A129,saīsinājumi_LV_ENG!A:G,5,FALSE)</f>
        <v>Profesionāla sociālā darba attīstība</v>
      </c>
      <c r="C129" s="447" t="s">
        <v>1542</v>
      </c>
      <c r="D129" s="38" t="s">
        <v>346</v>
      </c>
      <c r="E129" s="38" t="s">
        <v>351</v>
      </c>
      <c r="F129" s="33">
        <v>8955085</v>
      </c>
      <c r="G129" s="33">
        <v>0</v>
      </c>
      <c r="H129" s="33">
        <f t="shared" si="166"/>
        <v>8955085</v>
      </c>
      <c r="I129" s="33">
        <v>0</v>
      </c>
      <c r="J129" s="33">
        <f>IFERROR((VLOOKUP(A129,AtskaiteStatusuTabula!B:AI,10,0)),0)</f>
        <v>8826837.9700000007</v>
      </c>
      <c r="K129" s="29">
        <f t="shared" si="149"/>
        <v>0.98567885955298029</v>
      </c>
      <c r="L129" s="29">
        <f t="shared" si="161"/>
        <v>0</v>
      </c>
      <c r="M129" s="29">
        <f t="shared" si="158"/>
        <v>0</v>
      </c>
      <c r="N129" s="33">
        <f>IFERROR((VLOOKUP(A129,AtskaiteStatusuTabula!B:AI,17,0)),0)</f>
        <v>1</v>
      </c>
      <c r="O129" s="33">
        <v>8826837.9700000007</v>
      </c>
      <c r="P129" s="29">
        <v>0.98567885955298029</v>
      </c>
      <c r="Q129" s="33">
        <f>IFERROR((VLOOKUP(A129,AtskaiteStatusuTabula!B:AI,18,0)),0)</f>
        <v>8826837.9700000007</v>
      </c>
      <c r="R129" s="29">
        <f t="shared" si="162"/>
        <v>0.98567885955298029</v>
      </c>
      <c r="S129" s="29">
        <f t="shared" si="163"/>
        <v>0</v>
      </c>
      <c r="T129" s="29">
        <f t="shared" si="154"/>
        <v>0</v>
      </c>
      <c r="U129" s="33">
        <f>IFERROR((VLOOKUP(A129,AtskaiteStatusuTabula!B:AI,23,0)),0)</f>
        <v>1</v>
      </c>
      <c r="V129" s="33">
        <v>8826837.9700000007</v>
      </c>
      <c r="W129" s="29">
        <v>0.98567885955298029</v>
      </c>
      <c r="X129" s="33">
        <f>IFERROR((VLOOKUP(A129,AtskaiteStatusuTabula!B:AI,24,0)),0)</f>
        <v>8826837.9700000007</v>
      </c>
      <c r="Y129" s="29">
        <f t="shared" si="164"/>
        <v>0.98567885955298029</v>
      </c>
      <c r="Z129" s="29">
        <f t="shared" si="121"/>
        <v>0</v>
      </c>
      <c r="AA129" s="29">
        <f t="shared" si="156"/>
        <v>0</v>
      </c>
      <c r="AB129" s="33">
        <f>IFERROR((VLOOKUP(A129,AtskaiteStatusuTabula!B:AI,30,0)),0)</f>
        <v>1</v>
      </c>
      <c r="AC129" s="33">
        <v>8826837.9700000007</v>
      </c>
      <c r="AD129" s="29">
        <v>0.98567885955298029</v>
      </c>
      <c r="AE129" s="33">
        <f>IFERROR((VLOOKUP(A129,AtskaiteStatusuTabula!B:AI,31,0)),0)</f>
        <v>8826837.9700000007</v>
      </c>
      <c r="AF129" s="29">
        <f t="shared" si="157"/>
        <v>0.98567885955298029</v>
      </c>
      <c r="AG129" s="29">
        <f t="shared" si="165"/>
        <v>0</v>
      </c>
      <c r="AH129" s="29">
        <f t="shared" si="123"/>
        <v>0</v>
      </c>
      <c r="AI129" s="33">
        <v>8826837.9700000007</v>
      </c>
      <c r="AJ129" s="29">
        <v>0.98567885955298029</v>
      </c>
      <c r="AL129" s="55">
        <f t="shared" si="122"/>
        <v>0</v>
      </c>
    </row>
    <row r="130" spans="1:38" ht="37.5" x14ac:dyDescent="0.3">
      <c r="A130" s="18" t="s">
        <v>334</v>
      </c>
      <c r="B130" s="10" t="str">
        <f>VLOOKUP(A130,saīsinājumi_LV_ENG!A:G,5,FALSE)</f>
        <v>Iekļaujoša darba tirgus un nabadzības risku pētījumi</v>
      </c>
      <c r="C130" s="447" t="s">
        <v>1542</v>
      </c>
      <c r="D130" s="38" t="s">
        <v>346</v>
      </c>
      <c r="E130" s="38" t="s">
        <v>351</v>
      </c>
      <c r="F130" s="33">
        <v>928452</v>
      </c>
      <c r="G130" s="33">
        <v>0</v>
      </c>
      <c r="H130" s="33">
        <f t="shared" si="166"/>
        <v>928452</v>
      </c>
      <c r="I130" s="33">
        <v>0</v>
      </c>
      <c r="J130" s="33">
        <f>IFERROR((VLOOKUP(A130,AtskaiteStatusuTabula!B:AI,10,0)),0)</f>
        <v>928452</v>
      </c>
      <c r="K130" s="29">
        <f t="shared" si="149"/>
        <v>1</v>
      </c>
      <c r="L130" s="29">
        <f t="shared" si="161"/>
        <v>0</v>
      </c>
      <c r="M130" s="29">
        <f t="shared" si="158"/>
        <v>0</v>
      </c>
      <c r="N130" s="33">
        <f>IFERROR((VLOOKUP(A130,AtskaiteStatusuTabula!B:AI,17,0)),0)</f>
        <v>1</v>
      </c>
      <c r="O130" s="33">
        <v>928452</v>
      </c>
      <c r="P130" s="29">
        <v>1</v>
      </c>
      <c r="Q130" s="33">
        <f>IFERROR((VLOOKUP(A130,AtskaiteStatusuTabula!B:AI,18,0)),0)</f>
        <v>928452</v>
      </c>
      <c r="R130" s="29">
        <f t="shared" si="162"/>
        <v>1</v>
      </c>
      <c r="S130" s="29">
        <f t="shared" si="163"/>
        <v>0</v>
      </c>
      <c r="T130" s="29">
        <f t="shared" si="154"/>
        <v>0</v>
      </c>
      <c r="U130" s="33">
        <f>IFERROR((VLOOKUP(A130,AtskaiteStatusuTabula!B:AI,23,0)),0)</f>
        <v>1</v>
      </c>
      <c r="V130" s="33">
        <v>928452</v>
      </c>
      <c r="W130" s="29">
        <v>1</v>
      </c>
      <c r="X130" s="33">
        <f>IFERROR((VLOOKUP(A130,AtskaiteStatusuTabula!B:AI,24,0)),0)</f>
        <v>928452</v>
      </c>
      <c r="Y130" s="29">
        <f t="shared" si="164"/>
        <v>1</v>
      </c>
      <c r="Z130" s="29">
        <f t="shared" si="121"/>
        <v>0</v>
      </c>
      <c r="AA130" s="29">
        <f t="shared" si="156"/>
        <v>0</v>
      </c>
      <c r="AB130" s="33">
        <f>IFERROR((VLOOKUP(A130,AtskaiteStatusuTabula!B:AI,30,0)),0)</f>
        <v>1</v>
      </c>
      <c r="AC130" s="33">
        <v>928452</v>
      </c>
      <c r="AD130" s="29">
        <v>1</v>
      </c>
      <c r="AE130" s="33">
        <f>IFERROR((VLOOKUP(A130,AtskaiteStatusuTabula!B:AI,31,0)),0)</f>
        <v>928452</v>
      </c>
      <c r="AF130" s="29">
        <f t="shared" si="157"/>
        <v>1</v>
      </c>
      <c r="AG130" s="29">
        <f t="shared" si="165"/>
        <v>0</v>
      </c>
      <c r="AH130" s="29">
        <f t="shared" si="123"/>
        <v>0</v>
      </c>
      <c r="AI130" s="33">
        <v>928452</v>
      </c>
      <c r="AJ130" s="29">
        <v>1</v>
      </c>
      <c r="AL130" s="55">
        <f t="shared" si="122"/>
        <v>0</v>
      </c>
    </row>
    <row r="131" spans="1:38" ht="75" x14ac:dyDescent="0.3">
      <c r="A131" s="18" t="s">
        <v>335</v>
      </c>
      <c r="B131" s="10" t="str">
        <f>VLOOKUP(A131,saīsinājumi_LV_ENG!A:G,5,FALSE)</f>
        <v>Atbalsts speciālistiem darbam ar bērniem ar uzvedības un saskarsmes traucējumiem</v>
      </c>
      <c r="C131" s="475" t="s">
        <v>1573</v>
      </c>
      <c r="D131" s="38" t="s">
        <v>346</v>
      </c>
      <c r="E131" s="38" t="s">
        <v>351</v>
      </c>
      <c r="F131" s="33">
        <v>3326389</v>
      </c>
      <c r="G131" s="33">
        <v>0</v>
      </c>
      <c r="H131" s="33">
        <f t="shared" si="166"/>
        <v>3326389</v>
      </c>
      <c r="I131" s="33">
        <v>0</v>
      </c>
      <c r="J131" s="33">
        <f>IFERROR((VLOOKUP(A131,AtskaiteStatusuTabula!B:AI,10,0)),0)</f>
        <v>3316111.5</v>
      </c>
      <c r="K131" s="29">
        <f t="shared" si="149"/>
        <v>0.99691031325560542</v>
      </c>
      <c r="L131" s="29">
        <f t="shared" si="161"/>
        <v>0</v>
      </c>
      <c r="M131" s="29">
        <f t="shared" si="158"/>
        <v>0</v>
      </c>
      <c r="N131" s="33">
        <f>IFERROR((VLOOKUP(A131,AtskaiteStatusuTabula!B:AI,17,0)),0)</f>
        <v>1</v>
      </c>
      <c r="O131" s="33">
        <v>3316111.5</v>
      </c>
      <c r="P131" s="29">
        <v>0.99691031325560542</v>
      </c>
      <c r="Q131" s="33">
        <f>IFERROR((VLOOKUP(A131,AtskaiteStatusuTabula!B:AI,18,0)),0)</f>
        <v>3316111.5</v>
      </c>
      <c r="R131" s="29">
        <f t="shared" si="162"/>
        <v>0.99691031325560542</v>
      </c>
      <c r="S131" s="29">
        <f t="shared" si="163"/>
        <v>0</v>
      </c>
      <c r="T131" s="29">
        <f t="shared" si="154"/>
        <v>0</v>
      </c>
      <c r="U131" s="33">
        <f>IFERROR((VLOOKUP(A131,AtskaiteStatusuTabula!B:AI,23,0)),0)</f>
        <v>1</v>
      </c>
      <c r="V131" s="33">
        <v>3316111.5</v>
      </c>
      <c r="W131" s="29">
        <v>0.99691031325560542</v>
      </c>
      <c r="X131" s="33">
        <f>IFERROR((VLOOKUP(A131,AtskaiteStatusuTabula!B:AI,24,0)),0)</f>
        <v>3316111.5</v>
      </c>
      <c r="Y131" s="29">
        <f t="shared" si="164"/>
        <v>0.99691031325560542</v>
      </c>
      <c r="Z131" s="29">
        <f t="shared" si="121"/>
        <v>0</v>
      </c>
      <c r="AA131" s="29">
        <f t="shared" si="156"/>
        <v>0</v>
      </c>
      <c r="AB131" s="33">
        <f>IFERROR((VLOOKUP(A131,AtskaiteStatusuTabula!B:AI,30,0)),0)</f>
        <v>1</v>
      </c>
      <c r="AC131" s="33">
        <v>3316111.5</v>
      </c>
      <c r="AD131" s="29">
        <v>0.99691031325560542</v>
      </c>
      <c r="AE131" s="33">
        <f>IFERROR((VLOOKUP(A131,AtskaiteStatusuTabula!B:AI,31,0)),0)</f>
        <v>3316111.51</v>
      </c>
      <c r="AF131" s="29">
        <f t="shared" si="157"/>
        <v>0.99691031626186832</v>
      </c>
      <c r="AG131" s="29">
        <f t="shared" si="165"/>
        <v>0</v>
      </c>
      <c r="AH131" s="29">
        <f t="shared" si="123"/>
        <v>0</v>
      </c>
      <c r="AI131" s="33">
        <v>3316111.51</v>
      </c>
      <c r="AJ131" s="29">
        <v>0.99691031626186832</v>
      </c>
      <c r="AL131" s="55">
        <f t="shared" si="122"/>
        <v>0</v>
      </c>
    </row>
    <row r="132" spans="1:38" x14ac:dyDescent="0.3">
      <c r="A132" s="18" t="s">
        <v>336</v>
      </c>
      <c r="B132" s="10" t="str">
        <f>VLOOKUP(A132,saīsinājumi_LV_ENG!A:G,5,FALSE)</f>
        <v>Deinstitucionalizācija</v>
      </c>
      <c r="C132" s="447"/>
      <c r="D132" s="38" t="s">
        <v>346</v>
      </c>
      <c r="E132" s="38" t="s">
        <v>351</v>
      </c>
      <c r="F132" s="33">
        <v>41907354</v>
      </c>
      <c r="G132" s="33">
        <v>0</v>
      </c>
      <c r="H132" s="33">
        <f>F132+G132</f>
        <v>41907354</v>
      </c>
      <c r="I132" s="33">
        <v>3167387</v>
      </c>
      <c r="J132" s="33">
        <f>IFERROR((VLOOKUP(A132,AtskaiteStatusuTabula!B:AI,10,0)),0)</f>
        <v>41806492.579999998</v>
      </c>
      <c r="K132" s="29">
        <f t="shared" si="149"/>
        <v>0.99759322862521926</v>
      </c>
      <c r="L132" s="29">
        <f t="shared" si="161"/>
        <v>0</v>
      </c>
      <c r="M132" s="29">
        <f t="shared" si="158"/>
        <v>0</v>
      </c>
      <c r="N132" s="33">
        <f>IFERROR((VLOOKUP(A132,AtskaiteStatusuTabula!B:AI,17,0)),0)</f>
        <v>5</v>
      </c>
      <c r="O132" s="33">
        <v>41806492.579999998</v>
      </c>
      <c r="P132" s="29">
        <v>0.99759322862521926</v>
      </c>
      <c r="Q132" s="33">
        <f>IFERROR((VLOOKUP(A132,AtskaiteStatusuTabula!B:AI,18,0)),0)</f>
        <v>41806492.579999998</v>
      </c>
      <c r="R132" s="29">
        <f t="shared" si="162"/>
        <v>0.99759322862521926</v>
      </c>
      <c r="S132" s="29">
        <f t="shared" si="163"/>
        <v>0</v>
      </c>
      <c r="T132" s="29">
        <f t="shared" si="154"/>
        <v>0</v>
      </c>
      <c r="U132" s="33">
        <f>IFERROR((VLOOKUP(A132,AtskaiteStatusuTabula!B:AI,23,0)),0)</f>
        <v>5</v>
      </c>
      <c r="V132" s="33">
        <v>41806492.579999998</v>
      </c>
      <c r="W132" s="29">
        <v>0.99759322862521926</v>
      </c>
      <c r="X132" s="33">
        <f>IFERROR((VLOOKUP(A132,AtskaiteStatusuTabula!B:AI,24,0)),0)</f>
        <v>41806492.579999998</v>
      </c>
      <c r="Y132" s="29">
        <f t="shared" si="164"/>
        <v>0.99759322862521926</v>
      </c>
      <c r="Z132" s="29">
        <f t="shared" si="121"/>
        <v>0</v>
      </c>
      <c r="AA132" s="29">
        <f t="shared" si="156"/>
        <v>0</v>
      </c>
      <c r="AB132" s="33">
        <f>IFERROR((VLOOKUP(A132,AtskaiteStatusuTabula!B:AI,30,0)),0)</f>
        <v>5</v>
      </c>
      <c r="AC132" s="33">
        <v>41806492.579999998</v>
      </c>
      <c r="AD132" s="29">
        <v>0.99759322862521926</v>
      </c>
      <c r="AE132" s="33">
        <f>IFERROR((VLOOKUP(A132,AtskaiteStatusuTabula!B:AI,31,0)),0)</f>
        <v>41806492.579999998</v>
      </c>
      <c r="AF132" s="29">
        <f t="shared" si="157"/>
        <v>0.99759322862521926</v>
      </c>
      <c r="AG132" s="29">
        <f t="shared" si="165"/>
        <v>0</v>
      </c>
      <c r="AH132" s="29">
        <f t="shared" si="123"/>
        <v>0</v>
      </c>
      <c r="AI132" s="33">
        <v>41806492.579999998</v>
      </c>
      <c r="AJ132" s="29">
        <v>0.99759322862521926</v>
      </c>
      <c r="AL132" s="55">
        <f t="shared" si="122"/>
        <v>0</v>
      </c>
    </row>
    <row r="133" spans="1:38" ht="37.5" x14ac:dyDescent="0.3">
      <c r="A133" s="18" t="s">
        <v>337</v>
      </c>
      <c r="B133" s="10" t="str">
        <f>VLOOKUP(A133,saīsinājumi_LV_ENG!A:G,5,FALSE)</f>
        <v>Sociālo pakalpojumu sistēmas pilnveide</v>
      </c>
      <c r="D133" s="38" t="s">
        <v>346</v>
      </c>
      <c r="E133" s="38" t="s">
        <v>351</v>
      </c>
      <c r="F133" s="33">
        <v>4349512</v>
      </c>
      <c r="G133" s="33">
        <v>0</v>
      </c>
      <c r="H133" s="33">
        <f>F133+G133</f>
        <v>4349512</v>
      </c>
      <c r="I133" s="33">
        <v>0</v>
      </c>
      <c r="J133" s="33">
        <f>IFERROR((VLOOKUP(A133,AtskaiteStatusuTabula!B:AI,10,0)),0)</f>
        <v>4269595.83</v>
      </c>
      <c r="K133" s="29">
        <f t="shared" si="149"/>
        <v>0.98162640544502466</v>
      </c>
      <c r="L133" s="29">
        <f t="shared" si="161"/>
        <v>0</v>
      </c>
      <c r="M133" s="29">
        <f t="shared" si="158"/>
        <v>0</v>
      </c>
      <c r="N133" s="33">
        <f>IFERROR((VLOOKUP(A133,AtskaiteStatusuTabula!B:AI,17,0)),0)</f>
        <v>1</v>
      </c>
      <c r="O133" s="33">
        <v>4269595.83</v>
      </c>
      <c r="P133" s="29">
        <v>0.98162640544502466</v>
      </c>
      <c r="Q133" s="33">
        <f>IFERROR((VLOOKUP(A133,AtskaiteStatusuTabula!B:AI,18,0)),0)</f>
        <v>4269595.83</v>
      </c>
      <c r="R133" s="29">
        <f t="shared" si="162"/>
        <v>0.98162640544502466</v>
      </c>
      <c r="S133" s="29">
        <f t="shared" si="163"/>
        <v>0</v>
      </c>
      <c r="T133" s="29">
        <f t="shared" si="154"/>
        <v>0</v>
      </c>
      <c r="U133" s="33">
        <f>IFERROR((VLOOKUP(A133,AtskaiteStatusuTabula!B:AI,23,0)),0)</f>
        <v>1</v>
      </c>
      <c r="V133" s="33">
        <v>4269595.83</v>
      </c>
      <c r="W133" s="29">
        <v>0.98162640544502466</v>
      </c>
      <c r="X133" s="33">
        <f>IFERROR((VLOOKUP(A133,AtskaiteStatusuTabula!B:AI,24,0)),0)</f>
        <v>4269595.83</v>
      </c>
      <c r="Y133" s="29">
        <f t="shared" si="164"/>
        <v>0.98162640544502466</v>
      </c>
      <c r="Z133" s="29">
        <f t="shared" si="121"/>
        <v>0</v>
      </c>
      <c r="AA133" s="29">
        <f t="shared" si="156"/>
        <v>0</v>
      </c>
      <c r="AB133" s="33">
        <f>IFERROR((VLOOKUP(A133,AtskaiteStatusuTabula!B:AI,30,0)),0)</f>
        <v>1</v>
      </c>
      <c r="AC133" s="33">
        <v>4269595.83</v>
      </c>
      <c r="AD133" s="29">
        <v>0.98162640544502466</v>
      </c>
      <c r="AE133" s="33">
        <f>IFERROR((VLOOKUP(A133,AtskaiteStatusuTabula!B:AI,31,0)),0)</f>
        <v>4269595.83</v>
      </c>
      <c r="AF133" s="29">
        <f t="shared" si="157"/>
        <v>0.98162640544502466</v>
      </c>
      <c r="AG133" s="29">
        <f t="shared" si="165"/>
        <v>0</v>
      </c>
      <c r="AH133" s="29">
        <f t="shared" si="123"/>
        <v>0</v>
      </c>
      <c r="AI133" s="33">
        <v>4269595.83</v>
      </c>
      <c r="AJ133" s="29">
        <v>0.98162640544502466</v>
      </c>
      <c r="AL133" s="55">
        <f t="shared" si="122"/>
        <v>0</v>
      </c>
    </row>
    <row r="134" spans="1:38" ht="56.25" x14ac:dyDescent="0.3">
      <c r="A134" s="18" t="s">
        <v>1247</v>
      </c>
      <c r="B134" s="10" t="str">
        <f>VLOOKUP(A134,saīsinājumi_LV_ENG!A:G,5,FALSE)</f>
        <v>Sabiedrībā balstītu sociālo pakalpojumu sniegšana</v>
      </c>
      <c r="C134" s="33"/>
      <c r="D134" s="38" t="s">
        <v>346</v>
      </c>
      <c r="E134" s="38" t="s">
        <v>351</v>
      </c>
      <c r="F134" s="33">
        <v>7295922</v>
      </c>
      <c r="G134" s="33">
        <v>0</v>
      </c>
      <c r="H134" s="33">
        <f>F134+G134</f>
        <v>7295922</v>
      </c>
      <c r="I134" s="33">
        <v>0</v>
      </c>
      <c r="J134" s="33">
        <f>IFERROR((VLOOKUP(A134,AtskaiteStatusuTabula!B:AI,10,0)),0)</f>
        <v>7086200.79</v>
      </c>
      <c r="K134" s="29">
        <f>J134/F134</f>
        <v>0.97125500930519815</v>
      </c>
      <c r="L134" s="29">
        <f t="shared" ref="L134" si="167">K134-P134</f>
        <v>0</v>
      </c>
      <c r="M134" s="29">
        <f t="shared" ref="M134" si="168">IFERROR(((J134-O134)/O134),0)</f>
        <v>0</v>
      </c>
      <c r="N134" s="33">
        <f>IFERROR((VLOOKUP(A134,AtskaiteStatusuTabula!B:AI,17,0)),0)</f>
        <v>55</v>
      </c>
      <c r="O134" s="33">
        <v>7086200.79</v>
      </c>
      <c r="P134" s="29">
        <v>0.97125500930519815</v>
      </c>
      <c r="Q134" s="33">
        <f>IFERROR((VLOOKUP(A134,AtskaiteStatusuTabula!B:AI,18,0)),0)</f>
        <v>7086200.79</v>
      </c>
      <c r="R134" s="29">
        <f t="shared" ref="R134" si="169">Q134/F134</f>
        <v>0.97125500930519815</v>
      </c>
      <c r="S134" s="29">
        <f>R134-W134</f>
        <v>0</v>
      </c>
      <c r="T134" s="29">
        <f t="shared" ref="T134" si="170">IFERROR(((Q134-V134)/V134),0)</f>
        <v>0</v>
      </c>
      <c r="U134" s="33">
        <f>IFERROR((VLOOKUP(A134,AtskaiteStatusuTabula!B:AI,23,0)),0)</f>
        <v>55</v>
      </c>
      <c r="V134" s="33">
        <v>7086200.79</v>
      </c>
      <c r="W134" s="29">
        <v>0.97125500930519815</v>
      </c>
      <c r="X134" s="33">
        <f>IFERROR((VLOOKUP(A134,AtskaiteStatusuTabula!B:AI,24,0)),0)</f>
        <v>7086200.79</v>
      </c>
      <c r="Y134" s="29">
        <f t="shared" ref="Y134" si="171">X134/F134</f>
        <v>0.97125500930519815</v>
      </c>
      <c r="Z134" s="29">
        <f t="shared" ref="Z134" si="172">Y134-AD134</f>
        <v>0</v>
      </c>
      <c r="AA134" s="29">
        <f t="shared" ref="AA134" si="173">IFERROR(((X134-AC134)/AC134),0)</f>
        <v>0</v>
      </c>
      <c r="AB134" s="33">
        <f>IFERROR((VLOOKUP(A134,AtskaiteStatusuTabula!B:AI,30,0)),0)</f>
        <v>55</v>
      </c>
      <c r="AC134" s="33">
        <v>7086200.79</v>
      </c>
      <c r="AD134" s="29">
        <v>0.97125500930519815</v>
      </c>
      <c r="AE134" s="33">
        <f>IFERROR((VLOOKUP(A134,AtskaiteStatusuTabula!B:AI,31,0)),0)</f>
        <v>7086200.79</v>
      </c>
      <c r="AF134" s="29">
        <f t="shared" ref="AF134" si="174">IFERROR((AE134/$F134),0)</f>
        <v>0.97125500930519815</v>
      </c>
      <c r="AG134" s="29">
        <f t="shared" ref="AG134" si="175">AF134-AJ134</f>
        <v>0</v>
      </c>
      <c r="AH134" s="29">
        <f t="shared" ref="AH134" si="176">IFERROR(((AE134-AI134)/AI134),0)</f>
        <v>0</v>
      </c>
      <c r="AI134" s="33">
        <v>7086200.79</v>
      </c>
      <c r="AJ134" s="29">
        <v>0.97125500930519815</v>
      </c>
      <c r="AL134" s="55">
        <f t="shared" si="122"/>
        <v>0</v>
      </c>
    </row>
    <row r="135" spans="1:38" ht="37.5" x14ac:dyDescent="0.3">
      <c r="A135" s="18" t="s">
        <v>338</v>
      </c>
      <c r="B135" s="10" t="str">
        <f>VLOOKUP(A135,saīsinājumi_LV_ENG!A:G,5,FALSE)</f>
        <v>Tīklu attīstības vadlīnijas un kvalitātes  sistēma</v>
      </c>
      <c r="C135" s="322"/>
      <c r="D135" s="38" t="s">
        <v>346</v>
      </c>
      <c r="E135" s="38" t="s">
        <v>352</v>
      </c>
      <c r="F135" s="33">
        <v>4746596</v>
      </c>
      <c r="G135" s="33">
        <v>0</v>
      </c>
      <c r="H135" s="33">
        <f t="shared" si="166"/>
        <v>4746596</v>
      </c>
      <c r="I135" s="33">
        <v>0</v>
      </c>
      <c r="J135" s="33">
        <f>IFERROR((VLOOKUP(A135,AtskaiteStatusuTabula!B:AI,10,0)),0)</f>
        <v>4744870.0599999996</v>
      </c>
      <c r="K135" s="29">
        <f t="shared" si="149"/>
        <v>0.99963638363155394</v>
      </c>
      <c r="L135" s="29">
        <f t="shared" si="161"/>
        <v>0</v>
      </c>
      <c r="M135" s="29">
        <f t="shared" si="158"/>
        <v>0</v>
      </c>
      <c r="N135" s="33">
        <f>IFERROR((VLOOKUP(A135,AtskaiteStatusuTabula!B:AI,17,0)),0)</f>
        <v>1</v>
      </c>
      <c r="O135" s="33">
        <v>4744870.0599999996</v>
      </c>
      <c r="P135" s="29">
        <v>0.99963638363155394</v>
      </c>
      <c r="Q135" s="33">
        <f>IFERROR((VLOOKUP(A135,AtskaiteStatusuTabula!B:AI,18,0)),0)</f>
        <v>4744870.0599999996</v>
      </c>
      <c r="R135" s="29">
        <f t="shared" si="162"/>
        <v>0.99963638363155394</v>
      </c>
      <c r="S135" s="29">
        <f t="shared" si="163"/>
        <v>0</v>
      </c>
      <c r="T135" s="29">
        <f t="shared" si="154"/>
        <v>0</v>
      </c>
      <c r="U135" s="33">
        <f>IFERROR((VLOOKUP(A135,AtskaiteStatusuTabula!B:AI,23,0)),0)</f>
        <v>1</v>
      </c>
      <c r="V135" s="33">
        <v>4744870.0599999996</v>
      </c>
      <c r="W135" s="29">
        <v>0.99963638363155394</v>
      </c>
      <c r="X135" s="33">
        <f>IFERROR((VLOOKUP(A135,AtskaiteStatusuTabula!B:AI,24,0)),0)</f>
        <v>4744870.0599999996</v>
      </c>
      <c r="Y135" s="29">
        <f t="shared" si="164"/>
        <v>0.99963638363155394</v>
      </c>
      <c r="Z135" s="29">
        <f t="shared" si="121"/>
        <v>0</v>
      </c>
      <c r="AA135" s="29">
        <f t="shared" si="156"/>
        <v>0</v>
      </c>
      <c r="AB135" s="33">
        <f>IFERROR((VLOOKUP(A135,AtskaiteStatusuTabula!B:AI,30,0)),0)</f>
        <v>1</v>
      </c>
      <c r="AC135" s="33">
        <v>4744870.0599999996</v>
      </c>
      <c r="AD135" s="29">
        <v>0.99963638363155394</v>
      </c>
      <c r="AE135" s="33">
        <f>IFERROR((VLOOKUP(A135,AtskaiteStatusuTabula!B:AI,31,0)),0)</f>
        <v>4744870.0599999996</v>
      </c>
      <c r="AF135" s="29">
        <f t="shared" si="157"/>
        <v>0.99963638363155394</v>
      </c>
      <c r="AG135" s="29">
        <f t="shared" si="165"/>
        <v>0</v>
      </c>
      <c r="AH135" s="29">
        <f t="shared" si="123"/>
        <v>0</v>
      </c>
      <c r="AI135" s="33">
        <v>4744870.0599999996</v>
      </c>
      <c r="AJ135" s="29">
        <v>0.99963638363155394</v>
      </c>
      <c r="AL135" s="55">
        <f t="shared" si="122"/>
        <v>0</v>
      </c>
    </row>
    <row r="136" spans="1:38" ht="56.25" x14ac:dyDescent="0.3">
      <c r="A136" s="18" t="s">
        <v>339</v>
      </c>
      <c r="B136" s="10" t="str">
        <f>VLOOKUP(A136,saīsinājumi_LV_ENG!A:G,5,FALSE)</f>
        <v>Kompleksā veselības veicināšana un slimību profilakse</v>
      </c>
      <c r="C136" s="322"/>
      <c r="D136" s="38" t="s">
        <v>346</v>
      </c>
      <c r="E136" s="38" t="s">
        <v>352</v>
      </c>
      <c r="F136" s="33">
        <v>10093277</v>
      </c>
      <c r="G136" s="33">
        <v>0</v>
      </c>
      <c r="H136" s="33">
        <f t="shared" si="166"/>
        <v>10093277</v>
      </c>
      <c r="I136" s="33">
        <v>0</v>
      </c>
      <c r="J136" s="33">
        <f>IFERROR((VLOOKUP(A136,AtskaiteStatusuTabula!B:AI,10,0)),0)</f>
        <v>9918589.5700000003</v>
      </c>
      <c r="K136" s="29">
        <f t="shared" si="149"/>
        <v>0.98269269435486617</v>
      </c>
      <c r="L136" s="29">
        <f t="shared" si="161"/>
        <v>0</v>
      </c>
      <c r="M136" s="29">
        <f t="shared" si="158"/>
        <v>0</v>
      </c>
      <c r="N136" s="33">
        <f>IFERROR((VLOOKUP(A136,AtskaiteStatusuTabula!B:AI,17,0)),0)</f>
        <v>1</v>
      </c>
      <c r="O136" s="33">
        <v>9918589.5700000003</v>
      </c>
      <c r="P136" s="29">
        <v>0.98269269435486617</v>
      </c>
      <c r="Q136" s="33">
        <f>IFERROR((VLOOKUP(A136,AtskaiteStatusuTabula!B:AI,18,0)),0)</f>
        <v>9918589.5700000003</v>
      </c>
      <c r="R136" s="29">
        <f t="shared" si="162"/>
        <v>0.98269269435486617</v>
      </c>
      <c r="S136" s="29">
        <f t="shared" si="163"/>
        <v>0</v>
      </c>
      <c r="T136" s="29">
        <f t="shared" si="154"/>
        <v>0</v>
      </c>
      <c r="U136" s="33">
        <f>IFERROR((VLOOKUP(A136,AtskaiteStatusuTabula!B:AI,23,0)),0)</f>
        <v>1</v>
      </c>
      <c r="V136" s="33">
        <v>9918589.5700000003</v>
      </c>
      <c r="W136" s="29">
        <v>0.98269269435486617</v>
      </c>
      <c r="X136" s="33">
        <f>IFERROR((VLOOKUP(A136,AtskaiteStatusuTabula!B:AI,24,0)),0)</f>
        <v>9918589.5700000003</v>
      </c>
      <c r="Y136" s="29">
        <f t="shared" si="164"/>
        <v>0.98269269435486617</v>
      </c>
      <c r="Z136" s="29">
        <f t="shared" si="121"/>
        <v>0</v>
      </c>
      <c r="AA136" s="29">
        <f t="shared" si="156"/>
        <v>0</v>
      </c>
      <c r="AB136" s="33">
        <f>IFERROR((VLOOKUP(A136,AtskaiteStatusuTabula!B:AI,30,0)),0)</f>
        <v>1</v>
      </c>
      <c r="AC136" s="33">
        <v>9918589.5700000003</v>
      </c>
      <c r="AD136" s="29">
        <v>0.98269269435486617</v>
      </c>
      <c r="AE136" s="33">
        <f>IFERROR((VLOOKUP(A136,AtskaiteStatusuTabula!B:AI,31,0)),0)</f>
        <v>9918589.5700000003</v>
      </c>
      <c r="AF136" s="29">
        <f t="shared" si="157"/>
        <v>0.98269269435486617</v>
      </c>
      <c r="AG136" s="29">
        <f t="shared" si="165"/>
        <v>0</v>
      </c>
      <c r="AH136" s="29">
        <f t="shared" si="123"/>
        <v>0</v>
      </c>
      <c r="AI136" s="33">
        <v>9918589.5700000003</v>
      </c>
      <c r="AJ136" s="29">
        <v>0.98269269435486617</v>
      </c>
      <c r="AL136" s="55">
        <f t="shared" si="122"/>
        <v>0</v>
      </c>
    </row>
    <row r="137" spans="1:38" ht="56.25" x14ac:dyDescent="0.3">
      <c r="A137" s="18" t="s">
        <v>340</v>
      </c>
      <c r="B137" s="10" t="str">
        <f>VLOOKUP(A137,saīsinājumi_LV_ENG!A:G,5,FALSE)</f>
        <v>Veselības veicināšana un slimību profilakse pašvaldībās</v>
      </c>
      <c r="C137" s="9"/>
      <c r="D137" s="38" t="s">
        <v>346</v>
      </c>
      <c r="E137" s="38" t="s">
        <v>352</v>
      </c>
      <c r="F137" s="33">
        <v>26756948</v>
      </c>
      <c r="G137" s="33">
        <v>0</v>
      </c>
      <c r="H137" s="33">
        <f t="shared" si="166"/>
        <v>26756948</v>
      </c>
      <c r="I137" s="33">
        <v>0</v>
      </c>
      <c r="J137" s="33">
        <f>IFERROR((VLOOKUP(A137,AtskaiteStatusuTabula!B:AI,10,0)),0)</f>
        <v>26406954.120000001</v>
      </c>
      <c r="K137" s="29">
        <f t="shared" si="149"/>
        <v>0.98691951413890711</v>
      </c>
      <c r="L137" s="29">
        <f t="shared" si="161"/>
        <v>0</v>
      </c>
      <c r="M137" s="29">
        <f t="shared" si="158"/>
        <v>0</v>
      </c>
      <c r="N137" s="33">
        <f>IFERROR((VLOOKUP(A137,AtskaiteStatusuTabula!B:AI,17,0)),0)</f>
        <v>96</v>
      </c>
      <c r="O137" s="33">
        <v>26406954.120000001</v>
      </c>
      <c r="P137" s="29">
        <v>0.98691951413890711</v>
      </c>
      <c r="Q137" s="33">
        <f>IFERROR((VLOOKUP(A137,AtskaiteStatusuTabula!B:AI,18,0)),0)</f>
        <v>26406954.120000001</v>
      </c>
      <c r="R137" s="29">
        <f t="shared" si="162"/>
        <v>0.98691951413890711</v>
      </c>
      <c r="S137" s="29">
        <f t="shared" si="163"/>
        <v>0</v>
      </c>
      <c r="T137" s="29">
        <f t="shared" si="154"/>
        <v>0</v>
      </c>
      <c r="U137" s="33">
        <f>IFERROR((VLOOKUP(A137,AtskaiteStatusuTabula!B:AI,23,0)),0)</f>
        <v>96</v>
      </c>
      <c r="V137" s="33">
        <v>26406954.120000001</v>
      </c>
      <c r="W137" s="29">
        <v>0.98691951413890711</v>
      </c>
      <c r="X137" s="33">
        <f>IFERROR((VLOOKUP(A137,AtskaiteStatusuTabula!B:AI,24,0)),0)</f>
        <v>26406954.120000001</v>
      </c>
      <c r="Y137" s="29">
        <f t="shared" si="164"/>
        <v>0.98691951413890711</v>
      </c>
      <c r="Z137" s="29">
        <f t="shared" si="121"/>
        <v>0</v>
      </c>
      <c r="AA137" s="29">
        <f t="shared" si="156"/>
        <v>0</v>
      </c>
      <c r="AB137" s="33">
        <f>IFERROR((VLOOKUP(A137,AtskaiteStatusuTabula!B:AI,30,0)),0)</f>
        <v>96</v>
      </c>
      <c r="AC137" s="33">
        <v>26406954.120000001</v>
      </c>
      <c r="AD137" s="29">
        <v>0.98691951413890711</v>
      </c>
      <c r="AE137" s="33">
        <f>IFERROR((VLOOKUP(A137,AtskaiteStatusuTabula!B:AI,31,0)),0)</f>
        <v>26401385.370000001</v>
      </c>
      <c r="AF137" s="29">
        <f t="shared" si="157"/>
        <v>0.98671139062646462</v>
      </c>
      <c r="AG137" s="29">
        <f t="shared" si="165"/>
        <v>0</v>
      </c>
      <c r="AH137" s="29">
        <f t="shared" si="123"/>
        <v>0</v>
      </c>
      <c r="AI137" s="33">
        <v>26401385.370000001</v>
      </c>
      <c r="AJ137" s="29">
        <v>0.98671139062646462</v>
      </c>
      <c r="AL137" s="55">
        <f t="shared" si="122"/>
        <v>0</v>
      </c>
    </row>
    <row r="138" spans="1:38" ht="37.5" x14ac:dyDescent="0.3">
      <c r="A138" s="18" t="s">
        <v>341</v>
      </c>
      <c r="B138" s="10" t="str">
        <f>VLOOKUP(A138,saīsinājumi_LV_ENG!A:G,5,FALSE)</f>
        <v>Ārstu un māsu piesaiste darbam reģionos</v>
      </c>
      <c r="C138" s="9"/>
      <c r="D138" s="38" t="s">
        <v>346</v>
      </c>
      <c r="E138" s="38" t="s">
        <v>352</v>
      </c>
      <c r="F138" s="33">
        <v>14534059</v>
      </c>
      <c r="G138" s="33">
        <v>1589796</v>
      </c>
      <c r="H138" s="33">
        <f t="shared" si="166"/>
        <v>16123855</v>
      </c>
      <c r="I138" s="33">
        <v>0</v>
      </c>
      <c r="J138" s="33">
        <f>IFERROR((VLOOKUP(A138,AtskaiteStatusuTabula!B:AI,10,0)),0)</f>
        <v>16123855</v>
      </c>
      <c r="K138" s="29">
        <f t="shared" si="149"/>
        <v>1.1093841713453896</v>
      </c>
      <c r="L138" s="29">
        <f t="shared" si="161"/>
        <v>0</v>
      </c>
      <c r="M138" s="29">
        <f t="shared" si="158"/>
        <v>0</v>
      </c>
      <c r="N138" s="33">
        <f>IFERROR((VLOOKUP(A138,AtskaiteStatusuTabula!B:AI,17,0)),0)</f>
        <v>1</v>
      </c>
      <c r="O138" s="33">
        <v>16123855</v>
      </c>
      <c r="P138" s="29">
        <v>1.1093841713453896</v>
      </c>
      <c r="Q138" s="33">
        <f>IFERROR((VLOOKUP(A138,AtskaiteStatusuTabula!B:AI,18,0)),0)</f>
        <v>16123855</v>
      </c>
      <c r="R138" s="29">
        <f t="shared" si="162"/>
        <v>1.1093841713453896</v>
      </c>
      <c r="S138" s="29">
        <f t="shared" si="163"/>
        <v>0</v>
      </c>
      <c r="T138" s="29">
        <f t="shared" si="154"/>
        <v>0</v>
      </c>
      <c r="U138" s="33">
        <f>IFERROR((VLOOKUP(A138,AtskaiteStatusuTabula!B:AI,23,0)),0)</f>
        <v>1</v>
      </c>
      <c r="V138" s="33">
        <v>16123855</v>
      </c>
      <c r="W138" s="29">
        <v>1.1093841713453896</v>
      </c>
      <c r="X138" s="33">
        <f>IFERROR((VLOOKUP(A138,AtskaiteStatusuTabula!B:AI,24,0)),0)</f>
        <v>16123855</v>
      </c>
      <c r="Y138" s="29">
        <f t="shared" si="164"/>
        <v>1.1093841713453896</v>
      </c>
      <c r="Z138" s="29">
        <f t="shared" si="121"/>
        <v>0</v>
      </c>
      <c r="AA138" s="29">
        <f t="shared" si="156"/>
        <v>0</v>
      </c>
      <c r="AB138" s="33">
        <f>IFERROR((VLOOKUP(A138,AtskaiteStatusuTabula!B:AI,30,0)),0)</f>
        <v>1</v>
      </c>
      <c r="AC138" s="33">
        <v>16123855</v>
      </c>
      <c r="AD138" s="29">
        <v>1.1093841713453896</v>
      </c>
      <c r="AE138" s="33">
        <f>IFERROR((VLOOKUP(A138,AtskaiteStatusuTabula!B:AI,31,0)),0)</f>
        <v>16123855</v>
      </c>
      <c r="AF138" s="29">
        <f t="shared" si="157"/>
        <v>1.1093841713453896</v>
      </c>
      <c r="AG138" s="29">
        <f t="shared" si="165"/>
        <v>0</v>
      </c>
      <c r="AH138" s="29">
        <f t="shared" si="123"/>
        <v>0</v>
      </c>
      <c r="AI138" s="33">
        <v>16123855</v>
      </c>
      <c r="AJ138" s="29">
        <v>1.1093841713453896</v>
      </c>
      <c r="AL138" s="55">
        <f t="shared" si="122"/>
        <v>0</v>
      </c>
    </row>
    <row r="139" spans="1:38" ht="37.5" x14ac:dyDescent="0.3">
      <c r="A139" s="18" t="s">
        <v>342</v>
      </c>
      <c r="B139" s="10" t="str">
        <f>VLOOKUP(A139,saīsinājumi_LV_ENG!A:G,5,FALSE)</f>
        <v>Ārstniecības personu tālākizglītība</v>
      </c>
      <c r="C139" s="9"/>
      <c r="D139" s="38" t="s">
        <v>346</v>
      </c>
      <c r="E139" s="38" t="s">
        <v>352</v>
      </c>
      <c r="F139" s="33">
        <v>11604030</v>
      </c>
      <c r="G139" s="33">
        <v>0</v>
      </c>
      <c r="H139" s="33">
        <f t="shared" si="166"/>
        <v>11604030</v>
      </c>
      <c r="I139" s="33">
        <v>0</v>
      </c>
      <c r="J139" s="33">
        <f>IFERROR((VLOOKUP(A139,AtskaiteStatusuTabula!B:AI,10,0)),0)</f>
        <v>11417287.84</v>
      </c>
      <c r="K139" s="29">
        <f t="shared" si="149"/>
        <v>0.98390712881645426</v>
      </c>
      <c r="L139" s="29">
        <f t="shared" si="161"/>
        <v>0</v>
      </c>
      <c r="M139" s="29">
        <f t="shared" si="158"/>
        <v>0</v>
      </c>
      <c r="N139" s="33">
        <f>IFERROR((VLOOKUP(A139,AtskaiteStatusuTabula!B:AI,17,0)),0)</f>
        <v>1</v>
      </c>
      <c r="O139" s="33">
        <v>11417287.84</v>
      </c>
      <c r="P139" s="29">
        <v>0.98390712881645426</v>
      </c>
      <c r="Q139" s="33">
        <f>IFERROR((VLOOKUP(A139,AtskaiteStatusuTabula!B:AI,18,0)),0)</f>
        <v>11417287.84</v>
      </c>
      <c r="R139" s="29">
        <f t="shared" si="162"/>
        <v>0.98390712881645426</v>
      </c>
      <c r="S139" s="29">
        <f t="shared" si="163"/>
        <v>0</v>
      </c>
      <c r="T139" s="29">
        <f t="shared" si="154"/>
        <v>0</v>
      </c>
      <c r="U139" s="33">
        <f>IFERROR((VLOOKUP(A139,AtskaiteStatusuTabula!B:AI,23,0)),0)</f>
        <v>1</v>
      </c>
      <c r="V139" s="33">
        <v>11417287.84</v>
      </c>
      <c r="W139" s="29">
        <v>0.98390712881645426</v>
      </c>
      <c r="X139" s="33">
        <f>IFERROR((VLOOKUP(A139,AtskaiteStatusuTabula!B:AI,24,0)),0)</f>
        <v>11417287.84</v>
      </c>
      <c r="Y139" s="29">
        <f t="shared" si="164"/>
        <v>0.98390712881645426</v>
      </c>
      <c r="Z139" s="29">
        <f t="shared" si="121"/>
        <v>0</v>
      </c>
      <c r="AA139" s="29">
        <f t="shared" si="156"/>
        <v>0</v>
      </c>
      <c r="AB139" s="33">
        <f>IFERROR((VLOOKUP(A139,AtskaiteStatusuTabula!B:AI,30,0)),0)</f>
        <v>1</v>
      </c>
      <c r="AC139" s="33">
        <v>11417287.84</v>
      </c>
      <c r="AD139" s="29">
        <v>0.98390712881645426</v>
      </c>
      <c r="AE139" s="33">
        <f>IFERROR((VLOOKUP(A139,AtskaiteStatusuTabula!B:AI,31,0)),0)</f>
        <v>11417287.84</v>
      </c>
      <c r="AF139" s="29">
        <f t="shared" si="157"/>
        <v>0.98390712881645426</v>
      </c>
      <c r="AG139" s="29">
        <f t="shared" si="165"/>
        <v>0</v>
      </c>
      <c r="AH139" s="29">
        <f t="shared" si="123"/>
        <v>0</v>
      </c>
      <c r="AI139" s="33">
        <v>11417287.84</v>
      </c>
      <c r="AJ139" s="29">
        <v>0.98390712881645426</v>
      </c>
      <c r="AL139" s="55">
        <f t="shared" si="122"/>
        <v>0</v>
      </c>
    </row>
    <row r="140" spans="1:38" ht="56.25" x14ac:dyDescent="0.3">
      <c r="A140" s="253" t="s">
        <v>1294</v>
      </c>
      <c r="B140" s="10" t="str">
        <f>VLOOKUP(A140,saīsinājumi_LV_ENG!A:G,5,FALSE)</f>
        <v>Ārstniecības personāla piesaiste veselības krīžu novēršanai</v>
      </c>
      <c r="C140" s="9"/>
      <c r="D140" s="38" t="s">
        <v>346</v>
      </c>
      <c r="E140" s="38" t="s">
        <v>352</v>
      </c>
      <c r="F140" s="33">
        <v>2550000</v>
      </c>
      <c r="G140" s="33">
        <v>0</v>
      </c>
      <c r="H140" s="33">
        <f t="shared" ref="H140" si="177">F140+G140</f>
        <v>2550000</v>
      </c>
      <c r="I140" s="33">
        <v>1</v>
      </c>
      <c r="J140" s="445">
        <f>IFERROR((VLOOKUP(A140,AtskaiteStatusuTabula!B:AI,10,0)),0)-J170</f>
        <v>2550000</v>
      </c>
      <c r="K140" s="29">
        <f>IFERROR(J140/F140,0)</f>
        <v>1</v>
      </c>
      <c r="L140" s="29">
        <f t="shared" ref="L140" si="178">K140-P140</f>
        <v>0</v>
      </c>
      <c r="M140" s="29">
        <f t="shared" ref="M140" si="179">IFERROR(((J140-O140)/O140),0)</f>
        <v>0</v>
      </c>
      <c r="N140" s="33">
        <f>IFERROR((VLOOKUP(A140,AtskaiteStatusuTabula!B:AI,17,0)),0)</f>
        <v>1</v>
      </c>
      <c r="O140" s="33">
        <v>2550000</v>
      </c>
      <c r="P140" s="29">
        <v>1</v>
      </c>
      <c r="Q140" s="445">
        <f>IFERROR((VLOOKUP(A140,AtskaiteStatusuTabula!B:AI,18,0)),0)-Q170</f>
        <v>2550000</v>
      </c>
      <c r="R140" s="29">
        <f>IFERROR(Q140/F140,0)</f>
        <v>1</v>
      </c>
      <c r="S140" s="29">
        <f t="shared" ref="S140" si="180">R140-W140</f>
        <v>0</v>
      </c>
      <c r="T140" s="29">
        <f t="shared" ref="T140" si="181">IFERROR(((Q140-V140)/V140),0)</f>
        <v>0</v>
      </c>
      <c r="U140" s="33">
        <f>IFERROR((VLOOKUP(A140,AtskaiteStatusuTabula!B:AI,23,0)),0)</f>
        <v>1</v>
      </c>
      <c r="V140" s="33">
        <v>2550000</v>
      </c>
      <c r="W140" s="29">
        <v>1</v>
      </c>
      <c r="X140" s="445">
        <f>IFERROR((VLOOKUP(A140,AtskaiteStatusuTabula!B:AI,24,0)),0)-X170</f>
        <v>2550000</v>
      </c>
      <c r="Y140" s="29">
        <f>IFERROR(X140/F140,0)</f>
        <v>1</v>
      </c>
      <c r="Z140" s="29">
        <f t="shared" ref="Z140" si="182">Y140-AD140</f>
        <v>0</v>
      </c>
      <c r="AA140" s="29">
        <f t="shared" ref="AA140" si="183">IFERROR(((X140-AC140)/AC140),0)</f>
        <v>0</v>
      </c>
      <c r="AB140" s="33">
        <f>IFERROR((VLOOKUP(A140,AtskaiteStatusuTabula!B:AI,30,0)),0)</f>
        <v>1</v>
      </c>
      <c r="AC140" s="33">
        <v>2550000</v>
      </c>
      <c r="AD140" s="29">
        <v>1</v>
      </c>
      <c r="AE140" s="445">
        <f>IFERROR((VLOOKUP(A140,AtskaiteStatusuTabula!B:AI,31,0)),0)-AE170</f>
        <v>2550000</v>
      </c>
      <c r="AF140" s="29">
        <f t="shared" ref="AF140" si="184">IFERROR((AE140/$F140),0)</f>
        <v>1</v>
      </c>
      <c r="AG140" s="29">
        <f t="shared" ref="AG140" si="185">AF140-AJ140</f>
        <v>0</v>
      </c>
      <c r="AH140" s="29">
        <f t="shared" ref="AH140" si="186">IFERROR(((AE140-AI140)/AI140),0)</f>
        <v>0</v>
      </c>
      <c r="AI140" s="33">
        <v>2550000</v>
      </c>
      <c r="AJ140" s="29">
        <v>1</v>
      </c>
      <c r="AL140" s="55">
        <f t="shared" si="122"/>
        <v>0</v>
      </c>
    </row>
    <row r="141" spans="1:38" ht="37.5" x14ac:dyDescent="0.3">
      <c r="A141" s="18" t="s">
        <v>343</v>
      </c>
      <c r="B141" s="10" t="str">
        <f>VLOOKUP(A141,saīsinājumi_LV_ENG!A:G,5,FALSE)</f>
        <v>Infrastruktūra deinstitucionalizācijai</v>
      </c>
      <c r="C141" s="9"/>
      <c r="D141" s="38" t="s">
        <v>344</v>
      </c>
      <c r="E141" s="38" t="s">
        <v>351</v>
      </c>
      <c r="F141" s="33">
        <v>43101670</v>
      </c>
      <c r="G141" s="33">
        <v>0</v>
      </c>
      <c r="H141" s="33">
        <f>F141+G141</f>
        <v>43101670</v>
      </c>
      <c r="I141" s="33">
        <v>2515517</v>
      </c>
      <c r="J141" s="33">
        <f>IFERROR((VLOOKUP(A141,AtskaiteStatusuTabula!B:AI,10,0)),0)</f>
        <v>40839418.009999998</v>
      </c>
      <c r="K141" s="29">
        <f t="shared" si="149"/>
        <v>0.94751358845260514</v>
      </c>
      <c r="L141" s="29">
        <f t="shared" si="161"/>
        <v>0</v>
      </c>
      <c r="M141" s="29">
        <f t="shared" si="158"/>
        <v>0</v>
      </c>
      <c r="N141" s="33">
        <f>IFERROR((VLOOKUP(A141,AtskaiteStatusuTabula!B:AI,17,0)),0)</f>
        <v>69</v>
      </c>
      <c r="O141" s="33">
        <v>40839418.009999998</v>
      </c>
      <c r="P141" s="29">
        <v>0.94751358845260514</v>
      </c>
      <c r="Q141" s="33">
        <f>IFERROR((VLOOKUP(A141,AtskaiteStatusuTabula!B:AI,18,0)),0)</f>
        <v>40839418.009999998</v>
      </c>
      <c r="R141" s="29">
        <f t="shared" si="162"/>
        <v>0.94751358845260514</v>
      </c>
      <c r="S141" s="29">
        <f t="shared" si="163"/>
        <v>0</v>
      </c>
      <c r="T141" s="29">
        <f t="shared" si="154"/>
        <v>0</v>
      </c>
      <c r="U141" s="33">
        <f>IFERROR((VLOOKUP(A141,AtskaiteStatusuTabula!B:AI,23,0)),0)</f>
        <v>69</v>
      </c>
      <c r="V141" s="33">
        <v>40839418.009999998</v>
      </c>
      <c r="W141" s="29">
        <v>0.94751358845260514</v>
      </c>
      <c r="X141" s="33">
        <f>IFERROR((VLOOKUP(A141,AtskaiteStatusuTabula!B:AI,24,0)),0)</f>
        <v>40839418.009999998</v>
      </c>
      <c r="Y141" s="29">
        <f t="shared" si="164"/>
        <v>0.94751358845260514</v>
      </c>
      <c r="Z141" s="29">
        <f t="shared" si="121"/>
        <v>0</v>
      </c>
      <c r="AA141" s="29">
        <f t="shared" si="156"/>
        <v>0</v>
      </c>
      <c r="AB141" s="33">
        <f>IFERROR((VLOOKUP(A141,AtskaiteStatusuTabula!B:AI,30,0)),0)</f>
        <v>69</v>
      </c>
      <c r="AC141" s="33">
        <v>40839418.009999998</v>
      </c>
      <c r="AD141" s="29">
        <v>0.94751358845260514</v>
      </c>
      <c r="AE141" s="33">
        <f>IFERROR((VLOOKUP(A141,AtskaiteStatusuTabula!B:AI,31,0)),0)</f>
        <v>40833294.07</v>
      </c>
      <c r="AF141" s="29">
        <f t="shared" si="157"/>
        <v>0.94737150718290031</v>
      </c>
      <c r="AG141" s="29">
        <f t="shared" si="165"/>
        <v>0</v>
      </c>
      <c r="AH141" s="29">
        <f t="shared" si="123"/>
        <v>0</v>
      </c>
      <c r="AI141" s="33">
        <v>40833294.07</v>
      </c>
      <c r="AJ141" s="29">
        <v>0.94737150718290031</v>
      </c>
      <c r="AL141" s="55">
        <f t="shared" si="122"/>
        <v>0</v>
      </c>
    </row>
    <row r="142" spans="1:38" ht="56.25" x14ac:dyDescent="0.3">
      <c r="A142" s="18" t="s">
        <v>237</v>
      </c>
      <c r="B142" s="10" t="str">
        <f>VLOOKUP(A142,saīsinājumi_LV_ENG!A:G,5,FALSE)</f>
        <v xml:space="preserve">Infrastruktūra funkcionalitātes novērtēšanai </v>
      </c>
      <c r="C142" s="298"/>
      <c r="D142" s="38" t="s">
        <v>344</v>
      </c>
      <c r="E142" s="38" t="s">
        <v>351</v>
      </c>
      <c r="F142" s="33">
        <v>2113177</v>
      </c>
      <c r="G142" s="33">
        <v>0</v>
      </c>
      <c r="H142" s="33">
        <f>F142+G142</f>
        <v>2113177</v>
      </c>
      <c r="I142" s="33">
        <v>0</v>
      </c>
      <c r="J142" s="33">
        <f>IFERROR((VLOOKUP(A142,AtskaiteStatusuTabula!B:AI,10,0)),0)</f>
        <v>1782086.8</v>
      </c>
      <c r="K142" s="29">
        <f t="shared" si="149"/>
        <v>0.84332112265087122</v>
      </c>
      <c r="L142" s="29">
        <f t="shared" si="161"/>
        <v>0</v>
      </c>
      <c r="M142" s="29">
        <f t="shared" si="158"/>
        <v>0</v>
      </c>
      <c r="N142" s="33">
        <f>IFERROR((VLOOKUP(A142,AtskaiteStatusuTabula!B:AI,17,0)),0)</f>
        <v>1</v>
      </c>
      <c r="O142" s="33">
        <v>1782086.8</v>
      </c>
      <c r="P142" s="29">
        <v>0.84332112265087122</v>
      </c>
      <c r="Q142" s="33">
        <f>IFERROR((VLOOKUP(A142,AtskaiteStatusuTabula!B:AI,18,0)),0)</f>
        <v>1782086.8</v>
      </c>
      <c r="R142" s="29">
        <f t="shared" si="162"/>
        <v>0.84332112265087122</v>
      </c>
      <c r="S142" s="29">
        <f t="shared" si="163"/>
        <v>0</v>
      </c>
      <c r="T142" s="29">
        <f t="shared" si="154"/>
        <v>0</v>
      </c>
      <c r="U142" s="33">
        <f>IFERROR((VLOOKUP(A142,AtskaiteStatusuTabula!B:AI,23,0)),0)</f>
        <v>1</v>
      </c>
      <c r="V142" s="33">
        <v>1782086.8</v>
      </c>
      <c r="W142" s="29">
        <v>0.84332112265087122</v>
      </c>
      <c r="X142" s="33">
        <f>IFERROR((VLOOKUP(A142,AtskaiteStatusuTabula!B:AI,24,0)),0)</f>
        <v>1782086.8</v>
      </c>
      <c r="Y142" s="29">
        <f t="shared" si="164"/>
        <v>0.84332112265087122</v>
      </c>
      <c r="Z142" s="29">
        <f t="shared" si="121"/>
        <v>0</v>
      </c>
      <c r="AA142" s="29">
        <f t="shared" si="156"/>
        <v>0</v>
      </c>
      <c r="AB142" s="33">
        <f>IFERROR((VLOOKUP(A142,AtskaiteStatusuTabula!B:AI,30,0)),0)</f>
        <v>1</v>
      </c>
      <c r="AC142" s="33">
        <v>1782086.8</v>
      </c>
      <c r="AD142" s="29">
        <v>0.84332112265087122</v>
      </c>
      <c r="AE142" s="33">
        <f>IFERROR((VLOOKUP(A142,AtskaiteStatusuTabula!B:AI,31,0)),0)</f>
        <v>1782086.8</v>
      </c>
      <c r="AF142" s="29">
        <f t="shared" si="157"/>
        <v>0.84332112265087122</v>
      </c>
      <c r="AG142" s="29">
        <f t="shared" si="165"/>
        <v>0</v>
      </c>
      <c r="AH142" s="29">
        <f t="shared" si="123"/>
        <v>0</v>
      </c>
      <c r="AI142" s="33">
        <v>1782086.8</v>
      </c>
      <c r="AJ142" s="29">
        <v>0.84332112265087122</v>
      </c>
      <c r="AL142" s="55">
        <f t="shared" si="122"/>
        <v>0</v>
      </c>
    </row>
    <row r="143" spans="1:38" ht="75" x14ac:dyDescent="0.3">
      <c r="A143" s="18" t="s">
        <v>1544</v>
      </c>
      <c r="B143" s="10" t="s">
        <v>1545</v>
      </c>
      <c r="C143" s="9"/>
      <c r="D143" s="38" t="s">
        <v>344</v>
      </c>
      <c r="E143" s="38" t="s">
        <v>351</v>
      </c>
      <c r="F143" s="33">
        <v>480886</v>
      </c>
      <c r="G143" s="33">
        <v>782851</v>
      </c>
      <c r="H143" s="33">
        <f>F143+G143</f>
        <v>1263737</v>
      </c>
      <c r="I143" s="33"/>
      <c r="J143" s="33">
        <f>IFERROR((VLOOKUP(A143,AtskaiteStatusuTabula!B:AI,10,0)),0)</f>
        <v>300615.58</v>
      </c>
      <c r="K143" s="29">
        <f t="shared" ref="K143" si="187">J143/F143</f>
        <v>0.62512857517166232</v>
      </c>
      <c r="L143" s="29">
        <f t="shared" ref="L143" si="188">K143-P143</f>
        <v>0</v>
      </c>
      <c r="M143" s="29">
        <f t="shared" ref="M143" si="189">IFERROR(((J143-O143)/O143),0)</f>
        <v>0</v>
      </c>
      <c r="N143" s="33">
        <f>IFERROR((VLOOKUP(A143,AtskaiteStatusuTabula!B:AI,17,0)),0)</f>
        <v>1</v>
      </c>
      <c r="O143" s="33">
        <v>300615.58</v>
      </c>
      <c r="P143" s="29">
        <v>0.62512857517166232</v>
      </c>
      <c r="Q143" s="33">
        <f>IFERROR((VLOOKUP(A143,AtskaiteStatusuTabula!B:AI,18,0)),0)</f>
        <v>300615.58</v>
      </c>
      <c r="R143" s="29">
        <f t="shared" ref="R143" si="190">Q143/F143</f>
        <v>0.62512857517166232</v>
      </c>
      <c r="S143" s="29">
        <f t="shared" ref="S143" si="191">R143-W143</f>
        <v>0</v>
      </c>
      <c r="T143" s="29">
        <f t="shared" ref="T143" si="192">IFERROR(((Q143-V143)/V143),0)</f>
        <v>0</v>
      </c>
      <c r="U143" s="33">
        <f>IFERROR((VLOOKUP(A143,AtskaiteStatusuTabula!B:AI,23,0)),0)</f>
        <v>1</v>
      </c>
      <c r="V143" s="33">
        <v>300615.58</v>
      </c>
      <c r="W143" s="29">
        <v>0.62512857517166232</v>
      </c>
      <c r="X143" s="33">
        <f>IFERROR((VLOOKUP(A143,AtskaiteStatusuTabula!B:AI,24,0)),0)</f>
        <v>300615.58</v>
      </c>
      <c r="Y143" s="29">
        <f t="shared" ref="Y143" si="193">X143/F143</f>
        <v>0.62512857517166232</v>
      </c>
      <c r="Z143" s="29">
        <f t="shared" ref="Z143" si="194">Y143-AD143</f>
        <v>0</v>
      </c>
      <c r="AA143" s="29">
        <f t="shared" ref="AA143" si="195">IFERROR(((X143-AC143)/AC143),0)</f>
        <v>0</v>
      </c>
      <c r="AB143" s="33">
        <f>IFERROR((VLOOKUP(A143,AtskaiteStatusuTabula!B:AI,30,0)),0)</f>
        <v>1</v>
      </c>
      <c r="AC143" s="33">
        <v>300615.58</v>
      </c>
      <c r="AD143" s="29">
        <v>0.62512857517166232</v>
      </c>
      <c r="AE143" s="33">
        <f>IFERROR((VLOOKUP(A143,AtskaiteStatusuTabula!B:AI,31,0)),0)</f>
        <v>300615.58</v>
      </c>
      <c r="AF143" s="29">
        <f t="shared" ref="AF143" si="196">IFERROR((AE143/$F143),0)</f>
        <v>0.62512857517166232</v>
      </c>
      <c r="AG143" s="29">
        <f t="shared" ref="AG143" si="197">AF143-AJ143</f>
        <v>0</v>
      </c>
      <c r="AH143" s="29">
        <f t="shared" ref="AH143" si="198">IFERROR(((AE143-AI143)/AI143),0)</f>
        <v>0</v>
      </c>
      <c r="AI143" s="426">
        <v>300615.58</v>
      </c>
      <c r="AJ143" s="429">
        <v>0.62512857517166232</v>
      </c>
      <c r="AL143" s="55"/>
    </row>
    <row r="144" spans="1:38" ht="37.5" x14ac:dyDescent="0.3">
      <c r="A144" s="18" t="s">
        <v>236</v>
      </c>
      <c r="B144" s="10" t="str">
        <f>VLOOKUP(A144,saīsinājumi_LV_ENG!A:G,5,FALSE)</f>
        <v>Veselības aprūpes infrastruktūra</v>
      </c>
      <c r="C144" s="9"/>
      <c r="D144" s="38" t="s">
        <v>344</v>
      </c>
      <c r="E144" s="38" t="s">
        <v>352</v>
      </c>
      <c r="F144" s="33">
        <v>220032906</v>
      </c>
      <c r="G144" s="33">
        <v>12940597</v>
      </c>
      <c r="H144" s="33">
        <f>F144+G144</f>
        <v>232973503</v>
      </c>
      <c r="I144" s="33">
        <v>9279588</v>
      </c>
      <c r="J144" s="445">
        <f>IFERROR((VLOOKUP(A144,AtskaiteStatusuTabula!B:AI,10,0)),0)-J164</f>
        <v>204339515.86000001</v>
      </c>
      <c r="K144" s="29">
        <f t="shared" si="149"/>
        <v>0.92867707641874264</v>
      </c>
      <c r="L144" s="29">
        <f t="shared" si="161"/>
        <v>-0.11812975501037082</v>
      </c>
      <c r="M144" s="29">
        <f t="shared" si="158"/>
        <v>-0.11284771121439732</v>
      </c>
      <c r="N144" s="445">
        <f>IFERROR((VLOOKUP(A144,AtskaiteStatusuTabula!B:AI,17,0)),0)-N164</f>
        <v>366</v>
      </c>
      <c r="O144" s="33">
        <v>230331949.13999999</v>
      </c>
      <c r="P144" s="29">
        <v>1.0468068314291135</v>
      </c>
      <c r="Q144" s="445">
        <f>IFERROR((VLOOKUP(A144,AtskaiteStatusuTabula!B:AI,18,0)),0)-Q164</f>
        <v>204339515.86000001</v>
      </c>
      <c r="R144" s="29">
        <f t="shared" si="162"/>
        <v>0.92867707641874264</v>
      </c>
      <c r="S144" s="29">
        <f t="shared" si="163"/>
        <v>-0.11812975501037082</v>
      </c>
      <c r="T144" s="29">
        <f t="shared" si="154"/>
        <v>-0.11284771121439732</v>
      </c>
      <c r="U144" s="445">
        <f>IFERROR((VLOOKUP(A144,AtskaiteStatusuTabula!B:AI,23,0)),0)-U164</f>
        <v>366</v>
      </c>
      <c r="V144" s="33">
        <v>230331949.13999999</v>
      </c>
      <c r="W144" s="29">
        <v>1.0468068314291135</v>
      </c>
      <c r="X144" s="445">
        <f>IFERROR((VLOOKUP(A144,AtskaiteStatusuTabula!B:AI,24,0)),0)-X164</f>
        <v>204339515.86000001</v>
      </c>
      <c r="Y144" s="29">
        <f t="shared" si="164"/>
        <v>0.92867707641874264</v>
      </c>
      <c r="Z144" s="29">
        <f t="shared" si="121"/>
        <v>-0.11812975501037082</v>
      </c>
      <c r="AA144" s="29">
        <f t="shared" si="156"/>
        <v>-0.11284771121439732</v>
      </c>
      <c r="AB144" s="445">
        <f>IFERROR((VLOOKUP(A144,AtskaiteStatusuTabula!B:AI,30,0)),0)-AB164</f>
        <v>366</v>
      </c>
      <c r="AC144" s="33">
        <v>230331949.13999999</v>
      </c>
      <c r="AD144" s="29">
        <v>1.0468068314291135</v>
      </c>
      <c r="AE144" s="445">
        <f>IFERROR((VLOOKUP(A144,AtskaiteStatusuTabula!B:AI,31,0)),0)-AE164</f>
        <v>206684220.94</v>
      </c>
      <c r="AF144" s="29">
        <f t="shared" si="157"/>
        <v>0.93933323291199</v>
      </c>
      <c r="AG144" s="29">
        <f t="shared" si="165"/>
        <v>0</v>
      </c>
      <c r="AH144" s="29">
        <f t="shared" si="123"/>
        <v>0</v>
      </c>
      <c r="AI144" s="33">
        <v>206684220.94</v>
      </c>
      <c r="AJ144" s="29">
        <v>0.93933323291199</v>
      </c>
      <c r="AL144" s="55">
        <f t="shared" ref="AL144:AL170" si="199">IF(X144&gt;(F144+G144),F144+G144-X144,0)</f>
        <v>0</v>
      </c>
    </row>
    <row r="145" spans="1:38" x14ac:dyDescent="0.3">
      <c r="A145" s="19" t="s">
        <v>141</v>
      </c>
      <c r="B145" s="8" t="str">
        <f>VLOOKUP(A145,saīsinājumi_LV_ENG!A:G,5,FALSE)</f>
        <v>ESF tehniskā palīdzība</v>
      </c>
      <c r="C145" s="8"/>
      <c r="D145" s="40"/>
      <c r="E145" s="40"/>
      <c r="F145" s="35">
        <f>SUM(F146:F148)</f>
        <v>21420040</v>
      </c>
      <c r="G145" s="35">
        <f t="shared" ref="G145:I145" si="200">SUM(G146:G148)</f>
        <v>0</v>
      </c>
      <c r="H145" s="35">
        <f>SUM(H146:H148)</f>
        <v>21420040</v>
      </c>
      <c r="I145" s="35">
        <f t="shared" si="200"/>
        <v>0</v>
      </c>
      <c r="J145" s="35">
        <f>SUM(J146:J148)</f>
        <v>20958161.16</v>
      </c>
      <c r="K145" s="31">
        <f t="shared" si="149"/>
        <v>0.97843706921182216</v>
      </c>
      <c r="L145" s="31">
        <f t="shared" si="161"/>
        <v>0</v>
      </c>
      <c r="M145" s="31">
        <f t="shared" si="158"/>
        <v>0</v>
      </c>
      <c r="N145" s="35">
        <f>SUM(N146:N148)</f>
        <v>44</v>
      </c>
      <c r="O145" s="35">
        <v>20958161.16</v>
      </c>
      <c r="P145" s="35">
        <v>0.97843706921182216</v>
      </c>
      <c r="Q145" s="35">
        <f t="shared" ref="Q145" si="201">SUM(Q146:Q148)</f>
        <v>20958161.16</v>
      </c>
      <c r="R145" s="31">
        <f t="shared" si="162"/>
        <v>0.97843706921182216</v>
      </c>
      <c r="S145" s="31">
        <f t="shared" si="163"/>
        <v>0</v>
      </c>
      <c r="T145" s="31">
        <f t="shared" si="154"/>
        <v>0</v>
      </c>
      <c r="U145" s="35">
        <f>SUM(U146:U148)</f>
        <v>44</v>
      </c>
      <c r="V145" s="35">
        <v>20958161.16</v>
      </c>
      <c r="W145" s="35">
        <v>0.97843706921182216</v>
      </c>
      <c r="X145" s="35">
        <f>SUM(X146:X148)</f>
        <v>20958161.16</v>
      </c>
      <c r="Y145" s="31">
        <f t="shared" si="164"/>
        <v>0.97843706921182216</v>
      </c>
      <c r="Z145" s="31">
        <f t="shared" si="121"/>
        <v>0</v>
      </c>
      <c r="AA145" s="31">
        <f t="shared" si="156"/>
        <v>0</v>
      </c>
      <c r="AB145" s="35">
        <f>SUM(AB146:AB148)</f>
        <v>44</v>
      </c>
      <c r="AC145" s="35">
        <v>20958161.16</v>
      </c>
      <c r="AD145" s="35">
        <v>0.97843706921182216</v>
      </c>
      <c r="AE145" s="35">
        <f>SUM(AE146:AE148)</f>
        <v>20958105.09</v>
      </c>
      <c r="AF145" s="31">
        <f t="shared" si="157"/>
        <v>0.97843445156965159</v>
      </c>
      <c r="AG145" s="31">
        <f t="shared" si="165"/>
        <v>0</v>
      </c>
      <c r="AH145" s="31">
        <f t="shared" si="123"/>
        <v>0</v>
      </c>
      <c r="AI145" s="35">
        <v>20958105.09</v>
      </c>
      <c r="AJ145" s="31">
        <v>0.97843445156965159</v>
      </c>
      <c r="AL145" s="55">
        <f t="shared" si="199"/>
        <v>0</v>
      </c>
    </row>
    <row r="146" spans="1:38" ht="37.5" x14ac:dyDescent="0.3">
      <c r="A146" s="18" t="s">
        <v>359</v>
      </c>
      <c r="B146" s="10" t="str">
        <f>VLOOKUP(A146,saīsinājumi_LV_ENG!A:G,5,FALSE)</f>
        <v>TP KP fondu izvērtēšanas kapacitātei</v>
      </c>
      <c r="C146" s="10"/>
      <c r="D146" s="42" t="s">
        <v>346</v>
      </c>
      <c r="E146" s="42" t="s">
        <v>356</v>
      </c>
      <c r="F146" s="33">
        <v>2106322</v>
      </c>
      <c r="G146" s="33">
        <v>0</v>
      </c>
      <c r="H146" s="33">
        <f>F146+G146</f>
        <v>2106322</v>
      </c>
      <c r="I146" s="33">
        <v>0</v>
      </c>
      <c r="J146" s="33">
        <f>IFERROR((VLOOKUP(A146,AtskaiteStatusuTabula!B:AI,10,0)),0)</f>
        <v>2002863.57</v>
      </c>
      <c r="K146" s="29">
        <f>J146/F146</f>
        <v>0.95088194967341177</v>
      </c>
      <c r="L146" s="29">
        <f t="shared" si="161"/>
        <v>0</v>
      </c>
      <c r="M146" s="29">
        <f t="shared" si="158"/>
        <v>0</v>
      </c>
      <c r="N146" s="33">
        <f>IFERROR((VLOOKUP(A146,AtskaiteStatusuTabula!B:AI,17,0)),0)</f>
        <v>2</v>
      </c>
      <c r="O146" s="33">
        <v>2002863.57</v>
      </c>
      <c r="P146" s="32">
        <v>0.95088194967341177</v>
      </c>
      <c r="Q146" s="33">
        <f>IFERROR((VLOOKUP(A146,AtskaiteStatusuTabula!B:AI,18,0)),0)</f>
        <v>2002863.57</v>
      </c>
      <c r="R146" s="29">
        <f t="shared" si="162"/>
        <v>0.95088194967341177</v>
      </c>
      <c r="S146" s="29">
        <f t="shared" si="163"/>
        <v>0</v>
      </c>
      <c r="T146" s="29">
        <f t="shared" si="154"/>
        <v>0</v>
      </c>
      <c r="U146" s="33">
        <f>IFERROR((VLOOKUP(A146,AtskaiteStatusuTabula!B:AI,23,0)),0)</f>
        <v>2</v>
      </c>
      <c r="V146" s="33">
        <v>2002863.57</v>
      </c>
      <c r="W146" s="32">
        <v>0.95088194967341177</v>
      </c>
      <c r="X146" s="33">
        <f>IFERROR((VLOOKUP(A146,AtskaiteStatusuTabula!B:AI,24,0)),0)</f>
        <v>2002863.57</v>
      </c>
      <c r="Y146" s="32">
        <f t="shared" si="164"/>
        <v>0.95088194967341177</v>
      </c>
      <c r="Z146" s="32">
        <f t="shared" ref="Z146:Z152" si="202">Y146-AD146</f>
        <v>0</v>
      </c>
      <c r="AA146" s="32">
        <f t="shared" si="156"/>
        <v>0</v>
      </c>
      <c r="AB146" s="33">
        <f>IFERROR((VLOOKUP(A146,AtskaiteStatusuTabula!B:AI,30,0)),0)</f>
        <v>2</v>
      </c>
      <c r="AC146" s="37">
        <v>2002863.57</v>
      </c>
      <c r="AD146" s="32">
        <v>0.95088194967341177</v>
      </c>
      <c r="AE146" s="33">
        <f>IFERROR((VLOOKUP(A146,AtskaiteStatusuTabula!B:AI,31,0)),0)</f>
        <v>2002863.57</v>
      </c>
      <c r="AF146" s="29">
        <f t="shared" si="157"/>
        <v>0.95088194967341177</v>
      </c>
      <c r="AG146" s="29">
        <f t="shared" si="165"/>
        <v>0</v>
      </c>
      <c r="AH146" s="29">
        <f t="shared" si="123"/>
        <v>0</v>
      </c>
      <c r="AI146" s="33">
        <v>2002863.57</v>
      </c>
      <c r="AJ146" s="32">
        <v>0.95088194967341177</v>
      </c>
      <c r="AL146" s="55">
        <f t="shared" si="199"/>
        <v>0</v>
      </c>
    </row>
    <row r="147" spans="1:38" ht="37.5" x14ac:dyDescent="0.3">
      <c r="A147" s="18" t="s">
        <v>235</v>
      </c>
      <c r="B147" s="10" t="str">
        <f>VLOOKUP(A147,saīsinājumi_LV_ENG!A:G,5,FALSE)</f>
        <v>TP informācijai un komunikācijai</v>
      </c>
      <c r="C147" s="9"/>
      <c r="D147" s="38" t="s">
        <v>346</v>
      </c>
      <c r="E147" s="38" t="s">
        <v>356</v>
      </c>
      <c r="F147" s="33">
        <v>7101751</v>
      </c>
      <c r="G147" s="33">
        <v>0</v>
      </c>
      <c r="H147" s="33">
        <f t="shared" ref="H147:H148" si="203">F147+G147</f>
        <v>7101751</v>
      </c>
      <c r="I147" s="33">
        <v>0</v>
      </c>
      <c r="J147" s="33">
        <f>IFERROR((VLOOKUP(A147,AtskaiteStatusuTabula!B:AI,10,0)),0)</f>
        <v>6892432.8200000003</v>
      </c>
      <c r="K147" s="29">
        <f>J147/F147</f>
        <v>0.9705258351074264</v>
      </c>
      <c r="L147" s="29">
        <f>K147-P147</f>
        <v>0</v>
      </c>
      <c r="M147" s="29">
        <f t="shared" si="158"/>
        <v>0</v>
      </c>
      <c r="N147" s="33">
        <f>IFERROR((VLOOKUP(A147,AtskaiteStatusuTabula!B:AI,17,0)),0)</f>
        <v>22</v>
      </c>
      <c r="O147" s="33">
        <v>6892432.8200000003</v>
      </c>
      <c r="P147" s="29">
        <v>0.9705258351074264</v>
      </c>
      <c r="Q147" s="33">
        <f>IFERROR((VLOOKUP(A147,AtskaiteStatusuTabula!B:AI,18,0)),0)</f>
        <v>6892432.8200000003</v>
      </c>
      <c r="R147" s="29">
        <f t="shared" si="162"/>
        <v>0.9705258351074264</v>
      </c>
      <c r="S147" s="29">
        <f t="shared" si="163"/>
        <v>0</v>
      </c>
      <c r="T147" s="29">
        <f t="shared" si="154"/>
        <v>0</v>
      </c>
      <c r="U147" s="33">
        <f>IFERROR((VLOOKUP(A147,AtskaiteStatusuTabula!B:AI,23,0)),0)</f>
        <v>22</v>
      </c>
      <c r="V147" s="33">
        <v>6892432.8200000003</v>
      </c>
      <c r="W147" s="29">
        <v>0.9705258351074264</v>
      </c>
      <c r="X147" s="33">
        <f>IFERROR((VLOOKUP(A147,AtskaiteStatusuTabula!B:AI,24,0)),0)</f>
        <v>6892432.8200000003</v>
      </c>
      <c r="Y147" s="29">
        <f t="shared" si="164"/>
        <v>0.9705258351074264</v>
      </c>
      <c r="Z147" s="29">
        <f>Y147-AD147</f>
        <v>0</v>
      </c>
      <c r="AA147" s="29">
        <f t="shared" si="156"/>
        <v>0</v>
      </c>
      <c r="AB147" s="33">
        <f>IFERROR((VLOOKUP(A147,AtskaiteStatusuTabula!B:AI,30,0)),0)</f>
        <v>22</v>
      </c>
      <c r="AC147" s="33">
        <v>6892432.8200000003</v>
      </c>
      <c r="AD147" s="29">
        <v>0.9705258351074264</v>
      </c>
      <c r="AE147" s="33">
        <f>IFERROR((VLOOKUP(A147,AtskaiteStatusuTabula!B:AI,31,0)),0)</f>
        <v>6892376.75</v>
      </c>
      <c r="AF147" s="29">
        <f t="shared" si="157"/>
        <v>0.97051793987144863</v>
      </c>
      <c r="AG147" s="29">
        <f t="shared" si="165"/>
        <v>0</v>
      </c>
      <c r="AH147" s="29">
        <f t="shared" ref="AH147:AH152" si="204">IFERROR(((AE147-AI147)/AI147),0)</f>
        <v>0</v>
      </c>
      <c r="AI147" s="33">
        <v>6892376.75</v>
      </c>
      <c r="AJ147" s="29">
        <v>0.97051793987144863</v>
      </c>
      <c r="AL147" s="55">
        <f t="shared" si="199"/>
        <v>0</v>
      </c>
    </row>
    <row r="148" spans="1:38" ht="112.5" x14ac:dyDescent="0.3">
      <c r="A148" s="18" t="s">
        <v>1250</v>
      </c>
      <c r="B148" s="10" t="s">
        <v>1251</v>
      </c>
      <c r="C148" s="9"/>
      <c r="D148" s="38" t="s">
        <v>346</v>
      </c>
      <c r="E148" s="38" t="s">
        <v>356</v>
      </c>
      <c r="F148" s="33">
        <v>12211967</v>
      </c>
      <c r="G148" s="33">
        <v>0</v>
      </c>
      <c r="H148" s="33">
        <f t="shared" si="203"/>
        <v>12211967</v>
      </c>
      <c r="I148" s="33">
        <v>0</v>
      </c>
      <c r="J148" s="33">
        <f>IFERROR((VLOOKUP(A148,AtskaiteStatusuTabula!B:AI,10,0)),0)</f>
        <v>12062864.77</v>
      </c>
      <c r="K148" s="29">
        <f t="shared" ref="K148" si="205">J148/F148</f>
        <v>0.98779048207385423</v>
      </c>
      <c r="L148" s="29">
        <f t="shared" ref="L148" si="206">K148-P148</f>
        <v>0</v>
      </c>
      <c r="M148" s="29">
        <f t="shared" ref="M148" si="207">IFERROR(((J148-O148)/O148),0)</f>
        <v>0</v>
      </c>
      <c r="N148" s="33">
        <f>IFERROR((VLOOKUP(A148,AtskaiteStatusuTabula!B:AI,17,0)),0)</f>
        <v>20</v>
      </c>
      <c r="O148" s="33">
        <v>12062864.77</v>
      </c>
      <c r="P148" s="29">
        <v>0.98779048207385423</v>
      </c>
      <c r="Q148" s="33">
        <f>IFERROR((VLOOKUP(A148,AtskaiteStatusuTabula!B:AI,18,0)),0)</f>
        <v>12062864.77</v>
      </c>
      <c r="R148" s="29">
        <f t="shared" ref="R148" si="208">Q148/F148</f>
        <v>0.98779048207385423</v>
      </c>
      <c r="S148" s="29">
        <f t="shared" ref="S148" si="209">R148-W148</f>
        <v>0</v>
      </c>
      <c r="T148" s="29">
        <f t="shared" ref="T148" si="210">IFERROR(((Q148-V148)/V148),0)</f>
        <v>0</v>
      </c>
      <c r="U148" s="33">
        <f>IFERROR((VLOOKUP(A148,AtskaiteStatusuTabula!B:AI,23,0)),0)</f>
        <v>20</v>
      </c>
      <c r="V148" s="33">
        <v>12062864.77</v>
      </c>
      <c r="W148" s="29">
        <v>0.98779048207385423</v>
      </c>
      <c r="X148" s="33">
        <f>IFERROR((VLOOKUP(A148,AtskaiteStatusuTabula!B:AI,24,0)),0)</f>
        <v>12062864.77</v>
      </c>
      <c r="Y148" s="29">
        <f t="shared" ref="Y148" si="211">X148/F148</f>
        <v>0.98779048207385423</v>
      </c>
      <c r="Z148" s="29">
        <f t="shared" ref="Z148" si="212">Y148-AD148</f>
        <v>0</v>
      </c>
      <c r="AA148" s="29">
        <f t="shared" ref="AA148" si="213">IFERROR(((X148-AC148)/AC148),0)</f>
        <v>0</v>
      </c>
      <c r="AB148" s="33">
        <f>IFERROR((VLOOKUP(A148,AtskaiteStatusuTabula!B:AI,30,0)),0)</f>
        <v>20</v>
      </c>
      <c r="AC148" s="33">
        <v>12062864.77</v>
      </c>
      <c r="AD148" s="29">
        <v>0.98779048207385423</v>
      </c>
      <c r="AE148" s="33">
        <f>IFERROR((VLOOKUP(A148,AtskaiteStatusuTabula!B:AI,31,0)),0)</f>
        <v>12062864.77</v>
      </c>
      <c r="AF148" s="29">
        <f t="shared" ref="AF148" si="214">IFERROR((AE148/$F148),0)</f>
        <v>0.98779048207385423</v>
      </c>
      <c r="AG148" s="29">
        <f t="shared" ref="AG148" si="215">AF148-AJ148</f>
        <v>0</v>
      </c>
      <c r="AH148" s="29">
        <f t="shared" si="204"/>
        <v>0</v>
      </c>
      <c r="AI148" s="33">
        <v>12062864.77</v>
      </c>
      <c r="AJ148" s="29">
        <v>0.98779048207385423</v>
      </c>
      <c r="AL148" s="55">
        <f t="shared" si="199"/>
        <v>0</v>
      </c>
    </row>
    <row r="149" spans="1:38" ht="37.5" x14ac:dyDescent="0.3">
      <c r="A149" s="19" t="s">
        <v>144</v>
      </c>
      <c r="B149" s="8" t="str">
        <f>VLOOKUP(A149,saīsinājumi_LV_ENG!A:G,5,FALSE)</f>
        <v>ERAF tehniskā palīdzība</v>
      </c>
      <c r="C149" s="8"/>
      <c r="D149" s="40"/>
      <c r="E149" s="40"/>
      <c r="F149" s="35">
        <f>SUM(F150)</f>
        <v>39180553</v>
      </c>
      <c r="G149" s="35">
        <f>SUM(G150)</f>
        <v>0</v>
      </c>
      <c r="H149" s="35">
        <f>SUM(H150)</f>
        <v>39180553</v>
      </c>
      <c r="I149" s="35">
        <f>SUM(I150)</f>
        <v>0</v>
      </c>
      <c r="J149" s="35">
        <f>SUM(J150)</f>
        <v>39151081.200000003</v>
      </c>
      <c r="K149" s="31">
        <f t="shared" si="149"/>
        <v>0.99924779520084883</v>
      </c>
      <c r="L149" s="31">
        <f t="shared" si="161"/>
        <v>0</v>
      </c>
      <c r="M149" s="31">
        <f t="shared" si="158"/>
        <v>0</v>
      </c>
      <c r="N149" s="35">
        <f>SUM(N150)</f>
        <v>31</v>
      </c>
      <c r="O149" s="35">
        <v>39151081.200000003</v>
      </c>
      <c r="P149" s="31">
        <v>0.99924779520084883</v>
      </c>
      <c r="Q149" s="35">
        <f>SUM(Q150)</f>
        <v>39151081.200000003</v>
      </c>
      <c r="R149" s="31">
        <f t="shared" si="162"/>
        <v>0.99924779520084883</v>
      </c>
      <c r="S149" s="31">
        <f t="shared" si="163"/>
        <v>0</v>
      </c>
      <c r="T149" s="31">
        <f t="shared" si="154"/>
        <v>0</v>
      </c>
      <c r="U149" s="35">
        <f>SUM(U150)</f>
        <v>31</v>
      </c>
      <c r="V149" s="35">
        <v>39151081.200000003</v>
      </c>
      <c r="W149" s="31">
        <v>0.99924779520084883</v>
      </c>
      <c r="X149" s="35">
        <f>SUM(X150)</f>
        <v>39151081.200000003</v>
      </c>
      <c r="Y149" s="31">
        <f t="shared" si="164"/>
        <v>0.99924779520084883</v>
      </c>
      <c r="Z149" s="31">
        <f t="shared" si="202"/>
        <v>0</v>
      </c>
      <c r="AA149" s="31">
        <f t="shared" si="156"/>
        <v>0</v>
      </c>
      <c r="AB149" s="35">
        <f>SUM(AB150)</f>
        <v>31</v>
      </c>
      <c r="AC149" s="35">
        <v>39151081.200000003</v>
      </c>
      <c r="AD149" s="31">
        <v>0.99924779520084883</v>
      </c>
      <c r="AE149" s="35">
        <f>SUM(AE150)</f>
        <v>39150971.990000002</v>
      </c>
      <c r="AF149" s="31">
        <f t="shared" si="157"/>
        <v>0.99924500784866421</v>
      </c>
      <c r="AG149" s="31">
        <f t="shared" si="165"/>
        <v>0</v>
      </c>
      <c r="AH149" s="31">
        <f t="shared" si="204"/>
        <v>0</v>
      </c>
      <c r="AI149" s="35">
        <v>39150971.990000002</v>
      </c>
      <c r="AJ149" s="31">
        <v>0.99924500784866421</v>
      </c>
      <c r="AL149" s="55">
        <f t="shared" si="199"/>
        <v>0</v>
      </c>
    </row>
    <row r="150" spans="1:38" ht="56.25" x14ac:dyDescent="0.3">
      <c r="A150" s="18" t="s">
        <v>234</v>
      </c>
      <c r="B150" s="10" t="str">
        <f>VLOOKUP(A150,saīsinājumi_LV_ENG!A:G,5,FALSE)</f>
        <v>TP KP fondu plānošanai, ieviešanai, uzraudzībai un kontrolei</v>
      </c>
      <c r="C150" s="9"/>
      <c r="D150" s="38" t="s">
        <v>344</v>
      </c>
      <c r="E150" s="38" t="s">
        <v>356</v>
      </c>
      <c r="F150" s="33">
        <v>39180553</v>
      </c>
      <c r="G150" s="33">
        <v>0</v>
      </c>
      <c r="H150" s="33">
        <f>F150+G150</f>
        <v>39180553</v>
      </c>
      <c r="I150" s="33">
        <v>0</v>
      </c>
      <c r="J150" s="33">
        <f>IFERROR((VLOOKUP(A150,AtskaiteStatusuTabula!B:AI,10,0)),0)</f>
        <v>39151081.200000003</v>
      </c>
      <c r="K150" s="29">
        <f t="shared" si="149"/>
        <v>0.99924779520084883</v>
      </c>
      <c r="L150" s="29">
        <f t="shared" si="161"/>
        <v>0</v>
      </c>
      <c r="M150" s="29">
        <f t="shared" si="158"/>
        <v>0</v>
      </c>
      <c r="N150" s="33">
        <f>IFERROR((VLOOKUP(A150,AtskaiteStatusuTabula!B:AI,17,0)),0)</f>
        <v>31</v>
      </c>
      <c r="O150" s="33">
        <v>39151081.200000003</v>
      </c>
      <c r="P150" s="29">
        <v>0.99924779520084883</v>
      </c>
      <c r="Q150" s="33">
        <f>IFERROR((VLOOKUP(A150,AtskaiteStatusuTabula!B:AI,18,0)),0)</f>
        <v>39151081.200000003</v>
      </c>
      <c r="R150" s="29">
        <f t="shared" si="162"/>
        <v>0.99924779520084883</v>
      </c>
      <c r="S150" s="29">
        <f t="shared" si="163"/>
        <v>0</v>
      </c>
      <c r="T150" s="29">
        <f t="shared" si="154"/>
        <v>0</v>
      </c>
      <c r="U150" s="33">
        <f>IFERROR((VLOOKUP(A150,AtskaiteStatusuTabula!B:AI,23,0)),0)</f>
        <v>31</v>
      </c>
      <c r="V150" s="33">
        <v>39151081.200000003</v>
      </c>
      <c r="W150" s="29">
        <v>0.99924779520084883</v>
      </c>
      <c r="X150" s="33">
        <f>IFERROR((VLOOKUP(A150,AtskaiteStatusuTabula!B:AI,24,0)),0)</f>
        <v>39151081.200000003</v>
      </c>
      <c r="Y150" s="29">
        <f t="shared" si="164"/>
        <v>0.99924779520084883</v>
      </c>
      <c r="Z150" s="29">
        <f t="shared" si="202"/>
        <v>0</v>
      </c>
      <c r="AA150" s="29">
        <f t="shared" si="156"/>
        <v>0</v>
      </c>
      <c r="AB150" s="33">
        <f>IFERROR((VLOOKUP(A150,AtskaiteStatusuTabula!B:AI,30,0)),0)</f>
        <v>31</v>
      </c>
      <c r="AC150" s="33">
        <v>39151081.200000003</v>
      </c>
      <c r="AD150" s="29">
        <v>0.99924779520084883</v>
      </c>
      <c r="AE150" s="33">
        <f>IFERROR((VLOOKUP(A150,AtskaiteStatusuTabula!B:AI,31,0)),0)</f>
        <v>39150971.990000002</v>
      </c>
      <c r="AF150" s="29">
        <f t="shared" si="157"/>
        <v>0.99924500784866421</v>
      </c>
      <c r="AG150" s="29">
        <f t="shared" si="165"/>
        <v>0</v>
      </c>
      <c r="AH150" s="29">
        <f t="shared" si="204"/>
        <v>0</v>
      </c>
      <c r="AI150" s="33">
        <v>39150971.990000002</v>
      </c>
      <c r="AJ150" s="29">
        <v>0.99924500784866421</v>
      </c>
      <c r="AL150" s="55">
        <f t="shared" si="199"/>
        <v>0</v>
      </c>
    </row>
    <row r="151" spans="1:38" x14ac:dyDescent="0.3">
      <c r="A151" s="19" t="s">
        <v>145</v>
      </c>
      <c r="B151" s="8" t="str">
        <f>VLOOKUP(A151,saīsinājumi_LV_ENG!A:G,5,FALSE)</f>
        <v>KF tehniskā palīdzība</v>
      </c>
      <c r="C151" s="8"/>
      <c r="D151" s="40"/>
      <c r="E151" s="40"/>
      <c r="F151" s="35">
        <f>SUM(F152)</f>
        <v>40715710</v>
      </c>
      <c r="G151" s="35">
        <f>SUM(G152)</f>
        <v>0</v>
      </c>
      <c r="H151" s="35">
        <f>SUM(H152)</f>
        <v>40715710</v>
      </c>
      <c r="I151" s="35">
        <f>SUM(I152)</f>
        <v>0</v>
      </c>
      <c r="J151" s="35">
        <f>SUM(J152)</f>
        <v>40697163.219999999</v>
      </c>
      <c r="K151" s="31">
        <f t="shared" si="149"/>
        <v>0.99954448098780546</v>
      </c>
      <c r="L151" s="31">
        <f>K151-P151</f>
        <v>0</v>
      </c>
      <c r="M151" s="31">
        <f>IFERROR(((J151-O151)/O151),0)</f>
        <v>0</v>
      </c>
      <c r="N151" s="35">
        <f>SUM(N152)</f>
        <v>7</v>
      </c>
      <c r="O151" s="35">
        <v>40697163.219999999</v>
      </c>
      <c r="P151" s="31">
        <v>0.99954448098780546</v>
      </c>
      <c r="Q151" s="35">
        <f>SUM(Q152)</f>
        <v>40697163.219999999</v>
      </c>
      <c r="R151" s="31">
        <f t="shared" si="162"/>
        <v>0.99954448098780546</v>
      </c>
      <c r="S151" s="31">
        <f t="shared" si="163"/>
        <v>0</v>
      </c>
      <c r="T151" s="31">
        <f>IFERROR(((Q151-V151)/V151),0)</f>
        <v>0</v>
      </c>
      <c r="U151" s="35">
        <f>SUM(U152)</f>
        <v>7</v>
      </c>
      <c r="V151" s="35">
        <v>40697163.219999999</v>
      </c>
      <c r="W151" s="31">
        <v>0.99954448098780546</v>
      </c>
      <c r="X151" s="35">
        <f>SUM(X152)</f>
        <v>40697163.219999999</v>
      </c>
      <c r="Y151" s="31">
        <f>X151/F151</f>
        <v>0.99954448098780546</v>
      </c>
      <c r="Z151" s="31">
        <f>Y151-AD151</f>
        <v>0</v>
      </c>
      <c r="AA151" s="31">
        <f>IFERROR(((X151-AC151)/AC151),0)</f>
        <v>0</v>
      </c>
      <c r="AB151" s="35">
        <f>SUM(AB152)</f>
        <v>7</v>
      </c>
      <c r="AC151" s="35">
        <v>40697163.219999999</v>
      </c>
      <c r="AD151" s="31">
        <v>0.99954448098780546</v>
      </c>
      <c r="AE151" s="35">
        <f>SUM(AE152)</f>
        <v>40697163.219999999</v>
      </c>
      <c r="AF151" s="31">
        <f>IFERROR((AE151/$F151),0)</f>
        <v>0.99954448098780546</v>
      </c>
      <c r="AG151" s="31">
        <f>AF151-AJ151</f>
        <v>0</v>
      </c>
      <c r="AH151" s="31">
        <f>IFERROR(((AE151-AI151)/AI151),0)</f>
        <v>0</v>
      </c>
      <c r="AI151" s="35">
        <v>40697163.219999999</v>
      </c>
      <c r="AJ151" s="31">
        <v>0.99954448098780546</v>
      </c>
      <c r="AL151" s="55">
        <f t="shared" si="199"/>
        <v>0</v>
      </c>
    </row>
    <row r="152" spans="1:38" ht="75" x14ac:dyDescent="0.3">
      <c r="A152" s="18" t="s">
        <v>233</v>
      </c>
      <c r="B152" s="10" t="str">
        <f>VLOOKUP(A152,saīsinājumi_LV_ENG!A:G,5,FALSE)</f>
        <v>TP KP fondu plānošanai, ieviešanai, uzraudzībai, kontrolei, revīzijai un e-kohēzijai</v>
      </c>
      <c r="C152" s="9"/>
      <c r="D152" s="38" t="s">
        <v>345</v>
      </c>
      <c r="E152" s="38" t="s">
        <v>356</v>
      </c>
      <c r="F152" s="33">
        <v>40715710</v>
      </c>
      <c r="G152" s="33">
        <v>0</v>
      </c>
      <c r="H152" s="33">
        <f>F152+G152</f>
        <v>40715710</v>
      </c>
      <c r="I152" s="33">
        <v>0</v>
      </c>
      <c r="J152" s="33">
        <f>IFERROR((VLOOKUP(A152,AtskaiteStatusuTabula!B:AI,10,0)),0)</f>
        <v>40697163.219999999</v>
      </c>
      <c r="K152" s="29">
        <f t="shared" ref="K152:K164" si="216">J152/F152</f>
        <v>0.99954448098780546</v>
      </c>
      <c r="L152" s="29">
        <f t="shared" si="161"/>
        <v>0</v>
      </c>
      <c r="M152" s="29">
        <f t="shared" si="158"/>
        <v>0</v>
      </c>
      <c r="N152" s="33">
        <f>IFERROR((VLOOKUP(A152,AtskaiteStatusuTabula!B:AI,17,0)),0)</f>
        <v>7</v>
      </c>
      <c r="O152" s="33">
        <v>40697163.219999999</v>
      </c>
      <c r="P152" s="29">
        <v>0.99954448098780546</v>
      </c>
      <c r="Q152" s="33">
        <f>IFERROR((VLOOKUP(A152,AtskaiteStatusuTabula!B:AI,18,0)),0)</f>
        <v>40697163.219999999</v>
      </c>
      <c r="R152" s="29">
        <f t="shared" si="162"/>
        <v>0.99954448098780546</v>
      </c>
      <c r="S152" s="29">
        <f t="shared" si="163"/>
        <v>0</v>
      </c>
      <c r="T152" s="29">
        <f t="shared" si="154"/>
        <v>0</v>
      </c>
      <c r="U152" s="33">
        <f>IFERROR((VLOOKUP(A152,AtskaiteStatusuTabula!B:AI,23,0)),0)</f>
        <v>7</v>
      </c>
      <c r="V152" s="33">
        <v>40697163.219999999</v>
      </c>
      <c r="W152" s="29">
        <v>0.99954448098780546</v>
      </c>
      <c r="X152" s="33">
        <f>IFERROR((VLOOKUP(A152,AtskaiteStatusuTabula!B:AI,24,0)),0)</f>
        <v>40697163.219999999</v>
      </c>
      <c r="Y152" s="29">
        <f t="shared" si="164"/>
        <v>0.99954448098780546</v>
      </c>
      <c r="Z152" s="29">
        <f t="shared" si="202"/>
        <v>0</v>
      </c>
      <c r="AA152" s="29">
        <f t="shared" si="156"/>
        <v>0</v>
      </c>
      <c r="AB152" s="33">
        <f>IFERROR((VLOOKUP(A152,AtskaiteStatusuTabula!B:AI,30,0)),0)</f>
        <v>7</v>
      </c>
      <c r="AC152" s="33">
        <v>40697163.219999999</v>
      </c>
      <c r="AD152" s="29">
        <v>0.99954448098780546</v>
      </c>
      <c r="AE152" s="33">
        <f>IFERROR((VLOOKUP(A152,AtskaiteStatusuTabula!B:AI,31,0)),0)</f>
        <v>40697163.219999999</v>
      </c>
      <c r="AF152" s="29">
        <f t="shared" si="157"/>
        <v>0.99954448098780546</v>
      </c>
      <c r="AG152" s="29">
        <f t="shared" si="165"/>
        <v>0</v>
      </c>
      <c r="AH152" s="29">
        <f t="shared" si="204"/>
        <v>0</v>
      </c>
      <c r="AI152" s="33">
        <v>40697163.219999999</v>
      </c>
      <c r="AJ152" s="29">
        <v>0.99954448098780546</v>
      </c>
      <c r="AL152" s="55">
        <f t="shared" si="199"/>
        <v>0</v>
      </c>
    </row>
    <row r="153" spans="1:38" ht="56.25" x14ac:dyDescent="0.3">
      <c r="A153" s="19" t="s">
        <v>1376</v>
      </c>
      <c r="B153" s="8" t="str">
        <f>VLOOKUP(A153,saīsinājumi_LV_ENG!A:G,5,FALSE)</f>
        <v>Pasākumi Covid-19 pandēmijas seku mazināšanai (ERAF)</v>
      </c>
      <c r="C153" s="8"/>
      <c r="D153" s="40"/>
      <c r="E153" s="40"/>
      <c r="F153" s="35">
        <f>SUM(F154:F165)</f>
        <v>197923434</v>
      </c>
      <c r="G153" s="35">
        <f>SUM(G154:G165)</f>
        <v>1</v>
      </c>
      <c r="H153" s="35">
        <f>SUM(H154:H165)</f>
        <v>197923435</v>
      </c>
      <c r="I153" s="35">
        <f>SUM(I161:I162)</f>
        <v>0</v>
      </c>
      <c r="J153" s="35">
        <f>SUM(J154:J165)</f>
        <v>172648849.45000002</v>
      </c>
      <c r="K153" s="35">
        <f t="shared" si="216"/>
        <v>0.87230120234272013</v>
      </c>
      <c r="L153" s="35">
        <f>K153-P153</f>
        <v>0</v>
      </c>
      <c r="M153" s="35">
        <f>IFERROR(((J153-O153)/O153),0)</f>
        <v>0</v>
      </c>
      <c r="N153" s="35">
        <f>SUM(N154:N165)</f>
        <v>126</v>
      </c>
      <c r="O153" s="35">
        <v>172648849.45000002</v>
      </c>
      <c r="P153" s="35">
        <v>0.87230120234272013</v>
      </c>
      <c r="Q153" s="35">
        <f>SUM(Q154:Q165)</f>
        <v>172648849.45000002</v>
      </c>
      <c r="R153" s="467">
        <f>Q153/F153</f>
        <v>0.87230120234272013</v>
      </c>
      <c r="S153" s="467">
        <f>R153-W153</f>
        <v>0</v>
      </c>
      <c r="T153" s="467">
        <f t="shared" ref="T153:T165" si="217">IFERROR(((Q153-V153)/V153),0)</f>
        <v>0</v>
      </c>
      <c r="U153" s="35">
        <f>SUM(U154:U165)</f>
        <v>126</v>
      </c>
      <c r="V153" s="35">
        <v>172648849.45000002</v>
      </c>
      <c r="W153" s="467">
        <v>0.87230120234272013</v>
      </c>
      <c r="X153" s="35">
        <f>SUM(X154:X165)</f>
        <v>172648849.45000002</v>
      </c>
      <c r="Y153" s="35">
        <f t="shared" ref="Y153:Y166" si="218">X153/F153</f>
        <v>0.87230120234272013</v>
      </c>
      <c r="Z153" s="35">
        <f t="shared" ref="Z153:Z166" si="219">Y153-AD153</f>
        <v>0</v>
      </c>
      <c r="AA153" s="35">
        <f t="shared" ref="AA153:AA166" si="220">IFERROR(((X153-AC153)/AC153),0)</f>
        <v>0</v>
      </c>
      <c r="AB153" s="35">
        <f>SUM(AB154:AB165)</f>
        <v>126</v>
      </c>
      <c r="AC153" s="35">
        <v>172648849.45000002</v>
      </c>
      <c r="AD153" s="35">
        <v>0.87230120234272013</v>
      </c>
      <c r="AE153" s="35">
        <f>SUM(AE154:AE165)</f>
        <v>170583248.70000002</v>
      </c>
      <c r="AF153" s="35">
        <f t="shared" ref="AF153:AF166" si="221">IFERROR((AE153/$F153),0)</f>
        <v>0.86186483961267579</v>
      </c>
      <c r="AG153" s="35">
        <f t="shared" ref="AG153:AG166" si="222">AF153-AJ153</f>
        <v>0</v>
      </c>
      <c r="AH153" s="35">
        <f t="shared" ref="AH153:AH166" si="223">IFERROR(((AE153-AI153)/AI153),0)</f>
        <v>0</v>
      </c>
      <c r="AI153" s="35">
        <v>170583248.70000002</v>
      </c>
      <c r="AJ153" s="31">
        <v>0.86186483961267579</v>
      </c>
      <c r="AL153" s="55">
        <f t="shared" si="199"/>
        <v>0</v>
      </c>
    </row>
    <row r="154" spans="1:38" ht="37.5" x14ac:dyDescent="0.3">
      <c r="A154" s="18" t="s">
        <v>1385</v>
      </c>
      <c r="B154" s="10" t="str">
        <f>VLOOKUP(A154,saīsinājumi_LV_ENG!A:G,5,FALSE)</f>
        <v>Aizdevumi MVK</v>
      </c>
      <c r="C154" s="10" t="s">
        <v>1558</v>
      </c>
      <c r="D154" s="42" t="s">
        <v>1375</v>
      </c>
      <c r="E154" s="38" t="s">
        <v>349</v>
      </c>
      <c r="F154" s="37">
        <f>5950000+15109282</f>
        <v>21059282</v>
      </c>
      <c r="G154" s="33">
        <v>0</v>
      </c>
      <c r="H154" s="33">
        <f t="shared" ref="H154:H165" si="224">F154+G154</f>
        <v>21059282</v>
      </c>
      <c r="I154" s="431"/>
      <c r="J154" s="478">
        <v>21059281.16</v>
      </c>
      <c r="K154" s="29">
        <f t="shared" ref="K154:K161" si="225">J154/F154</f>
        <v>0.99999996011260028</v>
      </c>
      <c r="L154" s="29">
        <f t="shared" ref="L154" si="226">K154-P154</f>
        <v>0</v>
      </c>
      <c r="M154" s="29">
        <f t="shared" ref="M154" si="227">IFERROR(((J154-O154)/O154),0)</f>
        <v>0</v>
      </c>
      <c r="N154" s="33">
        <f>IFERROR((VLOOKUP(A154,AtskaiteStatusuTabula!B:AI,17,0)),0)</f>
        <v>0</v>
      </c>
      <c r="O154" s="33">
        <v>21059281.16</v>
      </c>
      <c r="P154" s="29">
        <v>0.99999996011260028</v>
      </c>
      <c r="Q154" s="478">
        <v>21059281.16</v>
      </c>
      <c r="R154" s="29">
        <f t="shared" ref="R154:R161" si="228">Q154/F154</f>
        <v>0.99999996011260028</v>
      </c>
      <c r="S154" s="29">
        <f t="shared" ref="S154:S161" si="229">R154-W154</f>
        <v>0</v>
      </c>
      <c r="T154" s="29">
        <f t="shared" ref="T154:T161" si="230">IFERROR(((Q154-V154)/V154),0)</f>
        <v>0</v>
      </c>
      <c r="U154" s="33">
        <f>IFERROR((VLOOKUP(A154,AtskaiteStatusuTabula!B:AI,23,0)),0)</f>
        <v>0</v>
      </c>
      <c r="V154" s="33">
        <v>21059281.16</v>
      </c>
      <c r="W154" s="29">
        <v>0.99999996011260028</v>
      </c>
      <c r="X154" s="478">
        <v>21059281.16</v>
      </c>
      <c r="Y154" s="29">
        <f t="shared" ref="Y154:Y161" si="231">X154/F154</f>
        <v>0.99999996011260028</v>
      </c>
      <c r="Z154" s="29">
        <f t="shared" ref="Z154:Z161" si="232">Y154-AD154</f>
        <v>0</v>
      </c>
      <c r="AA154" s="29">
        <f t="shared" ref="AA154:AA161" si="233">IFERROR(((X154-AC154)/AC154),0)</f>
        <v>0</v>
      </c>
      <c r="AB154" s="33">
        <f>IFERROR((VLOOKUP(A154,AtskaiteStatusuTabula!B:AI,30,0)),0)</f>
        <v>0</v>
      </c>
      <c r="AC154" s="33">
        <v>21059281.16</v>
      </c>
      <c r="AD154" s="29">
        <v>0.99999996011260028</v>
      </c>
      <c r="AE154" s="478">
        <f>AtskaiteStatusuTabula!AG54</f>
        <v>21059281.16</v>
      </c>
      <c r="AF154" s="29">
        <f t="shared" ref="AF154:AF161" si="234">IFERROR((AE154/$F154),0)</f>
        <v>0.99999996011260028</v>
      </c>
      <c r="AG154" s="29">
        <f t="shared" ref="AG154:AG161" si="235">AF154-AJ154</f>
        <v>0</v>
      </c>
      <c r="AH154" s="29">
        <f t="shared" ref="AH154:AH161" si="236">IFERROR(((AE154-AI154)/AI154),0)</f>
        <v>0</v>
      </c>
      <c r="AI154" s="33">
        <v>21059281.16</v>
      </c>
      <c r="AJ154" s="29">
        <v>0.99999996011260028</v>
      </c>
      <c r="AL154" s="55">
        <f t="shared" si="199"/>
        <v>0</v>
      </c>
    </row>
    <row r="155" spans="1:38" ht="37.5" x14ac:dyDescent="0.3">
      <c r="A155" s="432" t="s">
        <v>1378</v>
      </c>
      <c r="B155" s="10" t="str">
        <f>VLOOKUP(A155,saīsinājumi_LV_ENG!A:G,5,FALSE)</f>
        <v xml:space="preserve">Daudzdzīvokļu māju energoefektivitāte </v>
      </c>
      <c r="C155" s="1" t="s">
        <v>265</v>
      </c>
      <c r="D155" s="433" t="s">
        <v>1375</v>
      </c>
      <c r="E155" s="430" t="s">
        <v>349</v>
      </c>
      <c r="F155" s="494">
        <v>29482994</v>
      </c>
      <c r="G155" s="33">
        <v>0</v>
      </c>
      <c r="H155" s="33">
        <f t="shared" si="224"/>
        <v>29482994</v>
      </c>
      <c r="J155" s="478">
        <v>29482994</v>
      </c>
      <c r="K155" s="29">
        <f t="shared" si="225"/>
        <v>1</v>
      </c>
      <c r="L155" s="29">
        <f t="shared" ref="L155:L164" si="237">K155-P155</f>
        <v>0</v>
      </c>
      <c r="M155" s="29">
        <f t="shared" ref="M155:M164" si="238">IFERROR(((J155-O155)/O155),0)</f>
        <v>0</v>
      </c>
      <c r="N155" s="146">
        <v>0</v>
      </c>
      <c r="O155" s="33">
        <v>29482994</v>
      </c>
      <c r="P155" s="29">
        <v>1</v>
      </c>
      <c r="Q155" s="478">
        <v>29482994</v>
      </c>
      <c r="R155" s="29">
        <f t="shared" si="228"/>
        <v>1</v>
      </c>
      <c r="S155" s="29">
        <f t="shared" si="229"/>
        <v>0</v>
      </c>
      <c r="T155" s="29">
        <f t="shared" si="230"/>
        <v>0</v>
      </c>
      <c r="U155" s="146">
        <v>0</v>
      </c>
      <c r="V155" s="33">
        <v>29482994</v>
      </c>
      <c r="W155" s="29">
        <v>1</v>
      </c>
      <c r="X155" s="478">
        <v>29482994</v>
      </c>
      <c r="Y155" s="29">
        <f t="shared" si="231"/>
        <v>1</v>
      </c>
      <c r="Z155" s="29">
        <f t="shared" si="232"/>
        <v>0</v>
      </c>
      <c r="AA155" s="29">
        <f t="shared" si="233"/>
        <v>0</v>
      </c>
      <c r="AB155" s="146">
        <v>0</v>
      </c>
      <c r="AC155" s="33">
        <v>29482994</v>
      </c>
      <c r="AD155" s="29">
        <v>1</v>
      </c>
      <c r="AE155" s="478">
        <f>AtskaiteStatusuTabula!AG72</f>
        <v>29482628.329999998</v>
      </c>
      <c r="AF155" s="29">
        <f t="shared" si="234"/>
        <v>0.99998759725691355</v>
      </c>
      <c r="AG155" s="29">
        <f t="shared" si="235"/>
        <v>0</v>
      </c>
      <c r="AH155" s="29">
        <f t="shared" si="236"/>
        <v>0</v>
      </c>
      <c r="AI155" s="33">
        <v>29482628.329999998</v>
      </c>
      <c r="AJ155" s="29">
        <v>0.99998759725691355</v>
      </c>
      <c r="AL155" s="55">
        <f t="shared" si="199"/>
        <v>0</v>
      </c>
    </row>
    <row r="156" spans="1:38" ht="150" x14ac:dyDescent="0.3">
      <c r="A156" s="18" t="s">
        <v>1562</v>
      </c>
      <c r="B156" s="10" t="s">
        <v>1563</v>
      </c>
      <c r="C156" s="295" t="s">
        <v>1570</v>
      </c>
      <c r="D156" s="436" t="s">
        <v>1375</v>
      </c>
      <c r="E156" s="38" t="s">
        <v>349</v>
      </c>
      <c r="F156" s="33">
        <f>3774076+1263557</f>
        <v>5037633</v>
      </c>
      <c r="G156" s="33">
        <v>1</v>
      </c>
      <c r="H156" s="33">
        <f t="shared" ref="H156" si="239">F156+G156</f>
        <v>5037634</v>
      </c>
      <c r="J156" s="146">
        <f>AtskaiteStatusuTabula!L58</f>
        <v>5037633</v>
      </c>
      <c r="K156" s="29">
        <f t="shared" ref="K156" si="240">J156/F156</f>
        <v>1</v>
      </c>
      <c r="L156" s="29">
        <f t="shared" ref="L156" si="241">K156-P156</f>
        <v>0</v>
      </c>
      <c r="M156" s="29">
        <f t="shared" ref="M156" si="242">IFERROR(((J156-O156)/O156),0)</f>
        <v>0</v>
      </c>
      <c r="N156" s="33">
        <f>IFERROR((VLOOKUP(A156,AtskaiteStatusuTabula!B:AI,17,0)),0)</f>
        <v>0</v>
      </c>
      <c r="O156" s="33">
        <v>5037633</v>
      </c>
      <c r="P156" s="29">
        <v>1</v>
      </c>
      <c r="Q156" s="146">
        <f>AtskaiteStatusuTabula!T58</f>
        <v>5037633</v>
      </c>
      <c r="R156" s="29">
        <f t="shared" ref="R156" si="243">Q156/F156</f>
        <v>1</v>
      </c>
      <c r="S156" s="29">
        <f t="shared" ref="S156" si="244">R156-W156</f>
        <v>0</v>
      </c>
      <c r="T156" s="29">
        <f t="shared" ref="T156" si="245">IFERROR(((Q156-V156)/V156),0)</f>
        <v>0</v>
      </c>
      <c r="U156" s="33">
        <f>IFERROR((VLOOKUP(A156,AtskaiteStatusuTabula!B:AI,23,0)),0)</f>
        <v>0</v>
      </c>
      <c r="V156" s="33">
        <v>5037633</v>
      </c>
      <c r="W156" s="29">
        <v>1</v>
      </c>
      <c r="X156" s="146">
        <f>AtskaiteStatusuTabula!Z58</f>
        <v>5037633</v>
      </c>
      <c r="Y156" s="29">
        <f t="shared" ref="Y156" si="246">X156/F156</f>
        <v>1</v>
      </c>
      <c r="Z156" s="29">
        <f t="shared" ref="Z156" si="247">Y156-AD156</f>
        <v>0</v>
      </c>
      <c r="AA156" s="29">
        <f t="shared" ref="AA156" si="248">IFERROR(((X156-AC156)/AC156),0)</f>
        <v>0</v>
      </c>
      <c r="AB156" s="33">
        <f>IFERROR((VLOOKUP(A156,AtskaiteStatusuTabula!B:AI,30,0)),0)</f>
        <v>0</v>
      </c>
      <c r="AC156" s="33">
        <v>5037633</v>
      </c>
      <c r="AD156" s="29">
        <v>1</v>
      </c>
      <c r="AE156" s="146">
        <f>AtskaiteStatusuTabula!AG58</f>
        <v>5019349.8099999996</v>
      </c>
      <c r="AF156" s="29">
        <f>IFERROR((AE156/$F156),0)</f>
        <v>0.99637067845156635</v>
      </c>
      <c r="AG156" s="29">
        <f t="shared" ref="AG156" si="249">AF156-AJ156</f>
        <v>0</v>
      </c>
      <c r="AH156" s="29">
        <f t="shared" ref="AH156" si="250">IFERROR(((AE156-AI156)/AI156),0)</f>
        <v>0</v>
      </c>
      <c r="AI156" s="33">
        <v>5019349.8099999996</v>
      </c>
      <c r="AJ156" s="29">
        <v>0.99637067845156635</v>
      </c>
      <c r="AL156" s="55"/>
    </row>
    <row r="157" spans="1:38" ht="93.75" x14ac:dyDescent="0.3">
      <c r="A157" s="18" t="s">
        <v>1560</v>
      </c>
      <c r="B157" s="10" t="s">
        <v>1561</v>
      </c>
      <c r="C157" s="295" t="s">
        <v>1571</v>
      </c>
      <c r="D157" s="436" t="s">
        <v>1375</v>
      </c>
      <c r="E157" s="38" t="s">
        <v>349</v>
      </c>
      <c r="F157" s="33">
        <v>842372</v>
      </c>
      <c r="G157" s="33">
        <v>0</v>
      </c>
      <c r="H157" s="33">
        <v>842372</v>
      </c>
      <c r="J157" s="146">
        <f>AtskaiteStatusuTabula!L51</f>
        <v>842372</v>
      </c>
      <c r="K157" s="29">
        <f t="shared" ref="K157" si="251">J157/F157</f>
        <v>1</v>
      </c>
      <c r="L157" s="29">
        <f>K157-N157</f>
        <v>1</v>
      </c>
      <c r="M157" s="29">
        <f t="shared" ref="M157" si="252">IFERROR(((J157-O157)/O157),0)</f>
        <v>0</v>
      </c>
      <c r="N157" s="33">
        <f>IFERROR((VLOOKUP(A157,AtskaiteStatusuTabula!B:AI,17,0)),0)</f>
        <v>0</v>
      </c>
      <c r="O157" s="33">
        <v>842372</v>
      </c>
      <c r="P157" s="29">
        <v>1</v>
      </c>
      <c r="Q157" s="146">
        <f>AtskaiteStatusuTabula!T51</f>
        <v>842372</v>
      </c>
      <c r="R157" s="29">
        <f t="shared" ref="R157" si="253">Q157/F157</f>
        <v>1</v>
      </c>
      <c r="S157" s="29">
        <f t="shared" ref="S157" si="254">R157-W157</f>
        <v>0</v>
      </c>
      <c r="T157" s="29">
        <f t="shared" ref="T157" si="255">IFERROR(((Q157-V157)/V157),0)</f>
        <v>0</v>
      </c>
      <c r="U157" s="33">
        <f>IFERROR((VLOOKUP(A157,AtskaiteStatusuTabula!B:AI,23,0)),0)</f>
        <v>0</v>
      </c>
      <c r="V157" s="33">
        <v>842372</v>
      </c>
      <c r="W157" s="29">
        <v>1</v>
      </c>
      <c r="X157" s="146">
        <f>AtskaiteStatusuTabula!Z51</f>
        <v>842372</v>
      </c>
      <c r="Y157" s="29">
        <f t="shared" ref="Y157" si="256">X157/F157</f>
        <v>1</v>
      </c>
      <c r="Z157" s="29">
        <f t="shared" ref="Z157" si="257">Y157-AD157</f>
        <v>0</v>
      </c>
      <c r="AA157" s="29">
        <f t="shared" ref="AA157" si="258">IFERROR(((X157-AC157)/AC157),0)</f>
        <v>0</v>
      </c>
      <c r="AB157" s="33">
        <f>IFERROR((VLOOKUP(A157,AtskaiteStatusuTabula!B:AI,30,0)),0)</f>
        <v>0</v>
      </c>
      <c r="AC157" s="33">
        <v>842372</v>
      </c>
      <c r="AD157" s="29">
        <v>1</v>
      </c>
      <c r="AE157" s="146">
        <f>AtskaiteStatusuTabula!AG51</f>
        <v>500442.8</v>
      </c>
      <c r="AF157" s="29">
        <f>IFERROR((AE157/$F157),0)</f>
        <v>0.59408764773757916</v>
      </c>
      <c r="AG157" s="29">
        <f t="shared" ref="AG157" si="259">AF157-AJ157</f>
        <v>0</v>
      </c>
      <c r="AH157" s="29">
        <f t="shared" ref="AH157" si="260">IFERROR(((AE157-AI157)/AI157),0)</f>
        <v>0</v>
      </c>
      <c r="AI157" s="33">
        <v>500442.8</v>
      </c>
      <c r="AJ157" s="29">
        <v>0.59408764773757916</v>
      </c>
      <c r="AL157" s="55"/>
    </row>
    <row r="158" spans="1:38" ht="56.25" x14ac:dyDescent="0.3">
      <c r="A158" s="18" t="s">
        <v>1386</v>
      </c>
      <c r="B158" s="10" t="s">
        <v>1480</v>
      </c>
      <c r="C158" s="295" t="s">
        <v>1551</v>
      </c>
      <c r="D158" s="436" t="s">
        <v>1375</v>
      </c>
      <c r="E158" s="38" t="s">
        <v>348</v>
      </c>
      <c r="F158" s="33">
        <v>6741442</v>
      </c>
      <c r="G158" s="33">
        <v>0</v>
      </c>
      <c r="H158" s="33">
        <f>F158+G158</f>
        <v>6741442</v>
      </c>
      <c r="J158" s="146">
        <f>AtskaiteStatusuTabula!L24</f>
        <v>6665621.9199999999</v>
      </c>
      <c r="K158" s="29">
        <f t="shared" si="225"/>
        <v>0.98875313619845728</v>
      </c>
      <c r="L158" s="29">
        <f t="shared" ref="L158" si="261">K158-P158</f>
        <v>0</v>
      </c>
      <c r="M158" s="29">
        <f t="shared" ref="M158" si="262">IFERROR(((J158-O158)/O158),0)</f>
        <v>0</v>
      </c>
      <c r="N158" s="146">
        <f>AB158</f>
        <v>16</v>
      </c>
      <c r="O158" s="33">
        <v>6665621.9199999999</v>
      </c>
      <c r="P158" s="29">
        <v>0.98875313619845728</v>
      </c>
      <c r="Q158" s="146">
        <f>AtskaiteStatusuTabula!T24</f>
        <v>6665621.9199999999</v>
      </c>
      <c r="R158" s="29">
        <f t="shared" ref="R158" si="263">Q158/F158</f>
        <v>0.98875313619845728</v>
      </c>
      <c r="S158" s="29">
        <f t="shared" si="229"/>
        <v>0</v>
      </c>
      <c r="T158" s="29">
        <f t="shared" si="230"/>
        <v>0</v>
      </c>
      <c r="U158" s="146">
        <f>AB158</f>
        <v>16</v>
      </c>
      <c r="V158" s="33">
        <v>6665621.9199999999</v>
      </c>
      <c r="W158" s="29">
        <v>0.98875313619845728</v>
      </c>
      <c r="X158" s="146">
        <f>AtskaiteStatusuTabula!Z24</f>
        <v>6665621.9199999999</v>
      </c>
      <c r="Y158" s="29">
        <f t="shared" si="231"/>
        <v>0.98875313619845728</v>
      </c>
      <c r="Z158" s="29">
        <f t="shared" si="232"/>
        <v>0</v>
      </c>
      <c r="AA158" s="29">
        <f t="shared" si="233"/>
        <v>0</v>
      </c>
      <c r="AB158" s="146">
        <v>16</v>
      </c>
      <c r="AC158" s="33">
        <v>6665621.9199999999</v>
      </c>
      <c r="AD158" s="29">
        <v>0.98875313619845728</v>
      </c>
      <c r="AE158" s="146">
        <f>AtskaiteStatusuTabula!AG24</f>
        <v>6665621.9199999999</v>
      </c>
      <c r="AF158" s="29">
        <f t="shared" si="234"/>
        <v>0.98875313619845728</v>
      </c>
      <c r="AG158" s="29">
        <f t="shared" si="235"/>
        <v>0</v>
      </c>
      <c r="AH158" s="29">
        <f t="shared" si="236"/>
        <v>0</v>
      </c>
      <c r="AI158" s="33">
        <v>6665621.9199999999</v>
      </c>
      <c r="AJ158" s="29">
        <v>0.98875313619845728</v>
      </c>
      <c r="AL158" s="55"/>
    </row>
    <row r="159" spans="1:38" ht="37.5" x14ac:dyDescent="0.3">
      <c r="A159" s="18" t="s">
        <v>1387</v>
      </c>
      <c r="B159" s="10" t="str">
        <f>VLOOKUP(A159,saīsinājumi_LV_ENG!A:G,5,FALSE)</f>
        <v>Izglītības iestāžu digitalizācija</v>
      </c>
      <c r="C159" s="295" t="s">
        <v>445</v>
      </c>
      <c r="D159" s="38" t="s">
        <v>344</v>
      </c>
      <c r="E159" s="38" t="s">
        <v>348</v>
      </c>
      <c r="F159" s="33">
        <v>493576</v>
      </c>
      <c r="G159" s="33">
        <v>0</v>
      </c>
      <c r="H159" s="33">
        <f t="shared" si="224"/>
        <v>493576</v>
      </c>
      <c r="J159" s="33">
        <f>IFERROR((VLOOKUP(A159,AtskaiteStatusuTabula!B:AI,10,0)),0)</f>
        <v>0</v>
      </c>
      <c r="K159" s="29">
        <f t="shared" si="225"/>
        <v>0</v>
      </c>
      <c r="L159" s="29">
        <f t="shared" si="237"/>
        <v>0</v>
      </c>
      <c r="M159" s="29">
        <f t="shared" si="238"/>
        <v>0</v>
      </c>
      <c r="N159" s="33">
        <f>IFERROR((VLOOKUP(A159,AtskaiteStatusuTabula!B:AI,17,0)),0)</f>
        <v>0</v>
      </c>
      <c r="O159" s="33">
        <v>0</v>
      </c>
      <c r="P159" s="29">
        <v>0</v>
      </c>
      <c r="Q159" s="33">
        <f>IFERROR((VLOOKUP(A159,AtskaiteStatusuTabula!B:AI,18,0)),0)</f>
        <v>0</v>
      </c>
      <c r="R159" s="29">
        <f t="shared" si="228"/>
        <v>0</v>
      </c>
      <c r="S159" s="29">
        <f t="shared" si="229"/>
        <v>0</v>
      </c>
      <c r="T159" s="29">
        <f t="shared" si="230"/>
        <v>0</v>
      </c>
      <c r="U159" s="33">
        <f>IFERROR((VLOOKUP(A159,AtskaiteStatusuTabula!B:AI,23,0)),0)</f>
        <v>0</v>
      </c>
      <c r="V159" s="33">
        <v>0</v>
      </c>
      <c r="W159" s="29">
        <v>0</v>
      </c>
      <c r="X159" s="33">
        <f>IFERROR((VLOOKUP(A159,AtskaiteStatusuTabula!B:AI,24,0)),0)</f>
        <v>0</v>
      </c>
      <c r="Y159" s="29">
        <f t="shared" si="231"/>
        <v>0</v>
      </c>
      <c r="Z159" s="29">
        <f t="shared" si="232"/>
        <v>0</v>
      </c>
      <c r="AA159" s="29">
        <f t="shared" si="233"/>
        <v>0</v>
      </c>
      <c r="AB159" s="33">
        <f>IFERROR((VLOOKUP(A159,AtskaiteStatusuTabula!B:AI,30,0)),0)</f>
        <v>0</v>
      </c>
      <c r="AC159" s="33">
        <v>0</v>
      </c>
      <c r="AD159" s="29">
        <v>0</v>
      </c>
      <c r="AE159" s="33">
        <f>IFERROR((VLOOKUP(A159,AtskaiteStatusuTabula!B:AI,31,0)),0)</f>
        <v>0</v>
      </c>
      <c r="AF159" s="29">
        <f t="shared" si="234"/>
        <v>0</v>
      </c>
      <c r="AG159" s="29">
        <f t="shared" si="235"/>
        <v>0</v>
      </c>
      <c r="AH159" s="29">
        <f t="shared" si="236"/>
        <v>0</v>
      </c>
      <c r="AI159" s="33">
        <v>0</v>
      </c>
      <c r="AJ159" s="29">
        <v>0</v>
      </c>
      <c r="AL159" s="55">
        <f t="shared" si="199"/>
        <v>0</v>
      </c>
    </row>
    <row r="160" spans="1:38" ht="37.5" x14ac:dyDescent="0.3">
      <c r="A160" s="18" t="s">
        <v>1387</v>
      </c>
      <c r="B160" s="10" t="str">
        <f>VLOOKUP(A160,saīsinājumi_LV_ENG!A:G,5,FALSE)</f>
        <v>Izglītības iestāžu digitalizācija</v>
      </c>
      <c r="C160" s="295" t="s">
        <v>445</v>
      </c>
      <c r="D160" s="436" t="s">
        <v>1375</v>
      </c>
      <c r="E160" s="38" t="s">
        <v>348</v>
      </c>
      <c r="F160" s="33">
        <v>8895441</v>
      </c>
      <c r="G160" s="33">
        <v>0</v>
      </c>
      <c r="H160" s="33">
        <f t="shared" ref="H160" si="264">F160+G160</f>
        <v>8895441</v>
      </c>
      <c r="J160" s="146">
        <f>AtskaiteStatusuTabula!L151</f>
        <v>8895441</v>
      </c>
      <c r="K160" s="29">
        <f t="shared" si="225"/>
        <v>1</v>
      </c>
      <c r="L160" s="29">
        <f t="shared" ref="L160" si="265">K160-P160</f>
        <v>0</v>
      </c>
      <c r="M160" s="29">
        <f t="shared" ref="M160" si="266">IFERROR(((J160-O160)/O160),0)</f>
        <v>0</v>
      </c>
      <c r="N160" s="33">
        <f>IFERROR((VLOOKUP(A160,AtskaiteStatusuTabula!B:AI,17,0)),0)</f>
        <v>0</v>
      </c>
      <c r="O160" s="33">
        <v>8895441</v>
      </c>
      <c r="P160" s="29">
        <v>1</v>
      </c>
      <c r="Q160" s="146">
        <f>AtskaiteStatusuTabula!T151</f>
        <v>8895441</v>
      </c>
      <c r="R160" s="29">
        <f t="shared" si="228"/>
        <v>1</v>
      </c>
      <c r="S160" s="29">
        <f t="shared" si="229"/>
        <v>0</v>
      </c>
      <c r="T160" s="29">
        <f t="shared" si="230"/>
        <v>0</v>
      </c>
      <c r="U160" s="33">
        <f>IFERROR((VLOOKUP(A160,AtskaiteStatusuTabula!B:AI,23,0)),0)</f>
        <v>0</v>
      </c>
      <c r="V160" s="33">
        <v>8895441</v>
      </c>
      <c r="W160" s="29">
        <v>1</v>
      </c>
      <c r="X160" s="146">
        <f>AtskaiteStatusuTabula!Z151</f>
        <v>8895441</v>
      </c>
      <c r="Y160" s="29">
        <f t="shared" si="231"/>
        <v>1</v>
      </c>
      <c r="Z160" s="29">
        <f t="shared" si="232"/>
        <v>0</v>
      </c>
      <c r="AA160" s="29">
        <f t="shared" si="233"/>
        <v>0</v>
      </c>
      <c r="AB160" s="33">
        <f>IFERROR((VLOOKUP(A160,AtskaiteStatusuTabula!B:AI,30,0)),0)</f>
        <v>0</v>
      </c>
      <c r="AC160" s="33">
        <v>8895441</v>
      </c>
      <c r="AD160" s="29">
        <v>1</v>
      </c>
      <c r="AE160" s="146">
        <f>AtskaiteStatusuTabula!AG151</f>
        <v>8895441</v>
      </c>
      <c r="AF160" s="29">
        <f t="shared" si="234"/>
        <v>1</v>
      </c>
      <c r="AG160" s="29">
        <f t="shared" si="235"/>
        <v>0</v>
      </c>
      <c r="AH160" s="29">
        <f t="shared" si="236"/>
        <v>0</v>
      </c>
      <c r="AI160" s="33">
        <v>8895441</v>
      </c>
      <c r="AJ160" s="29">
        <v>1</v>
      </c>
      <c r="AL160" s="55">
        <f t="shared" si="199"/>
        <v>0</v>
      </c>
    </row>
    <row r="161" spans="1:38" ht="37.5" x14ac:dyDescent="0.3">
      <c r="A161" s="18" t="s">
        <v>1377</v>
      </c>
      <c r="B161" s="10" t="str">
        <f>VLOOKUP(A161,saīsinājumi_LV_ENG!A:G,5,FALSE)</f>
        <v>Pašvaldību infrastruktūra energoefektivitāte</v>
      </c>
      <c r="C161" s="295" t="s">
        <v>267</v>
      </c>
      <c r="D161" s="42" t="s">
        <v>1375</v>
      </c>
      <c r="E161" s="38" t="s">
        <v>350</v>
      </c>
      <c r="F161" s="33">
        <v>28808246</v>
      </c>
      <c r="G161" s="33">
        <v>0</v>
      </c>
      <c r="H161" s="33">
        <f t="shared" si="224"/>
        <v>28808246</v>
      </c>
      <c r="I161" s="33"/>
      <c r="J161" s="146">
        <f>AtskaiteStatusuTabula!L74</f>
        <v>24725187.969999999</v>
      </c>
      <c r="K161" s="29">
        <f t="shared" si="225"/>
        <v>0.85826773244021859</v>
      </c>
      <c r="L161" s="29">
        <f t="shared" si="237"/>
        <v>0</v>
      </c>
      <c r="M161" s="29">
        <f t="shared" si="238"/>
        <v>0</v>
      </c>
      <c r="N161" s="146">
        <f>AB161</f>
        <v>58</v>
      </c>
      <c r="O161" s="33">
        <v>24725187.969999999</v>
      </c>
      <c r="P161" s="29">
        <v>0.85826773244021859</v>
      </c>
      <c r="Q161" s="146">
        <f>AtskaiteStatusuTabula!T74</f>
        <v>24725187.969999999</v>
      </c>
      <c r="R161" s="29">
        <f t="shared" si="228"/>
        <v>0.85826773244021859</v>
      </c>
      <c r="S161" s="29">
        <f t="shared" si="229"/>
        <v>0</v>
      </c>
      <c r="T161" s="29">
        <f t="shared" si="230"/>
        <v>0</v>
      </c>
      <c r="U161" s="146">
        <f>AB161</f>
        <v>58</v>
      </c>
      <c r="V161" s="33">
        <v>24725187.969999999</v>
      </c>
      <c r="W161" s="29">
        <v>0.85826773244021859</v>
      </c>
      <c r="X161" s="146">
        <f>AtskaiteStatusuTabula!Z74</f>
        <v>24725187.969999999</v>
      </c>
      <c r="Y161" s="29">
        <f t="shared" si="231"/>
        <v>0.85826773244021859</v>
      </c>
      <c r="Z161" s="29">
        <f t="shared" si="232"/>
        <v>0</v>
      </c>
      <c r="AA161" s="29">
        <f t="shared" si="233"/>
        <v>0</v>
      </c>
      <c r="AB161" s="146">
        <v>58</v>
      </c>
      <c r="AC161" s="33">
        <v>24725187.969999999</v>
      </c>
      <c r="AD161" s="29">
        <v>0.85826773244021859</v>
      </c>
      <c r="AE161" s="146">
        <f>AtskaiteStatusuTabula!AG74</f>
        <v>24774480.260000002</v>
      </c>
      <c r="AF161" s="29">
        <f t="shared" si="234"/>
        <v>0.85997878038114506</v>
      </c>
      <c r="AG161" s="29">
        <f t="shared" si="235"/>
        <v>0</v>
      </c>
      <c r="AH161" s="29">
        <f t="shared" si="236"/>
        <v>0</v>
      </c>
      <c r="AI161" s="33">
        <v>24774480.260000002</v>
      </c>
      <c r="AJ161" s="29">
        <v>0.85997878038114506</v>
      </c>
      <c r="AL161" s="55">
        <f t="shared" si="199"/>
        <v>0</v>
      </c>
    </row>
    <row r="162" spans="1:38" ht="56.25" x14ac:dyDescent="0.3">
      <c r="A162" s="18" t="s">
        <v>1389</v>
      </c>
      <c r="B162" s="10" t="str">
        <f>VLOOKUP(A162,saīsinājumi_LV_ENG!A:G,5,FALSE)</f>
        <v>Teritoriju revitalizācija uzņēmējdarbības veicināšanai pašvaldībās</v>
      </c>
      <c r="C162" s="295" t="s">
        <v>283</v>
      </c>
      <c r="D162" s="42" t="s">
        <v>1375</v>
      </c>
      <c r="E162" s="38" t="s">
        <v>350</v>
      </c>
      <c r="F162" s="33">
        <v>24165500</v>
      </c>
      <c r="G162" s="33">
        <v>0</v>
      </c>
      <c r="H162" s="33">
        <f t="shared" si="224"/>
        <v>24165500</v>
      </c>
      <c r="I162" s="33"/>
      <c r="J162" s="146">
        <f>AtskaiteStatusuTabula!L107</f>
        <v>14698287.470000001</v>
      </c>
      <c r="K162" s="29">
        <f t="shared" si="216"/>
        <v>0.60823436179677648</v>
      </c>
      <c r="L162" s="29">
        <f t="shared" si="237"/>
        <v>0</v>
      </c>
      <c r="M162" s="29">
        <f t="shared" si="238"/>
        <v>0</v>
      </c>
      <c r="N162" s="146">
        <f>AB162</f>
        <v>14</v>
      </c>
      <c r="O162" s="146">
        <v>14698287.470000001</v>
      </c>
      <c r="P162" s="435">
        <v>0.60823436179677648</v>
      </c>
      <c r="Q162" s="146">
        <f>AtskaiteStatusuTabula!T107</f>
        <v>14698287.470000001</v>
      </c>
      <c r="R162" s="29">
        <f t="shared" ref="R162:R164" si="267">Q162/F162</f>
        <v>0.60823436179677648</v>
      </c>
      <c r="S162" s="29">
        <f t="shared" ref="S162:S165" si="268">R162-W162</f>
        <v>0</v>
      </c>
      <c r="T162" s="29">
        <f t="shared" si="217"/>
        <v>0</v>
      </c>
      <c r="U162" s="146">
        <f>AB162</f>
        <v>14</v>
      </c>
      <c r="V162" s="146">
        <v>14698287.470000001</v>
      </c>
      <c r="W162" s="435">
        <v>0.60823436179677648</v>
      </c>
      <c r="X162" s="146">
        <f>AtskaiteStatusuTabula!Z107</f>
        <v>14698287.470000001</v>
      </c>
      <c r="Y162" s="29">
        <f t="shared" si="218"/>
        <v>0.60823436179677648</v>
      </c>
      <c r="Z162" s="29">
        <f t="shared" si="219"/>
        <v>0</v>
      </c>
      <c r="AA162" s="29">
        <f t="shared" si="220"/>
        <v>0</v>
      </c>
      <c r="AB162" s="146">
        <v>14</v>
      </c>
      <c r="AC162" s="146">
        <v>14698287.470000001</v>
      </c>
      <c r="AD162" s="435">
        <v>0.60823436179677648</v>
      </c>
      <c r="AE162" s="146">
        <f>AtskaiteStatusuTabula!AG107</f>
        <v>14647502.24</v>
      </c>
      <c r="AF162" s="29">
        <f t="shared" si="221"/>
        <v>0.60613280254908863</v>
      </c>
      <c r="AG162" s="29">
        <f t="shared" si="222"/>
        <v>0</v>
      </c>
      <c r="AH162" s="29">
        <f t="shared" si="223"/>
        <v>0</v>
      </c>
      <c r="AI162" s="33">
        <v>14647502.24</v>
      </c>
      <c r="AJ162" s="29">
        <v>0.60613280254908863</v>
      </c>
      <c r="AL162" s="55">
        <f t="shared" si="199"/>
        <v>0</v>
      </c>
    </row>
    <row r="163" spans="1:38" ht="37.5" x14ac:dyDescent="0.3">
      <c r="A163" s="448" t="s">
        <v>1373</v>
      </c>
      <c r="B163" s="10" t="str">
        <f>VLOOKUP(A163,saīsinājumi_LV_ENG!A:G,5,FALSE)</f>
        <v>Atveseļošanas pasākumi kultūras jomā</v>
      </c>
      <c r="C163" s="465"/>
      <c r="D163" s="42" t="s">
        <v>1375</v>
      </c>
      <c r="E163" s="38" t="s">
        <v>355</v>
      </c>
      <c r="F163" s="33">
        <v>10108455</v>
      </c>
      <c r="G163" s="33">
        <v>0</v>
      </c>
      <c r="H163" s="33">
        <f t="shared" si="224"/>
        <v>10108455</v>
      </c>
      <c r="I163" s="33"/>
      <c r="J163" s="33">
        <f>IFERROR((VLOOKUP(A163,AtskaiteStatusuTabula!B:AI,10,0)),0)</f>
        <v>9741588.3200000003</v>
      </c>
      <c r="K163" s="29">
        <f t="shared" si="216"/>
        <v>0.96370694829229597</v>
      </c>
      <c r="L163" s="29">
        <f t="shared" si="237"/>
        <v>0</v>
      </c>
      <c r="M163" s="29">
        <f t="shared" si="238"/>
        <v>0</v>
      </c>
      <c r="N163" s="33">
        <f>IFERROR((VLOOKUP(A163,AtskaiteStatusuTabula!B:AI,17,0)),0)</f>
        <v>37</v>
      </c>
      <c r="O163" s="33">
        <v>9741588.3200000003</v>
      </c>
      <c r="P163" s="29">
        <v>0.96370694829229597</v>
      </c>
      <c r="Q163" s="33">
        <f>IFERROR((VLOOKUP(A163,AtskaiteStatusuTabula!B:AI,18,0)),0)</f>
        <v>9741588.3200000003</v>
      </c>
      <c r="R163" s="29">
        <f t="shared" si="267"/>
        <v>0.96370694829229597</v>
      </c>
      <c r="S163" s="29">
        <f>R163-W163</f>
        <v>0</v>
      </c>
      <c r="T163" s="29">
        <f t="shared" ref="T163" si="269">IFERROR(((Q163-V163)/V163),0)</f>
        <v>0</v>
      </c>
      <c r="U163" s="33">
        <f>IFERROR((VLOOKUP(A163,AtskaiteStatusuTabula!B:AI,23,0)),0)</f>
        <v>37</v>
      </c>
      <c r="V163" s="33">
        <v>9741588.3200000003</v>
      </c>
      <c r="W163" s="29">
        <v>0.96370694829229597</v>
      </c>
      <c r="X163" s="33">
        <f>IFERROR((VLOOKUP(A163,AtskaiteStatusuTabula!B:AI,24,0)),0)</f>
        <v>9741588.3200000003</v>
      </c>
      <c r="Y163" s="29">
        <f t="shared" ref="Y163" si="270">X163/F163</f>
        <v>0.96370694829229597</v>
      </c>
      <c r="Z163" s="29">
        <f t="shared" ref="Z163" si="271">Y163-AD163</f>
        <v>0</v>
      </c>
      <c r="AA163" s="29">
        <f t="shared" ref="AA163" si="272">IFERROR(((X163-AC163)/AC163),0)</f>
        <v>0</v>
      </c>
      <c r="AB163" s="33">
        <f>IFERROR((VLOOKUP(A163,AtskaiteStatusuTabula!B:AI,30,0)),0)</f>
        <v>37</v>
      </c>
      <c r="AC163" s="33">
        <v>9741588.3200000003</v>
      </c>
      <c r="AD163" s="29">
        <v>0.96370694829229597</v>
      </c>
      <c r="AE163" s="33">
        <f>IFERROR((VLOOKUP(A163,AtskaiteStatusuTabula!B:AI,31,0)),0)</f>
        <v>9741588.3200000003</v>
      </c>
      <c r="AF163" s="29">
        <f t="shared" ref="AF163" si="273">IFERROR((AE163/$F163),0)</f>
        <v>0.96370694829229597</v>
      </c>
      <c r="AG163" s="29">
        <f t="shared" ref="AG163" si="274">AF163-AJ163</f>
        <v>0</v>
      </c>
      <c r="AH163" s="29">
        <f t="shared" ref="AH163" si="275">IFERROR(((AE163-AI163)/AI163),0)</f>
        <v>0</v>
      </c>
      <c r="AI163" s="33">
        <v>9741588.3200000003</v>
      </c>
      <c r="AJ163" s="29">
        <v>0.96370694829229597</v>
      </c>
      <c r="AL163" s="55">
        <f t="shared" si="199"/>
        <v>0</v>
      </c>
    </row>
    <row r="164" spans="1:38" ht="37.5" x14ac:dyDescent="0.3">
      <c r="A164" s="18" t="s">
        <v>1515</v>
      </c>
      <c r="B164" s="10" t="str">
        <f>VLOOKUP(A164,saīsinājumi_LV_ENG!A:G,5,FALSE)</f>
        <v>Atveseļošanas pasākumi veselības nozarē (ERAF)</v>
      </c>
      <c r="C164" s="295" t="s">
        <v>236</v>
      </c>
      <c r="D164" s="42" t="s">
        <v>1375</v>
      </c>
      <c r="E164" s="38" t="s">
        <v>352</v>
      </c>
      <c r="F164" s="425">
        <v>51573785</v>
      </c>
      <c r="G164" s="33">
        <v>0</v>
      </c>
      <c r="H164" s="33">
        <f t="shared" si="224"/>
        <v>51573785</v>
      </c>
      <c r="I164" s="33"/>
      <c r="J164" s="146">
        <f>AtskaiteStatusuTabula!L212</f>
        <v>49678760.5</v>
      </c>
      <c r="K164" s="29">
        <f t="shared" si="216"/>
        <v>0.96325605149980753</v>
      </c>
      <c r="L164" s="29">
        <f t="shared" si="237"/>
        <v>0</v>
      </c>
      <c r="M164" s="29">
        <f t="shared" si="238"/>
        <v>0</v>
      </c>
      <c r="N164" s="146">
        <f>AB164</f>
        <v>1</v>
      </c>
      <c r="O164" s="33">
        <v>49678760.5</v>
      </c>
      <c r="P164" s="29">
        <v>0.96325605149980753</v>
      </c>
      <c r="Q164" s="146">
        <f>AtskaiteStatusuTabula!T212</f>
        <v>49678760.5</v>
      </c>
      <c r="R164" s="29">
        <f t="shared" si="267"/>
        <v>0.96325605149980753</v>
      </c>
      <c r="S164" s="29">
        <f t="shared" si="268"/>
        <v>0</v>
      </c>
      <c r="T164" s="29">
        <f t="shared" si="217"/>
        <v>0</v>
      </c>
      <c r="U164" s="146">
        <f>AB164</f>
        <v>1</v>
      </c>
      <c r="V164" s="33">
        <v>49678760.5</v>
      </c>
      <c r="W164" s="29">
        <v>0.96325605149980753</v>
      </c>
      <c r="X164" s="146">
        <f>AtskaiteStatusuTabula!Z212</f>
        <v>49678760.5</v>
      </c>
      <c r="Y164" s="29">
        <f t="shared" si="218"/>
        <v>0.96325605149980753</v>
      </c>
      <c r="Z164" s="29">
        <f t="shared" si="219"/>
        <v>0</v>
      </c>
      <c r="AA164" s="29">
        <f t="shared" si="220"/>
        <v>0</v>
      </c>
      <c r="AB164" s="146">
        <v>1</v>
      </c>
      <c r="AC164" s="33">
        <v>49678760.5</v>
      </c>
      <c r="AD164" s="29">
        <v>0.96325605149980753</v>
      </c>
      <c r="AE164" s="146">
        <f>AtskaiteStatusuTabula!AG212</f>
        <v>46399851.5</v>
      </c>
      <c r="AF164" s="29">
        <f t="shared" si="221"/>
        <v>0.89967900358680286</v>
      </c>
      <c r="AG164" s="29">
        <f t="shared" si="222"/>
        <v>0</v>
      </c>
      <c r="AH164" s="29">
        <f t="shared" si="223"/>
        <v>0</v>
      </c>
      <c r="AI164" s="33">
        <v>46399851.5</v>
      </c>
      <c r="AJ164" s="29">
        <v>0.89967900358680286</v>
      </c>
      <c r="AL164" s="55">
        <f t="shared" si="199"/>
        <v>0</v>
      </c>
    </row>
    <row r="165" spans="1:38" ht="75" x14ac:dyDescent="0.3">
      <c r="A165" s="18" t="s">
        <v>1516</v>
      </c>
      <c r="B165" s="10" t="s">
        <v>1548</v>
      </c>
      <c r="C165" s="295" t="s">
        <v>1564</v>
      </c>
      <c r="D165" s="42" t="s">
        <v>1375</v>
      </c>
      <c r="E165" s="38" t="s">
        <v>349</v>
      </c>
      <c r="F165" s="425">
        <f>11978265-1263557</f>
        <v>10714708</v>
      </c>
      <c r="G165" s="33">
        <v>0</v>
      </c>
      <c r="H165" s="33">
        <f t="shared" si="224"/>
        <v>10714708</v>
      </c>
      <c r="I165" s="426"/>
      <c r="J165" s="146">
        <f>AtskaiteStatusuTabula!L35+AtskaiteStatusuTabula!L37</f>
        <v>1821682.11</v>
      </c>
      <c r="K165" s="29">
        <f t="shared" ref="K165" si="276">J165/F165</f>
        <v>0.17001696266477817</v>
      </c>
      <c r="L165" s="29">
        <f t="shared" ref="L165" si="277">K165-P165</f>
        <v>0</v>
      </c>
      <c r="M165" s="29">
        <f t="shared" ref="M165" si="278">IFERROR(((J165-O165)/O165),0)</f>
        <v>0</v>
      </c>
      <c r="N165" s="33">
        <f>IFERROR((VLOOKUP(A165,AtskaiteStatusuTabula!B:AI,17,0)),0)</f>
        <v>0</v>
      </c>
      <c r="O165" s="33">
        <v>1821682.11</v>
      </c>
      <c r="P165" s="29">
        <v>0.17001696266477817</v>
      </c>
      <c r="Q165" s="146">
        <f>AtskaiteStatusuTabula!T35+AtskaiteStatusuTabula!T37</f>
        <v>1821682.11</v>
      </c>
      <c r="R165" s="29">
        <f t="shared" ref="R165" si="279">Q165/F165</f>
        <v>0.17001696266477817</v>
      </c>
      <c r="S165" s="29">
        <f t="shared" si="268"/>
        <v>0</v>
      </c>
      <c r="T165" s="29">
        <f t="shared" si="217"/>
        <v>0</v>
      </c>
      <c r="U165" s="33">
        <f>IFERROR((VLOOKUP(A165,AtskaiteStatusuTabula!B:AI,23,0)),0)</f>
        <v>0</v>
      </c>
      <c r="V165" s="426">
        <v>1821682.11</v>
      </c>
      <c r="W165" s="429">
        <v>0.17001696266477817</v>
      </c>
      <c r="X165" s="146">
        <f>AtskaiteStatusuTabula!Z35+AtskaiteStatusuTabula!Z37</f>
        <v>1821682.11</v>
      </c>
      <c r="Y165" s="29">
        <f t="shared" si="218"/>
        <v>0.17001696266477817</v>
      </c>
      <c r="Z165" s="29">
        <f t="shared" si="219"/>
        <v>0</v>
      </c>
      <c r="AA165" s="29">
        <f t="shared" si="220"/>
        <v>0</v>
      </c>
      <c r="AB165" s="33">
        <f>IFERROR((VLOOKUP(A165,AtskaiteStatusuTabula!B:AI,30,0)),0)</f>
        <v>0</v>
      </c>
      <c r="AC165" s="33">
        <v>1821682.11</v>
      </c>
      <c r="AD165" s="29">
        <v>0.17001696266477817</v>
      </c>
      <c r="AE165" s="146">
        <f>AtskaiteStatusuTabula!AG35+AtskaiteStatusuTabula!AG37</f>
        <v>3397061.36</v>
      </c>
      <c r="AF165" s="29">
        <f t="shared" si="221"/>
        <v>0.3170465644047416</v>
      </c>
      <c r="AG165" s="29">
        <f t="shared" si="222"/>
        <v>0</v>
      </c>
      <c r="AH165" s="29">
        <f t="shared" si="223"/>
        <v>0</v>
      </c>
      <c r="AI165" s="33">
        <v>3397061.36</v>
      </c>
      <c r="AJ165" s="29">
        <v>0.3170465644047416</v>
      </c>
      <c r="AL165" s="55"/>
    </row>
    <row r="166" spans="1:38" ht="56.25" x14ac:dyDescent="0.3">
      <c r="A166" s="19" t="s">
        <v>1500</v>
      </c>
      <c r="B166" s="8" t="str">
        <f>VLOOKUP(A166,saīsinājumi_LV_ENG!A:G,5,FALSE)</f>
        <v>Pasākumi Covid-19 pandēmijas seku mazināšanai (ESF)</v>
      </c>
      <c r="C166" s="8"/>
      <c r="D166" s="40"/>
      <c r="E166" s="40"/>
      <c r="F166" s="35">
        <f>SUM(F167:F170)</f>
        <v>22489087</v>
      </c>
      <c r="G166" s="35">
        <f>SUM(G167:G170)</f>
        <v>0</v>
      </c>
      <c r="H166" s="35">
        <f>SUM(H167:H170)</f>
        <v>22489087</v>
      </c>
      <c r="I166" s="35">
        <f>SUM(I167:I170)</f>
        <v>0</v>
      </c>
      <c r="J166" s="35">
        <f>SUM(J167:J170)</f>
        <v>21467834.219999999</v>
      </c>
      <c r="K166" s="35">
        <f>J166/F166</f>
        <v>0.95458896219308498</v>
      </c>
      <c r="L166" s="35">
        <f>K166-P166</f>
        <v>0</v>
      </c>
      <c r="M166" s="35">
        <f>IFERROR(((J166-O166)/O166),0)</f>
        <v>0</v>
      </c>
      <c r="N166" s="35">
        <f>SUM(N167:N170)</f>
        <v>4</v>
      </c>
      <c r="O166" s="35">
        <v>21467834.219999999</v>
      </c>
      <c r="P166" s="35">
        <v>0.95458896219308498</v>
      </c>
      <c r="Q166" s="35">
        <f>SUM(Q167:Q170)</f>
        <v>21467834.219999999</v>
      </c>
      <c r="R166" s="467">
        <f>Q166/F166</f>
        <v>0.95458896219308498</v>
      </c>
      <c r="S166" s="467">
        <f>R166-W166</f>
        <v>0</v>
      </c>
      <c r="T166" s="467">
        <f>IFERROR(((Q166-V166)/V166),0)</f>
        <v>0</v>
      </c>
      <c r="U166" s="35">
        <f>SUM(U167:U170)</f>
        <v>4</v>
      </c>
      <c r="V166" s="35">
        <v>21467834.219999999</v>
      </c>
      <c r="W166" s="35">
        <v>0.95458896219308498</v>
      </c>
      <c r="X166" s="35">
        <f>SUM(X167:X170)</f>
        <v>21467834.219999999</v>
      </c>
      <c r="Y166" s="35">
        <f t="shared" si="218"/>
        <v>0.95458896219308498</v>
      </c>
      <c r="Z166" s="35">
        <f t="shared" si="219"/>
        <v>0</v>
      </c>
      <c r="AA166" s="35">
        <f t="shared" si="220"/>
        <v>0</v>
      </c>
      <c r="AB166" s="35">
        <f>SUM(AB167:AB170)</f>
        <v>4</v>
      </c>
      <c r="AC166" s="35">
        <v>21467834.219999999</v>
      </c>
      <c r="AD166" s="35">
        <v>0.95458896219308498</v>
      </c>
      <c r="AE166" s="35">
        <f>SUM(AE167:AE170)</f>
        <v>21128869.52</v>
      </c>
      <c r="AF166" s="35">
        <f t="shared" si="221"/>
        <v>0.93951655396237288</v>
      </c>
      <c r="AG166" s="35">
        <f t="shared" si="222"/>
        <v>0</v>
      </c>
      <c r="AH166" s="35">
        <f t="shared" si="223"/>
        <v>0</v>
      </c>
      <c r="AI166" s="35">
        <v>21128869.52</v>
      </c>
      <c r="AJ166" s="31">
        <v>0.93951655396237288</v>
      </c>
      <c r="AL166" s="55">
        <f t="shared" si="199"/>
        <v>0</v>
      </c>
    </row>
    <row r="167" spans="1:38" ht="56.25" x14ac:dyDescent="0.3">
      <c r="A167" s="18" t="s">
        <v>1390</v>
      </c>
      <c r="B167" s="10" t="str">
        <f>VLOOKUP(A167,saīsinājumi_LV_ENG!A:G,5,FALSE)</f>
        <v>Efektīvas pārvaldības nodrošināšana augstskolās</v>
      </c>
      <c r="C167" s="466" t="s">
        <v>1572</v>
      </c>
      <c r="D167" s="42" t="s">
        <v>1525</v>
      </c>
      <c r="E167" s="38" t="s">
        <v>348</v>
      </c>
      <c r="F167" s="425">
        <v>5627882</v>
      </c>
      <c r="G167" s="425">
        <v>0</v>
      </c>
      <c r="H167" s="425">
        <v>5627882</v>
      </c>
      <c r="I167" s="35"/>
      <c r="J167" s="146">
        <f>AtskaiteStatusuTabula!L157</f>
        <v>4874489.05</v>
      </c>
      <c r="K167" s="29">
        <f>J167/F167</f>
        <v>0.8661320635365134</v>
      </c>
      <c r="L167" s="29">
        <f t="shared" ref="L167" si="280">K167-P167</f>
        <v>0</v>
      </c>
      <c r="M167" s="29">
        <f t="shared" ref="M167" si="281">IFERROR(((J167-O167)/O167),0)</f>
        <v>0</v>
      </c>
      <c r="N167" s="146">
        <f>AB167</f>
        <v>4</v>
      </c>
      <c r="O167" s="33">
        <v>4874489.05</v>
      </c>
      <c r="P167" s="29">
        <v>0.8661320635365134</v>
      </c>
      <c r="Q167" s="146">
        <f>AtskaiteStatusuTabula!T157</f>
        <v>4874489.05</v>
      </c>
      <c r="R167" s="29">
        <f>Q167/F167</f>
        <v>0.8661320635365134</v>
      </c>
      <c r="S167" s="29">
        <f t="shared" ref="S167" si="282">R167-W167</f>
        <v>0</v>
      </c>
      <c r="T167" s="29">
        <f t="shared" ref="T167" si="283">IFERROR(((Q167-V167)/V167),0)</f>
        <v>0</v>
      </c>
      <c r="U167" s="146">
        <f>AB167</f>
        <v>4</v>
      </c>
      <c r="V167" s="33">
        <v>4874489.05</v>
      </c>
      <c r="W167" s="29">
        <v>0.8661320635365134</v>
      </c>
      <c r="X167" s="146">
        <f>AtskaiteStatusuTabula!Z157</f>
        <v>4874489.05</v>
      </c>
      <c r="Y167" s="29">
        <f>X167/F167</f>
        <v>0.8661320635365134</v>
      </c>
      <c r="Z167" s="29">
        <f t="shared" ref="Z167" si="284">Y167-AD167</f>
        <v>0</v>
      </c>
      <c r="AA167" s="29">
        <f t="shared" ref="AA167" si="285">IFERROR(((X167-AC167)/AC167),0)</f>
        <v>0</v>
      </c>
      <c r="AB167" s="146">
        <v>4</v>
      </c>
      <c r="AC167" s="33">
        <v>4874489.05</v>
      </c>
      <c r="AD167" s="29">
        <v>0.8661320635365134</v>
      </c>
      <c r="AE167" s="146">
        <f>AtskaiteStatusuTabula!AG157</f>
        <v>4535524.3499999996</v>
      </c>
      <c r="AF167" s="29">
        <f>IFERROR((AE167/$F167),0)</f>
        <v>0.80590253136082091</v>
      </c>
      <c r="AG167" s="29">
        <f t="shared" ref="AG167" si="286">AF167-AJ167</f>
        <v>0</v>
      </c>
      <c r="AH167" s="29">
        <f t="shared" ref="AH167" si="287">IFERROR(((AE167-AI167)/AI167),0)</f>
        <v>0</v>
      </c>
      <c r="AI167" s="437">
        <v>4535524.3499999996</v>
      </c>
      <c r="AJ167" s="438">
        <v>0.80590253136082091</v>
      </c>
      <c r="AL167" s="55">
        <f>IF(X167&gt;(F167+G167),F167+G167-X167,0)</f>
        <v>0</v>
      </c>
    </row>
    <row r="168" spans="1:38" ht="37.5" x14ac:dyDescent="0.3">
      <c r="A168" s="18" t="s">
        <v>1391</v>
      </c>
      <c r="B168" s="10" t="str">
        <f>VLOOKUP(A168,saīsinājumi_LV_ENG!A:G,5,FALSE)</f>
        <v>Atbalsts NEET jauniešiem</v>
      </c>
      <c r="C168" s="295" t="s">
        <v>1530</v>
      </c>
      <c r="D168" s="42" t="s">
        <v>1525</v>
      </c>
      <c r="E168" s="38" t="s">
        <v>348</v>
      </c>
      <c r="F168" s="425">
        <v>1074024</v>
      </c>
      <c r="G168" s="33">
        <v>0</v>
      </c>
      <c r="H168" s="33">
        <f>F168+G168</f>
        <v>1074024</v>
      </c>
      <c r="I168" s="33"/>
      <c r="J168" s="146">
        <f>AtskaiteStatusuTabula!L166</f>
        <v>1063173.68</v>
      </c>
      <c r="K168" s="29">
        <f>J168/F168</f>
        <v>0.989897506945841</v>
      </c>
      <c r="L168" s="29">
        <f t="shared" ref="L168" si="288">K168-P168</f>
        <v>0</v>
      </c>
      <c r="M168" s="29">
        <f t="shared" ref="M168" si="289">IFERROR(((J168-O168)/O168),0)</f>
        <v>0</v>
      </c>
      <c r="N168" s="33">
        <f>IFERROR((VLOOKUP(A168,AtskaiteStatusuTabula!B:AI,17,0)),0)</f>
        <v>0</v>
      </c>
      <c r="O168" s="33">
        <v>1063173.68</v>
      </c>
      <c r="P168" s="29">
        <v>0.989897506945841</v>
      </c>
      <c r="Q168" s="146">
        <f>AtskaiteStatusuTabula!T166</f>
        <v>1063173.68</v>
      </c>
      <c r="R168" s="29">
        <f>Q168/F168</f>
        <v>0.989897506945841</v>
      </c>
      <c r="S168" s="29">
        <f t="shared" ref="S168" si="290">R168-W168</f>
        <v>0</v>
      </c>
      <c r="T168" s="29">
        <f t="shared" ref="T168" si="291">IFERROR(((Q168-V168)/V168),0)</f>
        <v>0</v>
      </c>
      <c r="U168" s="33">
        <f>IFERROR((VLOOKUP(A168,AtskaiteStatusuTabula!B:AI,23,0)),0)</f>
        <v>0</v>
      </c>
      <c r="V168" s="33">
        <v>1063173.68</v>
      </c>
      <c r="W168" s="29">
        <v>0.989897506945841</v>
      </c>
      <c r="X168" s="146">
        <f>AtskaiteStatusuTabula!Z166</f>
        <v>1063173.68</v>
      </c>
      <c r="Y168" s="29">
        <f>X168/F168</f>
        <v>0.989897506945841</v>
      </c>
      <c r="Z168" s="29">
        <f t="shared" ref="Z168" si="292">Y168-AD168</f>
        <v>0</v>
      </c>
      <c r="AA168" s="29">
        <f t="shared" ref="AA168" si="293">IFERROR(((X168-AC168)/AC168),0)</f>
        <v>0</v>
      </c>
      <c r="AB168" s="33">
        <f>IFERROR((VLOOKUP(A168,AtskaiteStatusuTabula!B:AI,30,0)),0)</f>
        <v>0</v>
      </c>
      <c r="AC168" s="33">
        <v>1063173.68</v>
      </c>
      <c r="AD168" s="29">
        <v>0.989897506945841</v>
      </c>
      <c r="AE168" s="146">
        <f>AtskaiteStatusuTabula!AG166</f>
        <v>1063173.68</v>
      </c>
      <c r="AF168" s="29">
        <f>IFERROR((AE168/$F168),0)</f>
        <v>0.989897506945841</v>
      </c>
      <c r="AG168" s="29">
        <f t="shared" ref="AG168" si="294">AF168-AJ168</f>
        <v>0</v>
      </c>
      <c r="AH168" s="29">
        <f t="shared" ref="AH168" si="295">IFERROR(((AE168-AI168)/AI168),0)</f>
        <v>0</v>
      </c>
      <c r="AI168" s="239">
        <v>1063173.68</v>
      </c>
      <c r="AJ168" s="240">
        <v>0.989897506945841</v>
      </c>
      <c r="AL168" s="55">
        <f>IF(X168&gt;(F168+G168),F168+G168-X168,0)</f>
        <v>0</v>
      </c>
    </row>
    <row r="169" spans="1:38" s="449" customFormat="1" ht="37.5" x14ac:dyDescent="0.3">
      <c r="A169" s="92" t="s">
        <v>1520</v>
      </c>
      <c r="B169" s="10" t="str">
        <f>VLOOKUP(A169,saīsinājumi_LV_ENG!A:G,5,FALSE)</f>
        <v>Atveseļošanas pasākumi labklājības jomā (ESF)</v>
      </c>
      <c r="C169" s="450" t="s">
        <v>1546</v>
      </c>
      <c r="D169" s="451" t="s">
        <v>1525</v>
      </c>
      <c r="E169" s="95" t="s">
        <v>351</v>
      </c>
      <c r="F169" s="96">
        <v>11527850</v>
      </c>
      <c r="G169" s="96">
        <v>0</v>
      </c>
      <c r="H169" s="33">
        <f>F169+G169</f>
        <v>11527850</v>
      </c>
      <c r="I169" s="96"/>
      <c r="J169" s="146">
        <f>AtskaiteStatusuTabula!L132</f>
        <v>11270840.49</v>
      </c>
      <c r="K169" s="29">
        <f t="shared" ref="K169" si="296">J169/F169</f>
        <v>0.97770533880992549</v>
      </c>
      <c r="L169" s="29">
        <f t="shared" ref="L169" si="297">K169-P169</f>
        <v>0</v>
      </c>
      <c r="M169" s="29">
        <f t="shared" ref="M169" si="298">IFERROR(((J169-O169)/O169),0)</f>
        <v>0</v>
      </c>
      <c r="N169" s="33">
        <f>IFERROR((VLOOKUP(A169,AtskaiteStatusuTabula!B:AI,17,0)),0)</f>
        <v>0</v>
      </c>
      <c r="O169" s="33">
        <v>11270840.49</v>
      </c>
      <c r="P169" s="29">
        <v>0.97770533880992549</v>
      </c>
      <c r="Q169" s="146">
        <f>AtskaiteStatusuTabula!T132</f>
        <v>11270840.49</v>
      </c>
      <c r="R169" s="29">
        <f t="shared" ref="R169" si="299">Q169/F169</f>
        <v>0.97770533880992549</v>
      </c>
      <c r="S169" s="29">
        <f t="shared" ref="S169" si="300">R169-W169</f>
        <v>0</v>
      </c>
      <c r="T169" s="29">
        <f t="shared" ref="T169" si="301">IFERROR(((Q169-V169)/V169),0)</f>
        <v>0</v>
      </c>
      <c r="U169" s="33">
        <f>IFERROR((VLOOKUP(A169,AtskaiteStatusuTabula!B:AI,23,0)),0)</f>
        <v>0</v>
      </c>
      <c r="V169" s="33">
        <v>11270840.49</v>
      </c>
      <c r="W169" s="29">
        <v>0.97770533880992549</v>
      </c>
      <c r="X169" s="146">
        <f>AtskaiteStatusuTabula!Z132</f>
        <v>11270840.49</v>
      </c>
      <c r="Y169" s="29">
        <f t="shared" ref="Y169" si="302">X169/F169</f>
        <v>0.97770533880992549</v>
      </c>
      <c r="Z169" s="29">
        <f t="shared" ref="Z169" si="303">Y169-AD169</f>
        <v>0</v>
      </c>
      <c r="AA169" s="29">
        <f t="shared" ref="AA169" si="304">IFERROR(((X169-AC169)/AC169),0)</f>
        <v>0</v>
      </c>
      <c r="AB169" s="33">
        <f>IFERROR((VLOOKUP(A169,AtskaiteStatusuTabula!B:AI,30,0)),0)</f>
        <v>0</v>
      </c>
      <c r="AC169" s="33">
        <v>11270840.49</v>
      </c>
      <c r="AD169" s="29">
        <v>0.97770533880992549</v>
      </c>
      <c r="AE169" s="146">
        <f>AtskaiteStatusuTabula!AG132</f>
        <v>11270840.49</v>
      </c>
      <c r="AF169" s="29">
        <f t="shared" ref="AF169" si="305">IFERROR((AE169/$F169),0)</f>
        <v>0.97770533880992549</v>
      </c>
      <c r="AG169" s="29">
        <f t="shared" ref="AG169" si="306">AF169-AJ169</f>
        <v>0</v>
      </c>
      <c r="AH169" s="29">
        <f t="shared" ref="AH169" si="307">IFERROR(((AE169-AI169)/AI169),0)</f>
        <v>0</v>
      </c>
      <c r="AI169" s="239">
        <v>11270840.49</v>
      </c>
      <c r="AJ169" s="240">
        <v>0.97770533880992549</v>
      </c>
      <c r="AL169" s="452"/>
    </row>
    <row r="170" spans="1:38" ht="37.5" x14ac:dyDescent="0.3">
      <c r="A170" s="18" t="s">
        <v>1521</v>
      </c>
      <c r="B170" s="10" t="str">
        <f>VLOOKUP(A170,saīsinājumi_LV_ENG!A:G,5,FALSE)</f>
        <v>Atveseļošanas pasākumi veselības nozarē (ESF)</v>
      </c>
      <c r="C170" s="295" t="s">
        <v>1294</v>
      </c>
      <c r="D170" s="42" t="s">
        <v>1525</v>
      </c>
      <c r="E170" s="38" t="s">
        <v>352</v>
      </c>
      <c r="F170" s="425">
        <v>4259331</v>
      </c>
      <c r="G170" s="33">
        <v>0</v>
      </c>
      <c r="H170" s="33">
        <f t="shared" ref="H170:H172" si="308">F170+G170</f>
        <v>4259331</v>
      </c>
      <c r="I170" s="33"/>
      <c r="J170" s="146">
        <f>AtskaiteStatusuTabula!L206</f>
        <v>4259331</v>
      </c>
      <c r="K170" s="29">
        <f t="shared" ref="K170" si="309">J170/F170</f>
        <v>1</v>
      </c>
      <c r="L170" s="29">
        <f t="shared" ref="L170" si="310">K170-P170</f>
        <v>0</v>
      </c>
      <c r="M170" s="29">
        <f t="shared" ref="M170" si="311">IFERROR(((J170-O170)/O170),0)</f>
        <v>0</v>
      </c>
      <c r="N170" s="33">
        <f>IFERROR((VLOOKUP(A170,AtskaiteStatusuTabula!B:AI,17,0)),0)</f>
        <v>0</v>
      </c>
      <c r="O170" s="33">
        <v>4259331</v>
      </c>
      <c r="P170" s="29">
        <v>1</v>
      </c>
      <c r="Q170" s="146">
        <f>AtskaiteStatusuTabula!T206</f>
        <v>4259331</v>
      </c>
      <c r="R170" s="29">
        <f t="shared" ref="R170" si="312">Q170/F170</f>
        <v>1</v>
      </c>
      <c r="S170" s="29">
        <f t="shared" ref="S170" si="313">R170-W170</f>
        <v>0</v>
      </c>
      <c r="T170" s="29">
        <f t="shared" ref="T170" si="314">IFERROR(((Q170-V170)/V170),0)</f>
        <v>0</v>
      </c>
      <c r="U170" s="33">
        <f>IFERROR((VLOOKUP(A170,AtskaiteStatusuTabula!B:AI,23,0)),0)</f>
        <v>0</v>
      </c>
      <c r="V170" s="33">
        <v>4259331</v>
      </c>
      <c r="W170" s="29">
        <v>1</v>
      </c>
      <c r="X170" s="146">
        <f>AtskaiteStatusuTabula!Z206</f>
        <v>4259331</v>
      </c>
      <c r="Y170" s="29">
        <f t="shared" ref="Y170" si="315">X170/F170</f>
        <v>1</v>
      </c>
      <c r="Z170" s="29">
        <f t="shared" ref="Z170" si="316">Y170-AD170</f>
        <v>0</v>
      </c>
      <c r="AA170" s="29">
        <f t="shared" ref="AA170" si="317">IFERROR(((X170-AC170)/AC170),0)</f>
        <v>0</v>
      </c>
      <c r="AB170" s="33">
        <f>IFERROR((VLOOKUP(A170,AtskaiteStatusuTabula!B:AI,30,0)),0)</f>
        <v>0</v>
      </c>
      <c r="AC170" s="33">
        <v>4259331</v>
      </c>
      <c r="AD170" s="29">
        <v>1</v>
      </c>
      <c r="AE170" s="146">
        <f>AtskaiteStatusuTabula!AG206</f>
        <v>4259331</v>
      </c>
      <c r="AF170" s="29">
        <f t="shared" ref="AF170" si="318">IFERROR((AE170/$F170),0)</f>
        <v>1</v>
      </c>
      <c r="AG170" s="29">
        <f t="shared" ref="AG170" si="319">AF170-AJ170</f>
        <v>0</v>
      </c>
      <c r="AH170" s="29">
        <f t="shared" ref="AH170" si="320">IFERROR(((AE170-AI170)/AI170),0)</f>
        <v>0</v>
      </c>
      <c r="AI170" s="33">
        <v>4259331</v>
      </c>
      <c r="AJ170" s="29">
        <v>1</v>
      </c>
      <c r="AL170" s="55">
        <f t="shared" si="199"/>
        <v>0</v>
      </c>
    </row>
    <row r="171" spans="1:38" ht="39" customHeight="1" x14ac:dyDescent="0.3">
      <c r="A171" s="19" t="s">
        <v>1602</v>
      </c>
      <c r="B171" s="8" t="s">
        <v>1603</v>
      </c>
      <c r="C171" s="8"/>
      <c r="D171" s="40"/>
      <c r="E171" s="40"/>
      <c r="F171" s="35">
        <f>F172</f>
        <v>0</v>
      </c>
      <c r="G171" s="35">
        <f t="shared" ref="G171:AH171" si="321">G172</f>
        <v>60000000</v>
      </c>
      <c r="H171" s="35">
        <f t="shared" si="321"/>
        <v>60000000</v>
      </c>
      <c r="I171" s="35">
        <f t="shared" si="321"/>
        <v>0</v>
      </c>
      <c r="J171" s="35">
        <f t="shared" si="321"/>
        <v>60000000</v>
      </c>
      <c r="K171" s="35">
        <f t="shared" si="321"/>
        <v>1</v>
      </c>
      <c r="L171" s="35">
        <f t="shared" si="321"/>
        <v>0</v>
      </c>
      <c r="M171" s="35">
        <f t="shared" si="321"/>
        <v>0</v>
      </c>
      <c r="N171" s="35">
        <f t="shared" si="321"/>
        <v>1</v>
      </c>
      <c r="O171" s="35">
        <v>60000000</v>
      </c>
      <c r="P171" s="35">
        <v>1</v>
      </c>
      <c r="Q171" s="35">
        <f t="shared" si="321"/>
        <v>60000000</v>
      </c>
      <c r="R171" s="35">
        <f t="shared" si="321"/>
        <v>1</v>
      </c>
      <c r="S171" s="35">
        <f t="shared" si="321"/>
        <v>0</v>
      </c>
      <c r="T171" s="35">
        <f t="shared" si="321"/>
        <v>0</v>
      </c>
      <c r="U171" s="35">
        <f t="shared" si="321"/>
        <v>1</v>
      </c>
      <c r="V171" s="35">
        <v>60000000</v>
      </c>
      <c r="W171" s="35">
        <v>1</v>
      </c>
      <c r="X171" s="35">
        <f t="shared" si="321"/>
        <v>60000000</v>
      </c>
      <c r="Y171" s="35">
        <f t="shared" si="321"/>
        <v>1</v>
      </c>
      <c r="Z171" s="35">
        <f t="shared" si="321"/>
        <v>0</v>
      </c>
      <c r="AA171" s="35">
        <f t="shared" si="321"/>
        <v>0</v>
      </c>
      <c r="AB171" s="35">
        <f t="shared" si="321"/>
        <v>1</v>
      </c>
      <c r="AC171" s="35">
        <v>60000000</v>
      </c>
      <c r="AD171" s="35">
        <v>1</v>
      </c>
      <c r="AE171" s="35">
        <f t="shared" si="321"/>
        <v>60000000</v>
      </c>
      <c r="AF171" s="35">
        <f t="shared" si="321"/>
        <v>1</v>
      </c>
      <c r="AG171" s="35">
        <f t="shared" si="321"/>
        <v>0</v>
      </c>
      <c r="AH171" s="35">
        <f t="shared" si="321"/>
        <v>0</v>
      </c>
      <c r="AI171" s="35">
        <v>60000000</v>
      </c>
      <c r="AJ171" s="31">
        <v>1</v>
      </c>
      <c r="AL171" s="55">
        <f t="shared" ref="AL171" si="322">IF(X171&gt;(F171+G171),F171+G171-X171,0)</f>
        <v>0</v>
      </c>
    </row>
    <row r="172" spans="1:38" ht="60.75" customHeight="1" x14ac:dyDescent="0.3">
      <c r="A172" s="18" t="s">
        <v>1600</v>
      </c>
      <c r="B172" s="479" t="s">
        <v>1601</v>
      </c>
      <c r="C172" s="295" t="s">
        <v>268</v>
      </c>
      <c r="D172" s="42" t="s">
        <v>345</v>
      </c>
      <c r="E172" s="38" t="s">
        <v>349</v>
      </c>
      <c r="F172" s="1">
        <v>0</v>
      </c>
      <c r="G172" s="425">
        <v>60000000</v>
      </c>
      <c r="H172" s="33">
        <f t="shared" si="308"/>
        <v>60000000</v>
      </c>
      <c r="I172" s="33"/>
      <c r="J172" s="492">
        <f>AtskaiteStatusuTabula!K229</f>
        <v>60000000</v>
      </c>
      <c r="K172" s="29">
        <f>J172/G172</f>
        <v>1</v>
      </c>
      <c r="L172" s="29">
        <f t="shared" ref="L172" si="323">K172-P172</f>
        <v>0</v>
      </c>
      <c r="M172" s="29">
        <f t="shared" ref="M172" si="324">IFERROR(((J172-O172)/O172),0)</f>
        <v>0</v>
      </c>
      <c r="N172" s="478">
        <v>1</v>
      </c>
      <c r="O172" s="239">
        <v>60000000</v>
      </c>
      <c r="P172" s="240">
        <v>1</v>
      </c>
      <c r="Q172" s="492">
        <f>AtskaiteStatusuTabula!S229</f>
        <v>60000000</v>
      </c>
      <c r="R172" s="29">
        <f>Q172/G172</f>
        <v>1</v>
      </c>
      <c r="S172" s="29">
        <f t="shared" ref="S172" si="325">R172-W172</f>
        <v>0</v>
      </c>
      <c r="T172" s="29">
        <f t="shared" ref="T172" si="326">IFERROR(((Q172-V172)/V172),0)</f>
        <v>0</v>
      </c>
      <c r="U172" s="478">
        <v>1</v>
      </c>
      <c r="V172" s="239">
        <v>60000000</v>
      </c>
      <c r="W172" s="240">
        <v>1</v>
      </c>
      <c r="X172" s="492">
        <f>AtskaiteStatusuTabula!Y229</f>
        <v>60000000</v>
      </c>
      <c r="Y172" s="29">
        <f>X172/G172</f>
        <v>1</v>
      </c>
      <c r="Z172" s="29">
        <f t="shared" ref="Z172" si="327">Y172-AD172</f>
        <v>0</v>
      </c>
      <c r="AA172" s="29">
        <f t="shared" ref="AA172" si="328">IFERROR(((X172-AC172)/AC172),0)</f>
        <v>0</v>
      </c>
      <c r="AB172" s="478">
        <f>IFERROR((VLOOKUP(A172,AtskaiteStatusuTabula!B:AI,30,0)),0)</f>
        <v>1</v>
      </c>
      <c r="AC172" s="492">
        <v>60000000</v>
      </c>
      <c r="AD172" s="493">
        <v>1</v>
      </c>
      <c r="AE172" s="492">
        <f>AtskaiteStatusuTabula!AF229</f>
        <v>60000000</v>
      </c>
      <c r="AF172" s="29">
        <f>IFERROR((AE172/$G172),0)</f>
        <v>1</v>
      </c>
      <c r="AG172" s="29">
        <f t="shared" ref="AG172" si="329">AF172-AJ172</f>
        <v>0</v>
      </c>
      <c r="AH172" s="29">
        <f t="shared" ref="AH172" si="330">IFERROR(((AE172-AI172)/AI172),0)</f>
        <v>0</v>
      </c>
      <c r="AI172" s="239">
        <v>60000000</v>
      </c>
      <c r="AJ172" s="240">
        <v>1</v>
      </c>
      <c r="AL172" s="55"/>
    </row>
    <row r="173" spans="1:38" x14ac:dyDescent="0.3">
      <c r="A173" s="18"/>
      <c r="B173" s="10"/>
      <c r="C173" s="295"/>
      <c r="D173" s="42"/>
      <c r="E173" s="38"/>
      <c r="F173" s="425"/>
      <c r="G173" s="33"/>
      <c r="H173" s="33"/>
      <c r="I173" s="33"/>
      <c r="J173" s="239"/>
      <c r="K173" s="240"/>
      <c r="L173" s="240"/>
      <c r="M173" s="240"/>
      <c r="N173" s="239"/>
      <c r="O173" s="239"/>
      <c r="P173" s="240"/>
      <c r="Q173" s="239"/>
      <c r="R173" s="240"/>
      <c r="S173" s="240"/>
      <c r="T173" s="240"/>
      <c r="U173" s="239"/>
      <c r="V173" s="239"/>
      <c r="W173" s="240"/>
      <c r="X173" s="239"/>
      <c r="Y173" s="240"/>
      <c r="Z173" s="240"/>
      <c r="AA173" s="240"/>
      <c r="AB173" s="239"/>
      <c r="AC173" s="239"/>
      <c r="AD173" s="240"/>
      <c r="AE173" s="239"/>
      <c r="AF173" s="240"/>
      <c r="AG173" s="240"/>
      <c r="AH173" s="240"/>
      <c r="AI173" s="239"/>
      <c r="AJ173" s="240"/>
      <c r="AL173" s="55"/>
    </row>
    <row r="174" spans="1:38" x14ac:dyDescent="0.3">
      <c r="A174" s="408"/>
      <c r="B174" s="409"/>
      <c r="C174" s="410"/>
      <c r="D174" s="162"/>
      <c r="E174" s="411"/>
      <c r="F174" s="412"/>
      <c r="G174" s="33"/>
      <c r="H174" s="33"/>
      <c r="I174" s="33"/>
      <c r="J174" s="239"/>
      <c r="K174" s="240"/>
      <c r="L174" s="240"/>
      <c r="M174" s="240"/>
      <c r="N174" s="239"/>
      <c r="O174" s="239"/>
      <c r="P174" s="240"/>
      <c r="Q174" s="239"/>
      <c r="R174" s="240"/>
      <c r="S174" s="240"/>
      <c r="T174" s="240"/>
      <c r="U174" s="239"/>
      <c r="V174" s="239"/>
      <c r="W174" s="240"/>
      <c r="X174" s="239"/>
      <c r="Y174" s="240"/>
      <c r="Z174" s="240"/>
      <c r="AA174" s="240"/>
      <c r="AB174" s="239"/>
      <c r="AC174" s="239"/>
      <c r="AD174" s="240"/>
      <c r="AE174" s="239"/>
      <c r="AF174" s="240"/>
      <c r="AG174" s="240"/>
      <c r="AH174" s="240"/>
      <c r="AI174" s="239"/>
      <c r="AJ174" s="240"/>
    </row>
    <row r="175" spans="1:38" ht="37.5" x14ac:dyDescent="0.3">
      <c r="A175" s="286"/>
      <c r="B175" s="285" t="s">
        <v>1281</v>
      </c>
      <c r="C175" s="453"/>
      <c r="D175" s="38" t="s">
        <v>346</v>
      </c>
      <c r="E175" s="38"/>
      <c r="F175" s="468">
        <f>F193+F190+F194+F195+F196+F197</f>
        <v>779203</v>
      </c>
      <c r="G175" s="33">
        <v>0</v>
      </c>
      <c r="H175" s="33">
        <f>F175+G175</f>
        <v>779203</v>
      </c>
      <c r="I175" s="33"/>
      <c r="J175" s="240"/>
      <c r="K175" s="240"/>
      <c r="L175" s="240"/>
      <c r="M175" s="240"/>
      <c r="N175" s="239"/>
      <c r="O175" s="239"/>
      <c r="P175" s="240"/>
      <c r="Q175" s="239"/>
      <c r="R175" s="240"/>
      <c r="S175" s="240"/>
      <c r="T175" s="240"/>
      <c r="U175" s="239"/>
      <c r="V175" s="239"/>
      <c r="W175" s="240"/>
      <c r="X175" s="239"/>
      <c r="Y175" s="240"/>
      <c r="Z175" s="240"/>
      <c r="AA175" s="240"/>
      <c r="AB175" s="239"/>
      <c r="AC175" s="239"/>
      <c r="AD175" s="240"/>
      <c r="AE175" s="239"/>
      <c r="AF175" s="240"/>
      <c r="AG175" s="240"/>
      <c r="AH175" s="240"/>
      <c r="AI175" s="239"/>
      <c r="AJ175" s="240"/>
    </row>
    <row r="176" spans="1:38" ht="37.5" x14ac:dyDescent="0.3">
      <c r="A176" s="286"/>
      <c r="B176" s="285" t="s">
        <v>1281</v>
      </c>
      <c r="C176" s="9"/>
      <c r="D176" s="38" t="s">
        <v>358</v>
      </c>
      <c r="E176" s="38"/>
      <c r="F176" s="33">
        <v>0</v>
      </c>
      <c r="G176" s="33"/>
      <c r="H176" s="33">
        <f t="shared" ref="H176:H178" si="331">F176+G176</f>
        <v>0</v>
      </c>
      <c r="I176" s="33"/>
      <c r="J176" s="55"/>
      <c r="K176" s="240"/>
      <c r="L176" s="240"/>
      <c r="M176" s="240"/>
      <c r="N176" s="239"/>
      <c r="O176" s="301"/>
      <c r="P176" s="302"/>
      <c r="Q176" s="301"/>
      <c r="R176" s="240"/>
      <c r="S176" s="240"/>
      <c r="T176" s="240"/>
      <c r="U176" s="239"/>
      <c r="V176" s="239"/>
      <c r="W176" s="240"/>
      <c r="X176" s="239"/>
      <c r="Y176" s="240"/>
      <c r="Z176" s="240"/>
      <c r="AA176" s="240"/>
      <c r="AB176" s="239"/>
      <c r="AC176" s="239"/>
      <c r="AD176" s="240"/>
      <c r="AE176" s="239"/>
      <c r="AF176" s="240"/>
      <c r="AG176" s="240"/>
      <c r="AH176" s="240"/>
      <c r="AI176" s="239"/>
      <c r="AJ176" s="240"/>
    </row>
    <row r="177" spans="1:36" ht="37.5" x14ac:dyDescent="0.3">
      <c r="A177" s="284"/>
      <c r="B177" s="285" t="s">
        <v>1281</v>
      </c>
      <c r="C177" s="453"/>
      <c r="D177" s="297" t="s">
        <v>344</v>
      </c>
      <c r="E177" s="9"/>
      <c r="F177" s="96">
        <v>0</v>
      </c>
      <c r="G177" s="33"/>
      <c r="H177" s="33">
        <f>F177+G177</f>
        <v>0</v>
      </c>
      <c r="I177" s="33">
        <v>2682212</v>
      </c>
      <c r="J177" s="55"/>
      <c r="O177" s="303"/>
      <c r="P177" s="304"/>
      <c r="Q177" s="303"/>
      <c r="S177" s="55"/>
    </row>
    <row r="178" spans="1:36" ht="37.5" x14ac:dyDescent="0.3">
      <c r="A178" s="284"/>
      <c r="B178" s="285" t="s">
        <v>1281</v>
      </c>
      <c r="C178" s="307"/>
      <c r="D178" s="297" t="s">
        <v>345</v>
      </c>
      <c r="E178" s="9"/>
      <c r="F178" s="33">
        <f>F191+F192</f>
        <v>8459719</v>
      </c>
      <c r="G178" s="33">
        <f>G192</f>
        <v>-7399760</v>
      </c>
      <c r="H178" s="33">
        <f t="shared" si="331"/>
        <v>1059959</v>
      </c>
      <c r="I178" s="33">
        <f>438842+1484801</f>
        <v>1923643</v>
      </c>
      <c r="J178" s="55"/>
      <c r="O178" s="303"/>
      <c r="P178" s="304"/>
      <c r="Q178" s="303"/>
    </row>
    <row r="179" spans="1:36" x14ac:dyDescent="0.3">
      <c r="A179" s="284"/>
      <c r="B179" s="285" t="s">
        <v>1345</v>
      </c>
      <c r="C179" s="9"/>
      <c r="D179" s="297" t="s">
        <v>344</v>
      </c>
      <c r="E179" s="9"/>
      <c r="F179" s="33">
        <f>SUM(F200:F204)</f>
        <v>2524642</v>
      </c>
      <c r="G179" s="299">
        <f>SUM(G200:G204)</f>
        <v>0</v>
      </c>
      <c r="H179" s="33">
        <f>F179+G179</f>
        <v>2524642</v>
      </c>
      <c r="I179" s="239"/>
      <c r="O179" s="303"/>
      <c r="P179" s="304"/>
      <c r="Q179" s="303"/>
    </row>
    <row r="180" spans="1:36" x14ac:dyDescent="0.3">
      <c r="A180" s="284"/>
      <c r="B180" s="285" t="s">
        <v>1345</v>
      </c>
      <c r="C180" s="9"/>
      <c r="D180" s="297" t="s">
        <v>346</v>
      </c>
      <c r="E180" s="9"/>
      <c r="F180" s="33">
        <v>0</v>
      </c>
      <c r="G180" s="299">
        <v>0</v>
      </c>
      <c r="H180" s="33">
        <v>0</v>
      </c>
      <c r="I180" s="239"/>
      <c r="O180" s="303"/>
      <c r="P180" s="304"/>
      <c r="Q180" s="303"/>
    </row>
    <row r="181" spans="1:36" x14ac:dyDescent="0.3">
      <c r="A181" s="295"/>
      <c r="B181" s="10"/>
      <c r="F181" s="55"/>
    </row>
    <row r="182" spans="1:36" x14ac:dyDescent="0.3">
      <c r="A182" s="293" t="s">
        <v>1289</v>
      </c>
      <c r="B182" s="294"/>
      <c r="C182" s="294"/>
      <c r="D182" s="294"/>
      <c r="E182" s="294"/>
      <c r="F182" s="294"/>
      <c r="G182" s="294"/>
      <c r="H182" s="294"/>
      <c r="I182" s="294"/>
      <c r="J182" s="294"/>
      <c r="K182" s="294"/>
      <c r="L182" s="294"/>
      <c r="M182" s="135"/>
      <c r="N182" s="135"/>
      <c r="O182" s="135"/>
      <c r="P182" s="135"/>
      <c r="Q182" s="136"/>
    </row>
    <row r="183" spans="1:36" x14ac:dyDescent="0.3">
      <c r="A183" s="293" t="s">
        <v>1309</v>
      </c>
      <c r="B183" s="294"/>
      <c r="C183" s="294"/>
      <c r="D183" s="294"/>
      <c r="E183" s="294"/>
      <c r="F183" s="294"/>
      <c r="G183" s="294"/>
      <c r="H183" s="294"/>
      <c r="I183" s="294"/>
      <c r="J183" s="294"/>
      <c r="K183" s="294"/>
      <c r="L183" s="294"/>
      <c r="M183" s="292"/>
      <c r="N183" s="292"/>
      <c r="O183" s="292"/>
      <c r="P183" s="292"/>
      <c r="Q183" s="292"/>
    </row>
    <row r="184" spans="1:36" x14ac:dyDescent="0.3">
      <c r="A184" s="17" t="s">
        <v>1291</v>
      </c>
      <c r="B184" s="17"/>
      <c r="C184" s="17"/>
      <c r="D184" s="17"/>
      <c r="E184" s="17"/>
      <c r="F184" s="17"/>
      <c r="G184" s="17"/>
      <c r="H184" s="17"/>
      <c r="I184" s="17"/>
      <c r="J184" s="17"/>
      <c r="K184" s="17"/>
      <c r="L184" s="17"/>
      <c r="M184" s="17"/>
      <c r="N184" s="17"/>
      <c r="O184" s="17"/>
      <c r="P184" s="17"/>
      <c r="Q184" s="17"/>
    </row>
    <row r="185" spans="1:36" s="427" customFormat="1" x14ac:dyDescent="0.3">
      <c r="A185" s="321" t="s">
        <v>1310</v>
      </c>
      <c r="B185" s="1"/>
      <c r="C185" s="1"/>
      <c r="D185" s="1"/>
      <c r="E185" s="1"/>
      <c r="F185" s="1"/>
      <c r="G185" s="1"/>
      <c r="H185" s="1"/>
      <c r="I185" s="1"/>
      <c r="J185" s="1"/>
      <c r="K185" s="1"/>
      <c r="L185" s="1"/>
      <c r="M185" s="1"/>
      <c r="N185" s="1"/>
      <c r="O185" s="55"/>
      <c r="P185" s="1"/>
      <c r="V185" s="1"/>
      <c r="W185" s="53"/>
      <c r="X185" s="428"/>
      <c r="AC185" s="1"/>
      <c r="AD185" s="53"/>
      <c r="AI185" s="55"/>
      <c r="AJ185" s="53"/>
    </row>
    <row r="187" spans="1:36" ht="25.5" x14ac:dyDescent="0.35">
      <c r="A187" s="320" t="s">
        <v>1308</v>
      </c>
      <c r="Z187" s="23"/>
    </row>
    <row r="188" spans="1:36" x14ac:dyDescent="0.3">
      <c r="A188" s="318" t="s">
        <v>1271</v>
      </c>
      <c r="B188" s="319"/>
      <c r="C188" s="319"/>
      <c r="D188" s="319"/>
      <c r="E188" s="319"/>
      <c r="F188" s="319" t="s">
        <v>1306</v>
      </c>
      <c r="G188" s="319" t="s">
        <v>1307</v>
      </c>
      <c r="Z188" s="23"/>
    </row>
    <row r="189" spans="1:36" x14ac:dyDescent="0.3">
      <c r="A189" s="295"/>
      <c r="B189" s="9"/>
      <c r="C189" s="9"/>
      <c r="D189" s="9"/>
      <c r="E189" s="316" t="s">
        <v>402</v>
      </c>
      <c r="F189" s="317">
        <f>SUM(F190:F197)</f>
        <v>9238922</v>
      </c>
      <c r="G189" s="317">
        <f>SUM(G190:G193)</f>
        <v>-7399760</v>
      </c>
      <c r="Z189" s="23"/>
    </row>
    <row r="190" spans="1:36" x14ac:dyDescent="0.3">
      <c r="A190" s="295" t="s">
        <v>314</v>
      </c>
      <c r="B190" s="9" t="s">
        <v>1076</v>
      </c>
      <c r="C190" s="9" t="s">
        <v>1578</v>
      </c>
      <c r="D190" s="9" t="s">
        <v>346</v>
      </c>
      <c r="E190" s="9" t="s">
        <v>348</v>
      </c>
      <c r="F190" s="322">
        <v>0</v>
      </c>
      <c r="G190" s="322"/>
      <c r="H190" s="1" t="s">
        <v>1528</v>
      </c>
      <c r="J190" s="1" t="str">
        <f t="shared" ref="J190:J193" si="332">A190&amp;H190</f>
        <v>8.3.2.2Bez MKN</v>
      </c>
      <c r="Z190" s="23"/>
    </row>
    <row r="191" spans="1:36" x14ac:dyDescent="0.3">
      <c r="A191" s="295" t="s">
        <v>1368</v>
      </c>
      <c r="B191" s="9" t="s">
        <v>1416</v>
      </c>
      <c r="C191" s="9" t="s">
        <v>1567</v>
      </c>
      <c r="D191" s="9" t="s">
        <v>345</v>
      </c>
      <c r="E191" s="9" t="s">
        <v>350</v>
      </c>
      <c r="F191" s="322">
        <v>1059959</v>
      </c>
      <c r="G191" s="322"/>
      <c r="H191" s="1" t="s">
        <v>1528</v>
      </c>
      <c r="J191" s="1" t="str">
        <f t="shared" si="332"/>
        <v>5.4.3.2Bez MKN</v>
      </c>
      <c r="Z191" s="23"/>
    </row>
    <row r="192" spans="1:36" x14ac:dyDescent="0.3">
      <c r="A192" s="295" t="s">
        <v>1604</v>
      </c>
      <c r="B192" s="9" t="s">
        <v>815</v>
      </c>
      <c r="C192" s="9" t="s">
        <v>1605</v>
      </c>
      <c r="D192" s="9" t="s">
        <v>345</v>
      </c>
      <c r="E192" s="9" t="s">
        <v>1606</v>
      </c>
      <c r="F192" s="322">
        <v>7399760</v>
      </c>
      <c r="G192" s="322">
        <v>-7399760</v>
      </c>
      <c r="Z192" s="23"/>
    </row>
    <row r="193" spans="1:36" x14ac:dyDescent="0.3">
      <c r="A193" s="295" t="s">
        <v>309</v>
      </c>
      <c r="B193" s="9" t="s">
        <v>1045</v>
      </c>
      <c r="C193" s="9" t="s">
        <v>1580</v>
      </c>
      <c r="D193" s="9" t="s">
        <v>346</v>
      </c>
      <c r="E193" s="9" t="s">
        <v>348</v>
      </c>
      <c r="F193" s="322">
        <v>0</v>
      </c>
      <c r="G193" s="322"/>
      <c r="H193" s="1" t="s">
        <v>1528</v>
      </c>
      <c r="J193" s="1" t="str">
        <f t="shared" si="332"/>
        <v>8.2.2Bez MKN</v>
      </c>
      <c r="K193" s="1" t="s">
        <v>1581</v>
      </c>
      <c r="Z193" s="23"/>
    </row>
    <row r="194" spans="1:36" x14ac:dyDescent="0.3">
      <c r="A194" s="295"/>
      <c r="B194" s="10"/>
      <c r="C194" s="9"/>
      <c r="D194" s="9"/>
      <c r="E194" s="9"/>
      <c r="F194" s="322"/>
      <c r="G194" s="322">
        <v>0</v>
      </c>
      <c r="Z194" s="23"/>
    </row>
    <row r="195" spans="1:36" ht="37.5" x14ac:dyDescent="0.3">
      <c r="A195" s="295" t="s">
        <v>1589</v>
      </c>
      <c r="B195" s="10" t="s">
        <v>1590</v>
      </c>
      <c r="C195" s="9" t="s">
        <v>1591</v>
      </c>
      <c r="D195" s="9" t="s">
        <v>346</v>
      </c>
      <c r="E195" s="9" t="s">
        <v>348</v>
      </c>
      <c r="F195" s="480">
        <v>0</v>
      </c>
      <c r="G195" s="322">
        <v>0</v>
      </c>
      <c r="H195" s="1" t="s">
        <v>1528</v>
      </c>
      <c r="J195" s="1" t="str">
        <f t="shared" ref="J195:J196" si="333">A195&amp;H195</f>
        <v>8.3.6.1.Bez MKN</v>
      </c>
      <c r="K195" s="1" t="s">
        <v>1592</v>
      </c>
      <c r="L195" s="1" t="s">
        <v>1597</v>
      </c>
      <c r="Z195" s="23"/>
    </row>
    <row r="196" spans="1:36" x14ac:dyDescent="0.3">
      <c r="A196" s="463" t="s">
        <v>1585</v>
      </c>
      <c r="B196" s="10" t="s">
        <v>1586</v>
      </c>
      <c r="C196" s="9" t="s">
        <v>1587</v>
      </c>
      <c r="D196" s="9" t="s">
        <v>346</v>
      </c>
      <c r="E196" s="9" t="s">
        <v>348</v>
      </c>
      <c r="F196" s="322">
        <v>575064</v>
      </c>
      <c r="G196" s="322">
        <v>0</v>
      </c>
      <c r="H196" s="1" t="s">
        <v>1528</v>
      </c>
      <c r="J196" s="1" t="str">
        <f t="shared" si="333"/>
        <v>8.4.1.Bez MKN</v>
      </c>
      <c r="K196" s="1" t="s">
        <v>1588</v>
      </c>
      <c r="Z196" s="23"/>
    </row>
    <row r="197" spans="1:36" ht="37.5" x14ac:dyDescent="0.3">
      <c r="A197" s="463" t="s">
        <v>1531</v>
      </c>
      <c r="B197" s="10" t="s">
        <v>1594</v>
      </c>
      <c r="C197" s="9" t="s">
        <v>1595</v>
      </c>
      <c r="D197" s="9" t="s">
        <v>346</v>
      </c>
      <c r="E197" s="9" t="s">
        <v>348</v>
      </c>
      <c r="F197" s="322">
        <v>204139</v>
      </c>
      <c r="G197" s="322"/>
      <c r="H197" s="1" t="s">
        <v>1528</v>
      </c>
      <c r="J197" s="1" t="s">
        <v>1596</v>
      </c>
      <c r="Z197" s="23"/>
    </row>
    <row r="198" spans="1:36" ht="56.25" x14ac:dyDescent="0.3">
      <c r="A198" s="377" t="s">
        <v>1359</v>
      </c>
      <c r="B198" s="378"/>
      <c r="C198" s="378" t="s">
        <v>1524</v>
      </c>
      <c r="D198" s="378"/>
      <c r="E198" s="378"/>
      <c r="F198" s="464" t="s">
        <v>1554</v>
      </c>
      <c r="G198" s="464" t="s">
        <v>1307</v>
      </c>
      <c r="H198" s="1" t="s">
        <v>1528</v>
      </c>
      <c r="J198" s="1" t="str">
        <f t="shared" ref="J198" si="334">A198&amp;H198</f>
        <v>REACT EUBez MKN</v>
      </c>
      <c r="O198" s="1"/>
      <c r="P198" s="53"/>
      <c r="Q198" s="23"/>
      <c r="X198" s="1"/>
      <c r="Z198" s="23"/>
      <c r="AB198" s="55"/>
      <c r="AC198" s="53"/>
      <c r="AD198" s="1"/>
      <c r="AI198" s="1"/>
      <c r="AJ198" s="1"/>
    </row>
    <row r="199" spans="1:36" x14ac:dyDescent="0.3">
      <c r="A199" s="9"/>
      <c r="B199" s="9"/>
      <c r="C199" s="9"/>
      <c r="D199" s="9"/>
      <c r="E199" s="9" t="s">
        <v>402</v>
      </c>
      <c r="F199" s="317">
        <f>SUM(F200:F204)</f>
        <v>2524642</v>
      </c>
      <c r="G199" s="322"/>
      <c r="O199" s="1"/>
      <c r="P199" s="53"/>
      <c r="Q199" s="23"/>
      <c r="X199" s="1"/>
      <c r="Z199" s="23"/>
      <c r="AB199" s="55"/>
      <c r="AC199" s="53"/>
      <c r="AD199" s="1"/>
      <c r="AI199" s="1"/>
      <c r="AJ199" s="1"/>
    </row>
    <row r="200" spans="1:36" ht="37.5" x14ac:dyDescent="0.3">
      <c r="A200" s="9" t="s">
        <v>1378</v>
      </c>
      <c r="B200" s="10" t="str">
        <f>VLOOKUP(A200,saīsinājumi_LV_ENG!A:G,5,FALSE)</f>
        <v xml:space="preserve">Daudzdzīvokļu māju energoefektivitāte </v>
      </c>
      <c r="C200" s="9" t="s">
        <v>265</v>
      </c>
      <c r="D200" s="42" t="s">
        <v>1375</v>
      </c>
      <c r="E200" s="9" t="s">
        <v>349</v>
      </c>
      <c r="F200" s="322">
        <f>F210-F155</f>
        <v>0</v>
      </c>
      <c r="G200" s="322"/>
      <c r="H200" s="1" t="s">
        <v>1528</v>
      </c>
      <c r="J200" s="1" t="str">
        <f t="shared" ref="J200:J204" si="335">A200&amp;H200</f>
        <v>13.1.1.2Bez MKN</v>
      </c>
      <c r="L200" s="55"/>
      <c r="O200" s="1"/>
      <c r="P200" s="53"/>
      <c r="Q200" s="23"/>
      <c r="X200" s="1"/>
      <c r="AB200" s="55"/>
      <c r="AC200" s="53"/>
      <c r="AD200" s="1"/>
      <c r="AI200" s="1"/>
      <c r="AJ200" s="1"/>
    </row>
    <row r="201" spans="1:36" ht="37.5" x14ac:dyDescent="0.3">
      <c r="A201" s="295" t="s">
        <v>1386</v>
      </c>
      <c r="B201" s="9" t="s">
        <v>1357</v>
      </c>
      <c r="C201" s="295" t="s">
        <v>239</v>
      </c>
      <c r="D201" s="42" t="s">
        <v>1375</v>
      </c>
      <c r="E201" s="9" t="s">
        <v>348</v>
      </c>
      <c r="F201" s="322">
        <f>F211-F158</f>
        <v>2524642</v>
      </c>
      <c r="G201" s="322"/>
      <c r="H201" s="1" t="s">
        <v>1528</v>
      </c>
      <c r="J201" s="1" t="str">
        <f t="shared" si="335"/>
        <v>13.1.2.1Bez MKN</v>
      </c>
      <c r="L201" s="55"/>
    </row>
    <row r="202" spans="1:36" ht="37.5" x14ac:dyDescent="0.3">
      <c r="A202" s="463" t="s">
        <v>1387</v>
      </c>
      <c r="B202" s="10" t="str">
        <f>VLOOKUP(A202,saīsinājumi_LV_ENG!A:G,5,FALSE)</f>
        <v>Izglītības iestāžu digitalizācija</v>
      </c>
      <c r="C202" s="295" t="s">
        <v>445</v>
      </c>
      <c r="D202" s="42" t="s">
        <v>1375</v>
      </c>
      <c r="E202" s="244" t="s">
        <v>348</v>
      </c>
      <c r="F202" s="322">
        <f>F212-F160</f>
        <v>0</v>
      </c>
      <c r="G202" s="322"/>
      <c r="H202" s="1" t="s">
        <v>1528</v>
      </c>
      <c r="J202" s="1" t="str">
        <f t="shared" si="335"/>
        <v>13.1.2.2Bez MKN</v>
      </c>
      <c r="L202" s="55"/>
    </row>
    <row r="203" spans="1:36" ht="37.5" x14ac:dyDescent="0.3">
      <c r="A203" s="463" t="s">
        <v>1377</v>
      </c>
      <c r="B203" s="10" t="str">
        <f>VLOOKUP(A203,saīsinājumi_LV_ENG!A:G,5,FALSE)</f>
        <v>Pašvaldību infrastruktūra energoefektivitāte</v>
      </c>
      <c r="C203" s="295" t="s">
        <v>267</v>
      </c>
      <c r="D203" s="42" t="s">
        <v>1375</v>
      </c>
      <c r="E203" s="244" t="s">
        <v>350</v>
      </c>
      <c r="F203" s="322">
        <f>F213-F161</f>
        <v>0</v>
      </c>
      <c r="G203" s="322"/>
      <c r="H203" s="1" t="s">
        <v>1528</v>
      </c>
      <c r="J203" s="1" t="str">
        <f t="shared" si="335"/>
        <v>13.1.3.1Bez MKN</v>
      </c>
      <c r="L203" s="55"/>
    </row>
    <row r="204" spans="1:36" ht="37.5" x14ac:dyDescent="0.3">
      <c r="A204" s="463" t="s">
        <v>1515</v>
      </c>
      <c r="B204" s="10" t="str">
        <f>VLOOKUP(A204,saīsinājumi_LV_ENG!A:G,5,FALSE)</f>
        <v>Atveseļošanas pasākumi veselības nozarē (ERAF)</v>
      </c>
      <c r="C204" s="295" t="s">
        <v>236</v>
      </c>
      <c r="D204" s="42" t="s">
        <v>1375</v>
      </c>
      <c r="E204" s="244" t="s">
        <v>352</v>
      </c>
      <c r="F204" s="322">
        <f>F217-F164</f>
        <v>0</v>
      </c>
      <c r="G204" s="322"/>
      <c r="H204" s="1" t="s">
        <v>1528</v>
      </c>
      <c r="J204" s="1" t="str">
        <f t="shared" si="335"/>
        <v>13.1.5Bez MKN</v>
      </c>
      <c r="L204" s="55"/>
    </row>
    <row r="205" spans="1:36" x14ac:dyDescent="0.3">
      <c r="A205" s="17" t="s">
        <v>1557</v>
      </c>
      <c r="L205" s="55"/>
    </row>
    <row r="207" spans="1:36" x14ac:dyDescent="0.3">
      <c r="A207" s="459" t="s">
        <v>1556</v>
      </c>
      <c r="B207" s="460"/>
      <c r="C207" s="460"/>
      <c r="D207" s="460"/>
      <c r="E207" s="460"/>
      <c r="F207" s="1" t="s">
        <v>625</v>
      </c>
    </row>
    <row r="208" spans="1:36" ht="56.25" x14ac:dyDescent="0.3">
      <c r="A208" s="454" t="s">
        <v>1376</v>
      </c>
      <c r="B208" s="455" t="str">
        <f>VLOOKUP(A208,saīsinājumi_LV_ENG!A:G,5,FALSE)</f>
        <v>Pasākumi Covid-19 pandēmijas seku mazināšanai (ERAF)</v>
      </c>
      <c r="C208" s="456" t="s">
        <v>1524</v>
      </c>
      <c r="D208" s="457" t="s">
        <v>344</v>
      </c>
      <c r="E208" s="457" t="s">
        <v>637</v>
      </c>
      <c r="F208" s="458">
        <f>SUM(F209:F218)</f>
        <v>199954500</v>
      </c>
      <c r="O208" s="1"/>
      <c r="W208" s="1"/>
      <c r="X208" s="1"/>
      <c r="AD208" s="1"/>
      <c r="AI208" s="1"/>
      <c r="AJ208" s="1"/>
    </row>
    <row r="209" spans="1:36" x14ac:dyDescent="0.3">
      <c r="A209" s="18" t="s">
        <v>1385</v>
      </c>
      <c r="B209" s="10" t="str">
        <f>VLOOKUP(A209,saīsinājumi_LV_ENG!A:G,5,FALSE)</f>
        <v>Aizdevumi MVK</v>
      </c>
      <c r="C209" s="10" t="s">
        <v>1559</v>
      </c>
      <c r="D209" s="9" t="s">
        <v>344</v>
      </c>
      <c r="E209" s="38" t="s">
        <v>349</v>
      </c>
      <c r="F209" s="322">
        <v>21059282</v>
      </c>
      <c r="J209" s="55"/>
      <c r="O209" s="1"/>
      <c r="W209" s="1"/>
      <c r="X209" s="1"/>
      <c r="AD209" s="1"/>
      <c r="AI209" s="1"/>
      <c r="AJ209" s="1"/>
    </row>
    <row r="210" spans="1:36" ht="37.5" x14ac:dyDescent="0.3">
      <c r="A210" s="18" t="s">
        <v>1378</v>
      </c>
      <c r="B210" s="10" t="str">
        <f>VLOOKUP(A210,saīsinājumi_LV_ENG!A:G,5,FALSE)</f>
        <v xml:space="preserve">Daudzdzīvokļu māju energoefektivitāte </v>
      </c>
      <c r="C210" s="9" t="s">
        <v>265</v>
      </c>
      <c r="D210" s="9" t="s">
        <v>344</v>
      </c>
      <c r="E210" s="38" t="s">
        <v>349</v>
      </c>
      <c r="F210" s="322">
        <v>29482994</v>
      </c>
      <c r="J210" s="55"/>
      <c r="O210" s="1"/>
      <c r="W210" s="1"/>
      <c r="X210" s="1"/>
      <c r="AD210" s="1"/>
      <c r="AI210" s="1"/>
      <c r="AJ210" s="1"/>
    </row>
    <row r="211" spans="1:36" x14ac:dyDescent="0.3">
      <c r="A211" s="18" t="s">
        <v>1386</v>
      </c>
      <c r="B211" s="9" t="s">
        <v>1357</v>
      </c>
      <c r="C211" s="295" t="s">
        <v>1551</v>
      </c>
      <c r="D211" s="9" t="s">
        <v>344</v>
      </c>
      <c r="E211" s="38" t="s">
        <v>348</v>
      </c>
      <c r="F211" s="322">
        <v>9266084</v>
      </c>
      <c r="J211" s="55"/>
      <c r="O211" s="1"/>
      <c r="W211" s="1"/>
      <c r="X211" s="1"/>
      <c r="AD211" s="1"/>
      <c r="AI211" s="1"/>
      <c r="AJ211" s="1"/>
    </row>
    <row r="212" spans="1:36" ht="37.5" x14ac:dyDescent="0.3">
      <c r="A212" s="18" t="s">
        <v>1387</v>
      </c>
      <c r="B212" s="10" t="str">
        <f>VLOOKUP(A212,saīsinājumi_LV_ENG!A:G,5,FALSE)</f>
        <v>Izglītības iestāžu digitalizācija</v>
      </c>
      <c r="C212" s="295" t="s">
        <v>445</v>
      </c>
      <c r="D212" s="9" t="s">
        <v>344</v>
      </c>
      <c r="E212" s="38" t="s">
        <v>348</v>
      </c>
      <c r="F212" s="322">
        <v>8895441</v>
      </c>
      <c r="J212" s="55"/>
      <c r="O212" s="1"/>
      <c r="W212" s="1"/>
      <c r="X212" s="1"/>
      <c r="AD212" s="1"/>
      <c r="AI212" s="1"/>
      <c r="AJ212" s="1"/>
    </row>
    <row r="213" spans="1:36" ht="37.5" x14ac:dyDescent="0.3">
      <c r="A213" s="18" t="s">
        <v>1377</v>
      </c>
      <c r="B213" s="10" t="str">
        <f>VLOOKUP(A213,saīsinājumi_LV_ENG!A:G,5,FALSE)</f>
        <v>Pašvaldību infrastruktūra energoefektivitāte</v>
      </c>
      <c r="C213" s="295" t="s">
        <v>267</v>
      </c>
      <c r="D213" s="9" t="s">
        <v>344</v>
      </c>
      <c r="E213" s="38" t="s">
        <v>350</v>
      </c>
      <c r="F213" s="322">
        <v>28808246</v>
      </c>
      <c r="J213" s="55"/>
      <c r="O213" s="1"/>
      <c r="W213" s="1"/>
      <c r="X213" s="1"/>
      <c r="AD213" s="1"/>
      <c r="AI213" s="1"/>
      <c r="AJ213" s="1"/>
    </row>
    <row r="214" spans="1:36" ht="37.5" x14ac:dyDescent="0.3">
      <c r="A214" s="92" t="s">
        <v>1388</v>
      </c>
      <c r="B214" s="10" t="str">
        <f>VLOOKUP(A214,saīsinājumi_LV_ENG!A:G,5,FALSE)</f>
        <v xml:space="preserve">Atkritumu atkārtota izmantošana </v>
      </c>
      <c r="C214" s="295" t="s">
        <v>276</v>
      </c>
      <c r="D214" s="9" t="s">
        <v>344</v>
      </c>
      <c r="E214" s="38" t="s">
        <v>350</v>
      </c>
      <c r="F214" s="322">
        <v>0</v>
      </c>
      <c r="J214" s="55"/>
      <c r="O214" s="1"/>
      <c r="W214" s="1"/>
      <c r="X214" s="1"/>
      <c r="AD214" s="1"/>
      <c r="AI214" s="1"/>
      <c r="AJ214" s="1"/>
    </row>
    <row r="215" spans="1:36" ht="56.25" x14ac:dyDescent="0.3">
      <c r="A215" s="18" t="s">
        <v>1389</v>
      </c>
      <c r="B215" s="10" t="str">
        <f>VLOOKUP(A215,saīsinājumi_LV_ENG!A:G,5,FALSE)</f>
        <v>Teritoriju revitalizācija uzņēmējdarbības veicināšanai pašvaldībās</v>
      </c>
      <c r="C215" s="295" t="s">
        <v>283</v>
      </c>
      <c r="D215" s="9" t="s">
        <v>344</v>
      </c>
      <c r="E215" s="38" t="s">
        <v>350</v>
      </c>
      <c r="F215" s="322">
        <v>24165500</v>
      </c>
      <c r="J215" s="55"/>
      <c r="O215" s="1"/>
      <c r="W215" s="1"/>
      <c r="X215" s="1"/>
      <c r="AD215" s="1"/>
      <c r="AI215" s="1"/>
      <c r="AJ215" s="1"/>
    </row>
    <row r="216" spans="1:36" ht="37.5" x14ac:dyDescent="0.3">
      <c r="A216" s="448" t="s">
        <v>1373</v>
      </c>
      <c r="B216" s="10" t="str">
        <f>VLOOKUP(A216,saīsinājumi_LV_ENG!A:G,5,FALSE)</f>
        <v>Atveseļošanas pasākumi kultūras jomā</v>
      </c>
      <c r="C216" s="295" t="s">
        <v>1555</v>
      </c>
      <c r="D216" s="9" t="s">
        <v>344</v>
      </c>
      <c r="E216" s="38" t="s">
        <v>355</v>
      </c>
      <c r="F216" s="322">
        <v>10108455</v>
      </c>
      <c r="J216" s="55"/>
      <c r="O216" s="1"/>
      <c r="W216" s="1"/>
      <c r="X216" s="1"/>
      <c r="AD216" s="1"/>
      <c r="AI216" s="1"/>
      <c r="AJ216" s="1"/>
    </row>
    <row r="217" spans="1:36" ht="37.5" x14ac:dyDescent="0.3">
      <c r="A217" s="18" t="s">
        <v>1515</v>
      </c>
      <c r="B217" s="10" t="str">
        <f>VLOOKUP(A217,saīsinājumi_LV_ENG!A:G,5,FALSE)</f>
        <v>Atveseļošanas pasākumi veselības nozarē (ERAF)</v>
      </c>
      <c r="C217" s="295" t="s">
        <v>236</v>
      </c>
      <c r="D217" s="9" t="s">
        <v>344</v>
      </c>
      <c r="E217" s="38" t="s">
        <v>352</v>
      </c>
      <c r="F217" s="322">
        <v>51573785</v>
      </c>
      <c r="J217" s="55"/>
      <c r="O217" s="1"/>
      <c r="W217" s="1"/>
      <c r="X217" s="1"/>
      <c r="AD217" s="1"/>
      <c r="AI217" s="1"/>
      <c r="AJ217" s="1"/>
    </row>
    <row r="218" spans="1:36" ht="75" x14ac:dyDescent="0.3">
      <c r="A218" s="18" t="s">
        <v>1516</v>
      </c>
      <c r="B218" s="10" t="s">
        <v>1548</v>
      </c>
      <c r="C218" s="295" t="s">
        <v>1549</v>
      </c>
      <c r="D218" s="9" t="s">
        <v>344</v>
      </c>
      <c r="E218" s="38" t="s">
        <v>349</v>
      </c>
      <c r="F218" s="322">
        <v>16594713</v>
      </c>
      <c r="J218" s="55"/>
      <c r="O218" s="1"/>
      <c r="W218" s="1"/>
      <c r="X218" s="1"/>
      <c r="AD218" s="1"/>
      <c r="AI218" s="1"/>
      <c r="AJ218" s="1"/>
    </row>
    <row r="219" spans="1:36" ht="56.25" x14ac:dyDescent="0.3">
      <c r="A219" s="454" t="s">
        <v>1500</v>
      </c>
      <c r="B219" s="455" t="str">
        <f>VLOOKUP(A219,saīsinājumi_LV_ENG!A:G,5,FALSE)</f>
        <v>Pasākumi Covid-19 pandēmijas seku mazināšanai (ESF)</v>
      </c>
      <c r="C219" s="456" t="s">
        <v>1524</v>
      </c>
      <c r="D219" s="457" t="s">
        <v>346</v>
      </c>
      <c r="E219" s="457" t="s">
        <v>637</v>
      </c>
      <c r="F219" s="458">
        <f>SUM(F220:F223)</f>
        <v>22489087</v>
      </c>
      <c r="J219" s="55"/>
      <c r="O219" s="1"/>
      <c r="W219" s="1"/>
      <c r="X219" s="1"/>
      <c r="AD219" s="1"/>
      <c r="AI219" s="1"/>
      <c r="AJ219" s="1"/>
    </row>
    <row r="220" spans="1:36" ht="56.25" x14ac:dyDescent="0.3">
      <c r="A220" s="18" t="s">
        <v>1390</v>
      </c>
      <c r="B220" s="10" t="str">
        <f>VLOOKUP(A220,saīsinājumi_LV_ENG!A:G,5,FALSE)</f>
        <v>Efektīvas pārvaldības nodrošināšana augstskolās</v>
      </c>
      <c r="C220" s="295" t="s">
        <v>1531</v>
      </c>
      <c r="D220" s="9" t="s">
        <v>346</v>
      </c>
      <c r="E220" s="38" t="s">
        <v>348</v>
      </c>
      <c r="F220" s="322">
        <v>5627882</v>
      </c>
      <c r="J220" s="55"/>
      <c r="O220" s="1"/>
      <c r="W220" s="1"/>
      <c r="X220" s="1"/>
      <c r="AD220" s="1"/>
      <c r="AI220" s="1"/>
      <c r="AJ220" s="1"/>
    </row>
    <row r="221" spans="1:36" x14ac:dyDescent="0.3">
      <c r="A221" s="18" t="s">
        <v>1391</v>
      </c>
      <c r="B221" s="10" t="str">
        <f>VLOOKUP(A221,saīsinājumi_LV_ENG!A:G,5,FALSE)</f>
        <v>Atbalsts NEET jauniešiem</v>
      </c>
      <c r="C221" s="295" t="s">
        <v>1530</v>
      </c>
      <c r="D221" s="9" t="s">
        <v>346</v>
      </c>
      <c r="E221" s="38" t="s">
        <v>348</v>
      </c>
      <c r="F221" s="322">
        <v>1074024</v>
      </c>
      <c r="J221" s="55"/>
      <c r="O221" s="1"/>
      <c r="W221" s="1"/>
      <c r="X221" s="1"/>
      <c r="AD221" s="1"/>
      <c r="AI221" s="1"/>
      <c r="AJ221" s="1"/>
    </row>
    <row r="222" spans="1:36" ht="37.5" x14ac:dyDescent="0.3">
      <c r="A222" s="92" t="s">
        <v>1520</v>
      </c>
      <c r="B222" s="10" t="str">
        <f>VLOOKUP(A222,saīsinājumi_LV_ENG!A:G,5,FALSE)</f>
        <v>Atveseļošanas pasākumi labklājības jomā (ESF)</v>
      </c>
      <c r="C222" s="450" t="s">
        <v>1546</v>
      </c>
      <c r="D222" s="9" t="s">
        <v>346</v>
      </c>
      <c r="E222" s="95" t="s">
        <v>351</v>
      </c>
      <c r="F222" s="322">
        <v>11527850</v>
      </c>
      <c r="J222" s="55"/>
      <c r="O222" s="1"/>
      <c r="W222" s="1"/>
      <c r="X222" s="1"/>
      <c r="AD222" s="1"/>
      <c r="AI222" s="1"/>
      <c r="AJ222" s="1"/>
    </row>
    <row r="223" spans="1:36" ht="37.5" x14ac:dyDescent="0.3">
      <c r="A223" s="18" t="s">
        <v>1521</v>
      </c>
      <c r="B223" s="10" t="str">
        <f>VLOOKUP(A223,saīsinājumi_LV_ENG!A:G,5,FALSE)</f>
        <v>Atveseļošanas pasākumi veselības nozarē (ESF)</v>
      </c>
      <c r="C223" s="295" t="s">
        <v>1294</v>
      </c>
      <c r="D223" s="9" t="s">
        <v>346</v>
      </c>
      <c r="E223" s="38" t="s">
        <v>352</v>
      </c>
      <c r="F223" s="322">
        <v>4259331</v>
      </c>
      <c r="J223" s="55"/>
      <c r="O223" s="1"/>
      <c r="W223" s="1"/>
      <c r="X223" s="1"/>
      <c r="AD223" s="1"/>
      <c r="AI223" s="1"/>
      <c r="AJ223" s="1"/>
    </row>
    <row r="224" spans="1:36" x14ac:dyDescent="0.3">
      <c r="A224" s="1"/>
      <c r="L224" s="55"/>
      <c r="O224" s="1"/>
      <c r="W224" s="1"/>
      <c r="X224" s="1"/>
      <c r="AD224" s="1"/>
      <c r="AI224" s="1"/>
      <c r="AJ224" s="1"/>
    </row>
  </sheetData>
  <autoFilter ref="A14:AL180" xr:uid="{00000000-0009-0000-0000-000007000000}"/>
  <phoneticPr fontId="80" type="noConversion"/>
  <pageMargins left="0.25" right="0.25" top="0.75" bottom="0.75" header="0.3" footer="0.3"/>
  <pageSetup paperSize="9" scale="27" fitToHeight="0" orientation="landscape" r:id="rId1"/>
  <headerFooter>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6" tint="0.59999389629810485"/>
  </sheetPr>
  <dimension ref="B1:AJ240"/>
  <sheetViews>
    <sheetView showGridLines="0" zoomScale="80" zoomScaleNormal="80" workbookViewId="0">
      <pane ySplit="15" topLeftCell="A60" activePane="bottomLeft" state="frozen"/>
      <selection pane="bottomLeft" activeCell="J67" sqref="J67"/>
    </sheetView>
  </sheetViews>
  <sheetFormatPr defaultRowHeight="15" x14ac:dyDescent="0.25"/>
  <cols>
    <col min="1" max="1" width="0.28515625" style="481" customWidth="1"/>
    <col min="2" max="2" width="8.7109375" style="481" customWidth="1"/>
    <col min="3" max="3" width="47.42578125" style="481" customWidth="1"/>
    <col min="4" max="6" width="16.140625" style="481" customWidth="1"/>
    <col min="7" max="7" width="13.5703125" style="481" customWidth="1"/>
    <col min="8" max="8" width="2.7109375" style="481" customWidth="1"/>
    <col min="9" max="9" width="13.5703125" style="481" customWidth="1"/>
    <col min="10" max="10" width="15.85546875" style="481" customWidth="1"/>
    <col min="11" max="11" width="15.5703125" style="481" customWidth="1"/>
    <col min="12" max="12" width="13.42578125" style="481" customWidth="1"/>
    <col min="13" max="13" width="14" style="481" customWidth="1"/>
    <col min="14" max="14" width="15.140625" style="481" customWidth="1"/>
    <col min="15" max="15" width="5.140625" style="481" customWidth="1"/>
    <col min="16" max="16" width="0" style="481" hidden="1" customWidth="1"/>
    <col min="17" max="17" width="10.140625" style="481" customWidth="1"/>
    <col min="18" max="18" width="16.85546875" style="481" customWidth="1"/>
    <col min="19" max="19" width="13.5703125" style="481" customWidth="1"/>
    <col min="20" max="21" width="13.42578125" style="481" customWidth="1"/>
    <col min="22" max="22" width="13.5703125" style="481" customWidth="1"/>
    <col min="23" max="24" width="13.42578125" style="481" customWidth="1"/>
    <col min="25" max="25" width="13.5703125" style="481" customWidth="1"/>
    <col min="26" max="26" width="13.42578125" style="481" customWidth="1"/>
    <col min="27" max="27" width="0" style="481" hidden="1" customWidth="1"/>
    <col min="28" max="29" width="13.42578125" style="481" customWidth="1"/>
    <col min="30" max="30" width="13.5703125" style="481" customWidth="1"/>
    <col min="31" max="32" width="13.42578125" style="481" customWidth="1"/>
    <col min="33" max="33" width="13.5703125" style="481" customWidth="1"/>
    <col min="34" max="36" width="13.42578125" style="481" customWidth="1"/>
    <col min="37" max="37" width="0" style="481" hidden="1" customWidth="1"/>
    <col min="38" max="38" width="55.7109375" style="481" customWidth="1"/>
    <col min="39" max="16384" width="9.140625" style="481"/>
  </cols>
  <sheetData>
    <row r="1" spans="2:36" ht="23.45" customHeight="1" x14ac:dyDescent="0.25">
      <c r="B1" s="569" t="s">
        <v>619</v>
      </c>
      <c r="C1" s="569"/>
    </row>
    <row r="2" spans="2:36" ht="15" customHeight="1" x14ac:dyDescent="0.25"/>
    <row r="3" spans="2:36" ht="45.75" customHeight="1" x14ac:dyDescent="0.25">
      <c r="B3" s="570"/>
      <c r="C3" s="570"/>
    </row>
    <row r="4" spans="2:36" ht="11.85" customHeight="1" x14ac:dyDescent="0.25"/>
    <row r="5" spans="2:36" ht="17.100000000000001" customHeight="1" x14ac:dyDescent="0.25">
      <c r="B5" s="571" t="s">
        <v>620</v>
      </c>
      <c r="C5" s="571"/>
      <c r="D5" s="579" t="s">
        <v>1292</v>
      </c>
      <c r="E5" s="579"/>
      <c r="F5" s="579"/>
      <c r="G5" s="579"/>
      <c r="H5" s="579"/>
      <c r="I5" s="579"/>
      <c r="J5" s="579"/>
      <c r="K5" s="579"/>
      <c r="L5" s="579"/>
      <c r="M5" s="579"/>
      <c r="N5" s="579"/>
      <c r="O5" s="579"/>
    </row>
    <row r="6" spans="2:36" ht="17.100000000000001" customHeight="1" x14ac:dyDescent="0.25">
      <c r="B6" s="571" t="s">
        <v>466</v>
      </c>
      <c r="C6" s="571"/>
      <c r="D6" s="579" t="s">
        <v>1610</v>
      </c>
      <c r="E6" s="579"/>
      <c r="F6" s="579"/>
      <c r="G6" s="579"/>
      <c r="H6" s="579"/>
      <c r="I6" s="579"/>
      <c r="J6" s="579"/>
      <c r="K6" s="579"/>
      <c r="L6" s="579"/>
      <c r="M6" s="579"/>
      <c r="N6" s="579"/>
      <c r="O6" s="579"/>
    </row>
    <row r="7" spans="2:36" ht="17.100000000000001" customHeight="1" x14ac:dyDescent="0.25">
      <c r="B7" s="571" t="s">
        <v>467</v>
      </c>
      <c r="C7" s="571"/>
      <c r="D7" s="579" t="s">
        <v>1615</v>
      </c>
      <c r="E7" s="579"/>
      <c r="F7" s="579"/>
      <c r="G7" s="579"/>
      <c r="H7" s="579"/>
      <c r="I7" s="579"/>
      <c r="J7" s="579"/>
      <c r="K7" s="579"/>
      <c r="L7" s="579"/>
      <c r="M7" s="579"/>
      <c r="N7" s="579"/>
      <c r="O7" s="579"/>
    </row>
    <row r="8" spans="2:36" ht="17.100000000000001" customHeight="1" x14ac:dyDescent="0.25">
      <c r="B8" s="571" t="s">
        <v>621</v>
      </c>
      <c r="C8" s="571"/>
      <c r="D8" s="579" t="s">
        <v>468</v>
      </c>
      <c r="E8" s="579"/>
      <c r="F8" s="579"/>
      <c r="G8" s="579"/>
      <c r="H8" s="579"/>
      <c r="I8" s="579"/>
      <c r="J8" s="579"/>
      <c r="K8" s="579"/>
      <c r="L8" s="579"/>
      <c r="M8" s="579"/>
      <c r="N8" s="579"/>
      <c r="O8" s="579"/>
    </row>
    <row r="9" spans="2:36" ht="17.100000000000001" customHeight="1" x14ac:dyDescent="0.25">
      <c r="B9" s="571" t="s">
        <v>622</v>
      </c>
      <c r="C9" s="571"/>
      <c r="D9" s="579" t="s">
        <v>468</v>
      </c>
      <c r="E9" s="579"/>
      <c r="F9" s="579"/>
      <c r="G9" s="579"/>
      <c r="H9" s="579"/>
      <c r="I9" s="579"/>
      <c r="J9" s="579"/>
      <c r="K9" s="579"/>
      <c r="L9" s="579"/>
      <c r="M9" s="579"/>
      <c r="N9" s="579"/>
      <c r="O9" s="579"/>
    </row>
    <row r="10" spans="2:36" ht="16.899999999999999" customHeight="1" x14ac:dyDescent="0.25">
      <c r="B10" s="571" t="s">
        <v>623</v>
      </c>
      <c r="C10" s="571"/>
      <c r="D10" s="579" t="s">
        <v>468</v>
      </c>
      <c r="E10" s="579"/>
      <c r="F10" s="579"/>
      <c r="G10" s="579"/>
      <c r="H10" s="579"/>
      <c r="I10" s="579"/>
      <c r="J10" s="579"/>
      <c r="K10" s="579"/>
      <c r="L10" s="579"/>
      <c r="M10" s="579"/>
      <c r="N10" s="579"/>
      <c r="O10" s="579"/>
    </row>
    <row r="11" spans="2:36" ht="0" hidden="1" customHeight="1" x14ac:dyDescent="0.25"/>
    <row r="12" spans="2:36" ht="7.15" customHeight="1" thickBot="1" x14ac:dyDescent="0.3"/>
    <row r="13" spans="2:36" ht="17.100000000000001" customHeight="1" thickBot="1" x14ac:dyDescent="0.3">
      <c r="B13" s="572" t="s">
        <v>154</v>
      </c>
      <c r="C13" s="573"/>
      <c r="D13" s="573"/>
      <c r="E13" s="574"/>
      <c r="F13" s="572" t="s">
        <v>156</v>
      </c>
      <c r="G13" s="573"/>
      <c r="H13" s="573"/>
      <c r="I13" s="573"/>
      <c r="J13" s="574"/>
      <c r="K13" s="572" t="s">
        <v>624</v>
      </c>
      <c r="L13" s="573"/>
      <c r="M13" s="573"/>
      <c r="N13" s="573"/>
      <c r="O13" s="573"/>
      <c r="P13" s="573"/>
      <c r="Q13" s="573"/>
      <c r="R13" s="574"/>
      <c r="S13" s="572" t="s">
        <v>150</v>
      </c>
      <c r="T13" s="573"/>
      <c r="U13" s="573"/>
      <c r="V13" s="573"/>
      <c r="W13" s="573"/>
      <c r="X13" s="574"/>
      <c r="Y13" s="572" t="s">
        <v>151</v>
      </c>
      <c r="Z13" s="573"/>
      <c r="AA13" s="573"/>
      <c r="AB13" s="573"/>
      <c r="AC13" s="573"/>
      <c r="AD13" s="573"/>
      <c r="AE13" s="574"/>
      <c r="AF13" s="572" t="s">
        <v>155</v>
      </c>
      <c r="AG13" s="573"/>
      <c r="AH13" s="573"/>
      <c r="AI13" s="573"/>
      <c r="AJ13" s="574"/>
    </row>
    <row r="14" spans="2:36" ht="64.5" thickBot="1" x14ac:dyDescent="0.3">
      <c r="B14" s="482" t="s">
        <v>469</v>
      </c>
      <c r="C14" s="482" t="s">
        <v>157</v>
      </c>
      <c r="D14" s="482" t="s">
        <v>2</v>
      </c>
      <c r="E14" s="482" t="s">
        <v>463</v>
      </c>
      <c r="F14" s="482" t="s">
        <v>625</v>
      </c>
      <c r="G14" s="482" t="s">
        <v>1360</v>
      </c>
      <c r="H14" s="572" t="s">
        <v>158</v>
      </c>
      <c r="I14" s="574"/>
      <c r="J14" s="482" t="s">
        <v>626</v>
      </c>
      <c r="K14" s="482" t="s">
        <v>470</v>
      </c>
      <c r="L14" s="482" t="s">
        <v>1360</v>
      </c>
      <c r="M14" s="482" t="s">
        <v>471</v>
      </c>
      <c r="N14" s="482" t="s">
        <v>426</v>
      </c>
      <c r="O14" s="572" t="s">
        <v>460</v>
      </c>
      <c r="P14" s="573"/>
      <c r="Q14" s="574"/>
      <c r="R14" s="482" t="s">
        <v>472</v>
      </c>
      <c r="S14" s="482" t="s">
        <v>470</v>
      </c>
      <c r="T14" s="482" t="s">
        <v>1360</v>
      </c>
      <c r="U14" s="482" t="s">
        <v>473</v>
      </c>
      <c r="V14" s="482" t="s">
        <v>426</v>
      </c>
      <c r="W14" s="482" t="s">
        <v>460</v>
      </c>
      <c r="X14" s="482" t="s">
        <v>472</v>
      </c>
      <c r="Y14" s="482" t="s">
        <v>470</v>
      </c>
      <c r="Z14" s="482" t="s">
        <v>1360</v>
      </c>
      <c r="AB14" s="482" t="s">
        <v>474</v>
      </c>
      <c r="AC14" s="482" t="s">
        <v>426</v>
      </c>
      <c r="AD14" s="482" t="s">
        <v>460</v>
      </c>
      <c r="AE14" s="482" t="s">
        <v>472</v>
      </c>
      <c r="AF14" s="482" t="s">
        <v>475</v>
      </c>
      <c r="AG14" s="482" t="s">
        <v>1360</v>
      </c>
      <c r="AH14" s="482" t="s">
        <v>476</v>
      </c>
      <c r="AI14" s="482" t="s">
        <v>426</v>
      </c>
      <c r="AJ14" s="482" t="s">
        <v>460</v>
      </c>
    </row>
    <row r="15" spans="2:36" ht="15.75" thickBot="1" x14ac:dyDescent="0.3">
      <c r="B15" s="482" t="s">
        <v>0</v>
      </c>
      <c r="C15" s="482" t="s">
        <v>4</v>
      </c>
      <c r="D15" s="482" t="s">
        <v>7</v>
      </c>
      <c r="E15" s="482" t="s">
        <v>153</v>
      </c>
      <c r="F15" s="482" t="s">
        <v>12</v>
      </c>
      <c r="G15" s="482" t="s">
        <v>1314</v>
      </c>
      <c r="H15" s="572" t="s">
        <v>10</v>
      </c>
      <c r="I15" s="574"/>
      <c r="J15" s="482" t="s">
        <v>627</v>
      </c>
      <c r="K15" s="482" t="s">
        <v>18</v>
      </c>
      <c r="L15" s="482" t="s">
        <v>1314</v>
      </c>
      <c r="M15" s="482" t="s">
        <v>628</v>
      </c>
      <c r="N15" s="482" t="s">
        <v>22</v>
      </c>
      <c r="O15" s="572" t="s">
        <v>23</v>
      </c>
      <c r="P15" s="573"/>
      <c r="Q15" s="574"/>
      <c r="R15" s="482" t="s">
        <v>24</v>
      </c>
      <c r="S15" s="482" t="s">
        <v>29</v>
      </c>
      <c r="T15" s="482" t="s">
        <v>1314</v>
      </c>
      <c r="U15" s="482" t="s">
        <v>629</v>
      </c>
      <c r="V15" s="482" t="s">
        <v>32</v>
      </c>
      <c r="W15" s="482" t="s">
        <v>45</v>
      </c>
      <c r="X15" s="482" t="s">
        <v>47</v>
      </c>
      <c r="Y15" s="482" t="s">
        <v>51</v>
      </c>
      <c r="Z15" s="482" t="s">
        <v>1314</v>
      </c>
      <c r="AB15" s="482" t="s">
        <v>630</v>
      </c>
      <c r="AC15" s="482" t="s">
        <v>53</v>
      </c>
      <c r="AD15" s="482" t="s">
        <v>54</v>
      </c>
      <c r="AE15" s="482" t="s">
        <v>55</v>
      </c>
      <c r="AF15" s="482" t="s">
        <v>71</v>
      </c>
      <c r="AG15" s="482" t="s">
        <v>1314</v>
      </c>
      <c r="AH15" s="482" t="s">
        <v>631</v>
      </c>
      <c r="AI15" s="482" t="s">
        <v>73</v>
      </c>
      <c r="AJ15" s="482" t="s">
        <v>74</v>
      </c>
    </row>
    <row r="16" spans="2:36" x14ac:dyDescent="0.25">
      <c r="B16" s="483"/>
      <c r="C16" s="483" t="s">
        <v>477</v>
      </c>
      <c r="D16" s="483"/>
      <c r="E16" s="483"/>
      <c r="F16" s="484">
        <v>4572984969.0699997</v>
      </c>
      <c r="G16" s="484">
        <v>263688513.5</v>
      </c>
      <c r="H16" s="575">
        <v>223410837</v>
      </c>
      <c r="I16" s="576"/>
      <c r="J16" s="484">
        <v>4796395806.0699997</v>
      </c>
      <c r="K16" s="484">
        <v>4343620906.6700001</v>
      </c>
      <c r="L16" s="484">
        <v>157226274.03</v>
      </c>
      <c r="M16" s="485">
        <v>0.94984368766760996</v>
      </c>
      <c r="N16" s="485">
        <v>-6.8448548511992405E-3</v>
      </c>
      <c r="O16" s="580">
        <v>-7.1547369357824898E-3</v>
      </c>
      <c r="P16" s="581"/>
      <c r="Q16" s="582"/>
      <c r="R16" s="483">
        <v>2450</v>
      </c>
      <c r="S16" s="484">
        <v>4343620906.6700001</v>
      </c>
      <c r="T16" s="484">
        <v>157226274.03</v>
      </c>
      <c r="U16" s="485">
        <v>0.94984368766760996</v>
      </c>
      <c r="V16" s="485">
        <v>-6.8448548511992405E-3</v>
      </c>
      <c r="W16" s="485">
        <v>-7.1547369357824898E-3</v>
      </c>
      <c r="X16" s="483">
        <v>2450</v>
      </c>
      <c r="Y16" s="484">
        <v>4343620906.6700001</v>
      </c>
      <c r="Z16" s="484">
        <v>157226274.03</v>
      </c>
      <c r="AB16" s="485">
        <v>0.94984368766760996</v>
      </c>
      <c r="AC16" s="485">
        <v>-6.8448548511992405E-3</v>
      </c>
      <c r="AD16" s="485">
        <v>-7.1547369357824898E-3</v>
      </c>
      <c r="AE16" s="483">
        <v>2450</v>
      </c>
      <c r="AF16" s="484">
        <v>4510201350.6800003</v>
      </c>
      <c r="AG16" s="484">
        <v>191712118.22</v>
      </c>
      <c r="AH16" s="485">
        <v>0.98627075776223949</v>
      </c>
      <c r="AI16" s="485">
        <v>5.260807145161588E-5</v>
      </c>
      <c r="AJ16" s="485">
        <v>5.3343240000308514E-5</v>
      </c>
    </row>
    <row r="17" spans="2:36" x14ac:dyDescent="0.25">
      <c r="B17" s="483"/>
      <c r="C17" s="483" t="s">
        <v>229</v>
      </c>
      <c r="D17" s="483"/>
      <c r="E17" s="483"/>
      <c r="F17" s="484">
        <v>2620634913.0700002</v>
      </c>
      <c r="G17" s="484">
        <v>241199426.5</v>
      </c>
      <c r="H17" s="577">
        <v>41243234</v>
      </c>
      <c r="I17" s="578"/>
      <c r="J17" s="484">
        <v>2661878147.0700002</v>
      </c>
      <c r="K17" s="484">
        <v>2333854638.0999999</v>
      </c>
      <c r="L17" s="484">
        <v>135758439.81</v>
      </c>
      <c r="M17" s="485">
        <v>0.89056839869615989</v>
      </c>
      <c r="N17" s="485">
        <v>-1.1944211761008431E-2</v>
      </c>
      <c r="O17" s="583">
        <v>-1.3234398747024801E-2</v>
      </c>
      <c r="P17" s="584"/>
      <c r="Q17" s="585"/>
      <c r="R17" s="483">
        <v>1725</v>
      </c>
      <c r="S17" s="484">
        <v>2333854638.0999999</v>
      </c>
      <c r="T17" s="484">
        <v>135758439.81</v>
      </c>
      <c r="U17" s="485">
        <v>0.89056839869615989</v>
      </c>
      <c r="V17" s="485">
        <v>-1.1944211761008431E-2</v>
      </c>
      <c r="W17" s="485">
        <v>-1.3234398747024801E-2</v>
      </c>
      <c r="X17" s="483">
        <v>1725</v>
      </c>
      <c r="Y17" s="484">
        <v>2333854638.0999999</v>
      </c>
      <c r="Z17" s="484">
        <v>135758439.81</v>
      </c>
      <c r="AB17" s="485">
        <v>0.89056839869615989</v>
      </c>
      <c r="AC17" s="485">
        <v>-1.1944211761008431E-2</v>
      </c>
      <c r="AD17" s="485">
        <v>-1.3234398747024801E-2</v>
      </c>
      <c r="AE17" s="483">
        <v>1725</v>
      </c>
      <c r="AF17" s="484">
        <v>2498813186.9099998</v>
      </c>
      <c r="AG17" s="484">
        <v>170583248.69999999</v>
      </c>
      <c r="AH17" s="485">
        <v>0.95351442295436362</v>
      </c>
      <c r="AI17" s="485">
        <v>9.580728652732159E-5</v>
      </c>
      <c r="AJ17" s="485">
        <v>1.0048816433085057E-4</v>
      </c>
    </row>
    <row r="18" spans="2:36" x14ac:dyDescent="0.25">
      <c r="B18" s="483"/>
      <c r="C18" s="483" t="s">
        <v>228</v>
      </c>
      <c r="D18" s="483"/>
      <c r="E18" s="483"/>
      <c r="F18" s="484">
        <v>676704825</v>
      </c>
      <c r="G18" s="484">
        <v>22489087</v>
      </c>
      <c r="H18" s="577">
        <v>1589796</v>
      </c>
      <c r="I18" s="578"/>
      <c r="J18" s="484">
        <v>678294621</v>
      </c>
      <c r="K18" s="484">
        <v>689209409.94000006</v>
      </c>
      <c r="L18" s="484">
        <v>21467834.219999999</v>
      </c>
      <c r="M18" s="485">
        <v>1.0184786401367834</v>
      </c>
      <c r="N18" s="485">
        <v>0</v>
      </c>
      <c r="O18" s="583">
        <v>0</v>
      </c>
      <c r="P18" s="584"/>
      <c r="Q18" s="585"/>
      <c r="R18" s="483">
        <v>329</v>
      </c>
      <c r="S18" s="484">
        <v>689209409.94000006</v>
      </c>
      <c r="T18" s="484">
        <v>21467834.219999999</v>
      </c>
      <c r="U18" s="485">
        <v>1.0184786401367834</v>
      </c>
      <c r="V18" s="485">
        <v>0</v>
      </c>
      <c r="W18" s="485">
        <v>0</v>
      </c>
      <c r="X18" s="483">
        <v>329</v>
      </c>
      <c r="Y18" s="484">
        <v>689209409.94000006</v>
      </c>
      <c r="Z18" s="484">
        <v>21467834.219999999</v>
      </c>
      <c r="AB18" s="485">
        <v>1.0184786401367834</v>
      </c>
      <c r="AC18" s="485">
        <v>0</v>
      </c>
      <c r="AD18" s="485">
        <v>0</v>
      </c>
      <c r="AE18" s="483">
        <v>329</v>
      </c>
      <c r="AF18" s="484">
        <v>688047495.73000002</v>
      </c>
      <c r="AG18" s="484">
        <v>21128869.52</v>
      </c>
      <c r="AH18" s="485">
        <v>1.0167616223661475</v>
      </c>
      <c r="AI18" s="485">
        <v>0</v>
      </c>
      <c r="AJ18" s="485">
        <v>0</v>
      </c>
    </row>
    <row r="19" spans="2:36" x14ac:dyDescent="0.25">
      <c r="B19" s="483"/>
      <c r="C19" s="483" t="s">
        <v>478</v>
      </c>
      <c r="D19" s="483"/>
      <c r="E19" s="483"/>
      <c r="F19" s="484">
        <v>29010639</v>
      </c>
      <c r="G19" s="484">
        <v>0</v>
      </c>
      <c r="H19" s="577">
        <v>0</v>
      </c>
      <c r="I19" s="578"/>
      <c r="J19" s="484">
        <v>29010639</v>
      </c>
      <c r="K19" s="484">
        <v>28810403.620000001</v>
      </c>
      <c r="L19" s="484">
        <v>0</v>
      </c>
      <c r="M19" s="485">
        <v>0.99309786385608401</v>
      </c>
      <c r="N19" s="485">
        <v>0</v>
      </c>
      <c r="O19" s="583">
        <v>0</v>
      </c>
      <c r="P19" s="584"/>
      <c r="Q19" s="585"/>
      <c r="R19" s="483">
        <v>2</v>
      </c>
      <c r="S19" s="484">
        <v>28810403.620000001</v>
      </c>
      <c r="T19" s="484">
        <v>0</v>
      </c>
      <c r="U19" s="485">
        <v>0.99309786385608401</v>
      </c>
      <c r="V19" s="485">
        <v>0</v>
      </c>
      <c r="W19" s="485">
        <v>0</v>
      </c>
      <c r="X19" s="483">
        <v>2</v>
      </c>
      <c r="Y19" s="484">
        <v>28810403.620000001</v>
      </c>
      <c r="Z19" s="484">
        <v>0</v>
      </c>
      <c r="AB19" s="485">
        <v>0.99309786385608401</v>
      </c>
      <c r="AC19" s="485">
        <v>0</v>
      </c>
      <c r="AD19" s="485">
        <v>0</v>
      </c>
      <c r="AE19" s="483">
        <v>2</v>
      </c>
      <c r="AF19" s="484">
        <v>28810403.620000001</v>
      </c>
      <c r="AG19" s="484">
        <v>0</v>
      </c>
      <c r="AH19" s="485">
        <v>0.99309786385608401</v>
      </c>
      <c r="AI19" s="485">
        <v>0</v>
      </c>
      <c r="AJ19" s="485">
        <v>0</v>
      </c>
    </row>
    <row r="20" spans="2:36" x14ac:dyDescent="0.25">
      <c r="B20" s="483"/>
      <c r="C20" s="483" t="s">
        <v>230</v>
      </c>
      <c r="D20" s="483"/>
      <c r="E20" s="483"/>
      <c r="F20" s="484">
        <v>1246634592</v>
      </c>
      <c r="G20" s="484">
        <v>0</v>
      </c>
      <c r="H20" s="577">
        <v>126478732</v>
      </c>
      <c r="I20" s="578"/>
      <c r="J20" s="484">
        <v>1373113324</v>
      </c>
      <c r="K20" s="484">
        <v>1291746455.01</v>
      </c>
      <c r="L20" s="484">
        <v>0</v>
      </c>
      <c r="M20" s="485">
        <v>1.0361869174010534</v>
      </c>
      <c r="N20" s="485">
        <v>0</v>
      </c>
      <c r="O20" s="583">
        <v>0</v>
      </c>
      <c r="P20" s="584"/>
      <c r="Q20" s="585"/>
      <c r="R20" s="483">
        <v>394</v>
      </c>
      <c r="S20" s="484">
        <v>1291746455.01</v>
      </c>
      <c r="T20" s="484">
        <v>0</v>
      </c>
      <c r="U20" s="485">
        <v>1.0361869174010534</v>
      </c>
      <c r="V20" s="485">
        <v>0</v>
      </c>
      <c r="W20" s="485">
        <v>0</v>
      </c>
      <c r="X20" s="483">
        <v>394</v>
      </c>
      <c r="Y20" s="484">
        <v>1291746455.01</v>
      </c>
      <c r="Z20" s="484">
        <v>0</v>
      </c>
      <c r="AB20" s="485">
        <v>1.0361869174010534</v>
      </c>
      <c r="AC20" s="485">
        <v>0</v>
      </c>
      <c r="AD20" s="485">
        <v>0</v>
      </c>
      <c r="AE20" s="483">
        <v>394</v>
      </c>
      <c r="AF20" s="484">
        <v>1294530264.4200001</v>
      </c>
      <c r="AG20" s="484">
        <v>0</v>
      </c>
      <c r="AH20" s="485">
        <v>1.0384199770545113</v>
      </c>
      <c r="AI20" s="485">
        <v>-8.4226765945541801E-6</v>
      </c>
      <c r="AJ20" s="485">
        <v>-8.1109844421966658E-6</v>
      </c>
    </row>
    <row r="21" spans="2:36" x14ac:dyDescent="0.25">
      <c r="B21" s="486" t="s">
        <v>238</v>
      </c>
      <c r="C21" s="486" t="s">
        <v>479</v>
      </c>
      <c r="D21" s="486"/>
      <c r="E21" s="486"/>
      <c r="F21" s="487">
        <v>448221139</v>
      </c>
      <c r="G21" s="487">
        <v>17456150</v>
      </c>
      <c r="H21" s="567">
        <v>2927032</v>
      </c>
      <c r="I21" s="568"/>
      <c r="J21" s="487">
        <v>451148171</v>
      </c>
      <c r="K21" s="487">
        <v>428443078.05000001</v>
      </c>
      <c r="L21" s="487">
        <v>8487304.0299999993</v>
      </c>
      <c r="M21" s="488">
        <v>0.95587432356687663</v>
      </c>
      <c r="N21" s="488">
        <v>-1.1557176668546193E-2</v>
      </c>
      <c r="O21" s="559">
        <v>-1.1946248045193663E-2</v>
      </c>
      <c r="P21" s="560"/>
      <c r="Q21" s="561"/>
      <c r="R21" s="486">
        <v>346</v>
      </c>
      <c r="S21" s="487">
        <v>428443078.05000001</v>
      </c>
      <c r="T21" s="487">
        <v>8487304.0299999993</v>
      </c>
      <c r="U21" s="488">
        <v>0.95587432356687663</v>
      </c>
      <c r="V21" s="488">
        <v>-1.1557176668546193E-2</v>
      </c>
      <c r="W21" s="488">
        <v>-1.1946248045193663E-2</v>
      </c>
      <c r="X21" s="486">
        <v>346</v>
      </c>
      <c r="Y21" s="487">
        <v>428443078.05000001</v>
      </c>
      <c r="Z21" s="487">
        <v>8487304.0299999993</v>
      </c>
      <c r="AB21" s="488">
        <v>0.95587432356687663</v>
      </c>
      <c r="AC21" s="488">
        <v>-1.1557176668546193E-2</v>
      </c>
      <c r="AD21" s="488">
        <v>-1.1946248045193663E-2</v>
      </c>
      <c r="AE21" s="486">
        <v>346</v>
      </c>
      <c r="AF21" s="487">
        <v>417881843.23000002</v>
      </c>
      <c r="AG21" s="487">
        <v>10062683.279999999</v>
      </c>
      <c r="AH21" s="488">
        <v>0.93231176950357975</v>
      </c>
      <c r="AI21" s="488">
        <v>4.4105251358972608E-4</v>
      </c>
      <c r="AJ21" s="488">
        <v>4.7329796456568315E-4</v>
      </c>
    </row>
    <row r="22" spans="2:36" ht="38.25" x14ac:dyDescent="0.25">
      <c r="B22" s="489" t="s">
        <v>480</v>
      </c>
      <c r="C22" s="489" t="s">
        <v>481</v>
      </c>
      <c r="D22" s="489"/>
      <c r="E22" s="489"/>
      <c r="F22" s="490">
        <v>291706975</v>
      </c>
      <c r="G22" s="490">
        <v>6741442</v>
      </c>
      <c r="H22" s="562">
        <v>2927032</v>
      </c>
      <c r="I22" s="563"/>
      <c r="J22" s="490">
        <v>294634007</v>
      </c>
      <c r="K22" s="490">
        <v>281929187.73000002</v>
      </c>
      <c r="L22" s="490">
        <v>6665621.9199999999</v>
      </c>
      <c r="M22" s="491">
        <v>0.96648079028621103</v>
      </c>
      <c r="N22" s="491">
        <v>0</v>
      </c>
      <c r="O22" s="564">
        <v>0</v>
      </c>
      <c r="P22" s="565"/>
      <c r="Q22" s="566"/>
      <c r="R22" s="489">
        <v>276</v>
      </c>
      <c r="S22" s="490">
        <v>281929187.73000002</v>
      </c>
      <c r="T22" s="490">
        <v>6665621.9199999999</v>
      </c>
      <c r="U22" s="491">
        <v>0.96648079028621103</v>
      </c>
      <c r="V22" s="491">
        <v>0</v>
      </c>
      <c r="W22" s="491">
        <v>0</v>
      </c>
      <c r="X22" s="489">
        <v>276</v>
      </c>
      <c r="Y22" s="490">
        <v>281929187.73000002</v>
      </c>
      <c r="Z22" s="490">
        <v>6665621.9199999999</v>
      </c>
      <c r="AB22" s="491">
        <v>0.96648079028621103</v>
      </c>
      <c r="AC22" s="491">
        <v>0</v>
      </c>
      <c r="AD22" s="491">
        <v>0</v>
      </c>
      <c r="AE22" s="489">
        <v>276</v>
      </c>
      <c r="AF22" s="490">
        <v>278585297.83999997</v>
      </c>
      <c r="AG22" s="490">
        <v>6665621.9199999999</v>
      </c>
      <c r="AH22" s="491">
        <v>0.95501760916069967</v>
      </c>
      <c r="AI22" s="491">
        <v>0</v>
      </c>
      <c r="AJ22" s="491">
        <v>0</v>
      </c>
    </row>
    <row r="23" spans="2:36" ht="38.25" x14ac:dyDescent="0.25">
      <c r="B23" s="489" t="s">
        <v>428</v>
      </c>
      <c r="C23" s="489" t="s">
        <v>482</v>
      </c>
      <c r="D23" s="489" t="s">
        <v>344</v>
      </c>
      <c r="E23" s="489" t="s">
        <v>483</v>
      </c>
      <c r="F23" s="490">
        <v>291706975</v>
      </c>
      <c r="G23" s="490">
        <v>6741442</v>
      </c>
      <c r="H23" s="562">
        <v>2927032</v>
      </c>
      <c r="I23" s="563"/>
      <c r="J23" s="490">
        <v>294634007</v>
      </c>
      <c r="K23" s="490">
        <v>281929187.73000002</v>
      </c>
      <c r="L23" s="490">
        <v>6665621.9199999999</v>
      </c>
      <c r="M23" s="491">
        <v>0.96648079028621103</v>
      </c>
      <c r="N23" s="491">
        <v>0</v>
      </c>
      <c r="O23" s="564">
        <v>0</v>
      </c>
      <c r="P23" s="565"/>
      <c r="Q23" s="566"/>
      <c r="R23" s="489">
        <v>276</v>
      </c>
      <c r="S23" s="490">
        <v>281929187.73000002</v>
      </c>
      <c r="T23" s="490">
        <v>6665621.9199999999</v>
      </c>
      <c r="U23" s="491">
        <v>0.96648079028621103</v>
      </c>
      <c r="V23" s="491">
        <v>0</v>
      </c>
      <c r="W23" s="491">
        <v>0</v>
      </c>
      <c r="X23" s="489">
        <v>276</v>
      </c>
      <c r="Y23" s="490">
        <v>281929187.73000002</v>
      </c>
      <c r="Z23" s="490">
        <v>6665621.9199999999</v>
      </c>
      <c r="AB23" s="491">
        <v>0.96648079028621103</v>
      </c>
      <c r="AC23" s="491">
        <v>0</v>
      </c>
      <c r="AD23" s="491">
        <v>0</v>
      </c>
      <c r="AE23" s="489">
        <v>276</v>
      </c>
      <c r="AF23" s="490">
        <v>278585297.83999997</v>
      </c>
      <c r="AG23" s="490">
        <v>6665621.9199999999</v>
      </c>
      <c r="AH23" s="491">
        <v>0.95501760916069967</v>
      </c>
      <c r="AI23" s="491">
        <v>0</v>
      </c>
      <c r="AJ23" s="491">
        <v>0</v>
      </c>
    </row>
    <row r="24" spans="2:36" ht="38.25" x14ac:dyDescent="0.25">
      <c r="B24" s="489" t="s">
        <v>239</v>
      </c>
      <c r="C24" s="489" t="s">
        <v>161</v>
      </c>
      <c r="D24" s="489" t="s">
        <v>344</v>
      </c>
      <c r="E24" s="489" t="s">
        <v>483</v>
      </c>
      <c r="F24" s="490">
        <v>94069872</v>
      </c>
      <c r="G24" s="490">
        <v>6741442</v>
      </c>
      <c r="H24" s="562">
        <v>2524642</v>
      </c>
      <c r="I24" s="563"/>
      <c r="J24" s="490">
        <v>96594514</v>
      </c>
      <c r="K24" s="490">
        <v>93197315</v>
      </c>
      <c r="L24" s="490">
        <v>6665621.9199999999</v>
      </c>
      <c r="M24" s="491">
        <v>0.99072437347421927</v>
      </c>
      <c r="N24" s="491">
        <v>0</v>
      </c>
      <c r="O24" s="564">
        <v>0</v>
      </c>
      <c r="P24" s="565"/>
      <c r="Q24" s="566"/>
      <c r="R24" s="489">
        <v>217</v>
      </c>
      <c r="S24" s="490">
        <v>93197315</v>
      </c>
      <c r="T24" s="490">
        <v>6665621.9199999999</v>
      </c>
      <c r="U24" s="491">
        <v>0.99072437347421927</v>
      </c>
      <c r="V24" s="491">
        <v>0</v>
      </c>
      <c r="W24" s="491">
        <v>0</v>
      </c>
      <c r="X24" s="489">
        <v>217</v>
      </c>
      <c r="Y24" s="490">
        <v>93197315</v>
      </c>
      <c r="Z24" s="490">
        <v>6665621.9199999999</v>
      </c>
      <c r="AB24" s="491">
        <v>0.99072437347421927</v>
      </c>
      <c r="AC24" s="491">
        <v>0</v>
      </c>
      <c r="AD24" s="491">
        <v>0</v>
      </c>
      <c r="AE24" s="489">
        <v>217</v>
      </c>
      <c r="AF24" s="490">
        <v>92334548.290000007</v>
      </c>
      <c r="AG24" s="490">
        <v>6665621.9199999999</v>
      </c>
      <c r="AH24" s="491">
        <v>0.9815528216090269</v>
      </c>
      <c r="AI24" s="491">
        <v>0</v>
      </c>
      <c r="AJ24" s="491">
        <v>0</v>
      </c>
    </row>
    <row r="25" spans="2:36" ht="38.25" x14ac:dyDescent="0.25">
      <c r="B25" s="489" t="s">
        <v>240</v>
      </c>
      <c r="C25" s="489" t="s">
        <v>162</v>
      </c>
      <c r="D25" s="489" t="s">
        <v>344</v>
      </c>
      <c r="E25" s="489" t="s">
        <v>483</v>
      </c>
      <c r="F25" s="490">
        <v>39898294</v>
      </c>
      <c r="G25" s="490">
        <v>0</v>
      </c>
      <c r="H25" s="562">
        <v>0</v>
      </c>
      <c r="I25" s="563"/>
      <c r="J25" s="490">
        <v>39898294</v>
      </c>
      <c r="K25" s="490">
        <v>38000134.719999999</v>
      </c>
      <c r="L25" s="490">
        <v>0</v>
      </c>
      <c r="M25" s="491">
        <v>0.95242505155734225</v>
      </c>
      <c r="N25" s="491">
        <v>0</v>
      </c>
      <c r="O25" s="564">
        <v>0</v>
      </c>
      <c r="P25" s="565"/>
      <c r="Q25" s="566"/>
      <c r="R25" s="489">
        <v>1</v>
      </c>
      <c r="S25" s="490">
        <v>38000134.719999999</v>
      </c>
      <c r="T25" s="490">
        <v>0</v>
      </c>
      <c r="U25" s="491">
        <v>0.95242505155734225</v>
      </c>
      <c r="V25" s="491">
        <v>0</v>
      </c>
      <c r="W25" s="491">
        <v>0</v>
      </c>
      <c r="X25" s="489">
        <v>1</v>
      </c>
      <c r="Y25" s="490">
        <v>38000134.719999999</v>
      </c>
      <c r="Z25" s="490">
        <v>0</v>
      </c>
      <c r="AB25" s="491">
        <v>0.95242505155734225</v>
      </c>
      <c r="AC25" s="491">
        <v>0</v>
      </c>
      <c r="AD25" s="491">
        <v>0</v>
      </c>
      <c r="AE25" s="489">
        <v>1</v>
      </c>
      <c r="AF25" s="490">
        <v>38000134.719999999</v>
      </c>
      <c r="AG25" s="490">
        <v>0</v>
      </c>
      <c r="AH25" s="491">
        <v>0.95242505155734225</v>
      </c>
      <c r="AI25" s="491">
        <v>0</v>
      </c>
      <c r="AJ25" s="491">
        <v>0</v>
      </c>
    </row>
    <row r="26" spans="2:36" ht="38.25" x14ac:dyDescent="0.25">
      <c r="B26" s="489" t="s">
        <v>241</v>
      </c>
      <c r="C26" s="489" t="s">
        <v>610</v>
      </c>
      <c r="D26" s="489" t="s">
        <v>344</v>
      </c>
      <c r="E26" s="489" t="s">
        <v>483</v>
      </c>
      <c r="F26" s="490">
        <v>15370399</v>
      </c>
      <c r="G26" s="490">
        <v>0</v>
      </c>
      <c r="H26" s="562">
        <v>0</v>
      </c>
      <c r="I26" s="563"/>
      <c r="J26" s="490">
        <v>15370399</v>
      </c>
      <c r="K26" s="490">
        <v>11654365.91</v>
      </c>
      <c r="L26" s="490">
        <v>0</v>
      </c>
      <c r="M26" s="491">
        <v>0.75823444205970192</v>
      </c>
      <c r="N26" s="491">
        <v>0</v>
      </c>
      <c r="O26" s="564">
        <v>0</v>
      </c>
      <c r="P26" s="565"/>
      <c r="Q26" s="566"/>
      <c r="R26" s="489">
        <v>11</v>
      </c>
      <c r="S26" s="490">
        <v>11654365.91</v>
      </c>
      <c r="T26" s="490">
        <v>0</v>
      </c>
      <c r="U26" s="491">
        <v>0.75823444205970192</v>
      </c>
      <c r="V26" s="491">
        <v>0</v>
      </c>
      <c r="W26" s="491">
        <v>0</v>
      </c>
      <c r="X26" s="489">
        <v>11</v>
      </c>
      <c r="Y26" s="490">
        <v>11654365.91</v>
      </c>
      <c r="Z26" s="490">
        <v>0</v>
      </c>
      <c r="AB26" s="491">
        <v>0.75823444205970192</v>
      </c>
      <c r="AC26" s="491">
        <v>0</v>
      </c>
      <c r="AD26" s="491">
        <v>0</v>
      </c>
      <c r="AE26" s="489">
        <v>11</v>
      </c>
      <c r="AF26" s="490">
        <v>10860993.67</v>
      </c>
      <c r="AG26" s="490">
        <v>0</v>
      </c>
      <c r="AH26" s="491">
        <v>0.70661754909550489</v>
      </c>
      <c r="AI26" s="491">
        <v>0</v>
      </c>
      <c r="AJ26" s="491">
        <v>0</v>
      </c>
    </row>
    <row r="27" spans="2:36" ht="38.25" x14ac:dyDescent="0.25">
      <c r="B27" s="489" t="s">
        <v>242</v>
      </c>
      <c r="C27" s="489" t="s">
        <v>164</v>
      </c>
      <c r="D27" s="489" t="s">
        <v>344</v>
      </c>
      <c r="E27" s="489" t="s">
        <v>483</v>
      </c>
      <c r="F27" s="490">
        <v>111692482</v>
      </c>
      <c r="G27" s="490">
        <v>0</v>
      </c>
      <c r="H27" s="562">
        <v>0</v>
      </c>
      <c r="I27" s="563"/>
      <c r="J27" s="490">
        <v>111692482</v>
      </c>
      <c r="K27" s="490">
        <v>111452668.62</v>
      </c>
      <c r="L27" s="490">
        <v>0</v>
      </c>
      <c r="M27" s="491">
        <v>0.99785291386039754</v>
      </c>
      <c r="N27" s="491">
        <v>0</v>
      </c>
      <c r="O27" s="564">
        <v>0</v>
      </c>
      <c r="P27" s="565"/>
      <c r="Q27" s="566"/>
      <c r="R27" s="489">
        <v>14</v>
      </c>
      <c r="S27" s="490">
        <v>111452668.62</v>
      </c>
      <c r="T27" s="490">
        <v>0</v>
      </c>
      <c r="U27" s="491">
        <v>0.99785291386039754</v>
      </c>
      <c r="V27" s="491">
        <v>0</v>
      </c>
      <c r="W27" s="491">
        <v>0</v>
      </c>
      <c r="X27" s="489">
        <v>14</v>
      </c>
      <c r="Y27" s="490">
        <v>111452668.62</v>
      </c>
      <c r="Z27" s="490">
        <v>0</v>
      </c>
      <c r="AB27" s="491">
        <v>0.99785291386039754</v>
      </c>
      <c r="AC27" s="491">
        <v>0</v>
      </c>
      <c r="AD27" s="491">
        <v>0</v>
      </c>
      <c r="AE27" s="489">
        <v>14</v>
      </c>
      <c r="AF27" s="490">
        <v>109826066.93000001</v>
      </c>
      <c r="AG27" s="490">
        <v>0</v>
      </c>
      <c r="AH27" s="491">
        <v>0.98328969831649005</v>
      </c>
      <c r="AI27" s="491">
        <v>0</v>
      </c>
      <c r="AJ27" s="491">
        <v>0</v>
      </c>
    </row>
    <row r="28" spans="2:36" ht="38.25" x14ac:dyDescent="0.25">
      <c r="B28" s="489" t="s">
        <v>243</v>
      </c>
      <c r="C28" s="489" t="s">
        <v>165</v>
      </c>
      <c r="D28" s="489" t="s">
        <v>344</v>
      </c>
      <c r="E28" s="489" t="s">
        <v>483</v>
      </c>
      <c r="F28" s="490">
        <v>30675928</v>
      </c>
      <c r="G28" s="490">
        <v>0</v>
      </c>
      <c r="H28" s="562">
        <v>402390</v>
      </c>
      <c r="I28" s="563"/>
      <c r="J28" s="490">
        <v>31078318</v>
      </c>
      <c r="K28" s="490">
        <v>27624703.48</v>
      </c>
      <c r="L28" s="490">
        <v>0</v>
      </c>
      <c r="M28" s="491">
        <v>0.90053358711756004</v>
      </c>
      <c r="N28" s="491">
        <v>0</v>
      </c>
      <c r="O28" s="564">
        <v>0</v>
      </c>
      <c r="P28" s="565"/>
      <c r="Q28" s="566"/>
      <c r="R28" s="489">
        <v>33</v>
      </c>
      <c r="S28" s="490">
        <v>27624703.48</v>
      </c>
      <c r="T28" s="490">
        <v>0</v>
      </c>
      <c r="U28" s="491">
        <v>0.90053358711756004</v>
      </c>
      <c r="V28" s="491">
        <v>0</v>
      </c>
      <c r="W28" s="491">
        <v>0</v>
      </c>
      <c r="X28" s="489">
        <v>33</v>
      </c>
      <c r="Y28" s="490">
        <v>27624703.48</v>
      </c>
      <c r="Z28" s="490">
        <v>0</v>
      </c>
      <c r="AB28" s="491">
        <v>0.90053358711756004</v>
      </c>
      <c r="AC28" s="491">
        <v>0</v>
      </c>
      <c r="AD28" s="491">
        <v>0</v>
      </c>
      <c r="AE28" s="489">
        <v>33</v>
      </c>
      <c r="AF28" s="490">
        <v>27563554.23</v>
      </c>
      <c r="AG28" s="490">
        <v>0</v>
      </c>
      <c r="AH28" s="491">
        <v>0.89854019184032508</v>
      </c>
      <c r="AI28" s="491">
        <v>0</v>
      </c>
      <c r="AJ28" s="491">
        <v>0</v>
      </c>
    </row>
    <row r="29" spans="2:36" ht="191.25" x14ac:dyDescent="0.25">
      <c r="B29" s="489" t="s">
        <v>484</v>
      </c>
      <c r="C29" s="489" t="s">
        <v>485</v>
      </c>
      <c r="D29" s="489"/>
      <c r="E29" s="489"/>
      <c r="F29" s="490">
        <v>173970314</v>
      </c>
      <c r="G29" s="490">
        <v>10714708</v>
      </c>
      <c r="H29" s="562">
        <v>0</v>
      </c>
      <c r="I29" s="563"/>
      <c r="J29" s="490">
        <v>173970314</v>
      </c>
      <c r="K29" s="490">
        <v>146513890.31999999</v>
      </c>
      <c r="L29" s="490">
        <v>1821682.11</v>
      </c>
      <c r="M29" s="491">
        <v>0.84217753564553544</v>
      </c>
      <c r="N29" s="491">
        <v>-2.9776177158592702E-2</v>
      </c>
      <c r="O29" s="564">
        <v>-3.4148804829140615E-2</v>
      </c>
      <c r="P29" s="565"/>
      <c r="Q29" s="566"/>
      <c r="R29" s="489">
        <v>70</v>
      </c>
      <c r="S29" s="490">
        <v>146513890.31999999</v>
      </c>
      <c r="T29" s="490">
        <v>1821682.11</v>
      </c>
      <c r="U29" s="491">
        <v>0.84217753564553544</v>
      </c>
      <c r="V29" s="491">
        <v>-2.9776177158592702E-2</v>
      </c>
      <c r="W29" s="491">
        <v>-3.4148804829140615E-2</v>
      </c>
      <c r="X29" s="489">
        <v>70</v>
      </c>
      <c r="Y29" s="490">
        <v>146513890.31999999</v>
      </c>
      <c r="Z29" s="490">
        <v>1821682.11</v>
      </c>
      <c r="AB29" s="491">
        <v>0.84217753564553544</v>
      </c>
      <c r="AC29" s="491">
        <v>-2.9776177158592702E-2</v>
      </c>
      <c r="AD29" s="491">
        <v>-3.4148804829140615E-2</v>
      </c>
      <c r="AE29" s="489">
        <v>70</v>
      </c>
      <c r="AF29" s="490">
        <v>139296545.38999999</v>
      </c>
      <c r="AG29" s="490">
        <v>3397061.36</v>
      </c>
      <c r="AH29" s="491">
        <v>0.80069146388963808</v>
      </c>
      <c r="AI29" s="491">
        <v>1.1363378926820813E-3</v>
      </c>
      <c r="AJ29" s="491">
        <v>1.4212126915767E-3</v>
      </c>
    </row>
    <row r="30" spans="2:36" ht="25.5" x14ac:dyDescent="0.25">
      <c r="B30" s="489" t="s">
        <v>429</v>
      </c>
      <c r="C30" s="489" t="s">
        <v>486</v>
      </c>
      <c r="D30" s="489" t="s">
        <v>344</v>
      </c>
      <c r="E30" s="489" t="s">
        <v>487</v>
      </c>
      <c r="F30" s="490">
        <v>139060328</v>
      </c>
      <c r="G30" s="490">
        <v>0</v>
      </c>
      <c r="H30" s="562">
        <v>0</v>
      </c>
      <c r="I30" s="563"/>
      <c r="J30" s="490">
        <v>139060328</v>
      </c>
      <c r="K30" s="490">
        <v>124893179.39</v>
      </c>
      <c r="L30" s="490">
        <v>0</v>
      </c>
      <c r="M30" s="491">
        <v>0.89812228394858962</v>
      </c>
      <c r="N30" s="491">
        <v>-3.7251248896809738E-2</v>
      </c>
      <c r="O30" s="564">
        <v>-3.9824997809689691E-2</v>
      </c>
      <c r="P30" s="565"/>
      <c r="Q30" s="566"/>
      <c r="R30" s="489">
        <v>51</v>
      </c>
      <c r="S30" s="490">
        <v>124893179.39</v>
      </c>
      <c r="T30" s="490">
        <v>0</v>
      </c>
      <c r="U30" s="491">
        <v>0.89812228394858962</v>
      </c>
      <c r="V30" s="491">
        <v>-3.7251248896809738E-2</v>
      </c>
      <c r="W30" s="491">
        <v>-3.9824997809689691E-2</v>
      </c>
      <c r="X30" s="489">
        <v>51</v>
      </c>
      <c r="Y30" s="490">
        <v>124893179.39</v>
      </c>
      <c r="Z30" s="490">
        <v>0</v>
      </c>
      <c r="AB30" s="491">
        <v>0.89812228394858962</v>
      </c>
      <c r="AC30" s="491">
        <v>-3.7251248896809738E-2</v>
      </c>
      <c r="AD30" s="491">
        <v>-3.9824997809689691E-2</v>
      </c>
      <c r="AE30" s="489">
        <v>51</v>
      </c>
      <c r="AF30" s="490">
        <v>117587446.84999999</v>
      </c>
      <c r="AG30" s="490">
        <v>0</v>
      </c>
      <c r="AH30" s="491">
        <v>0.84558585860663293</v>
      </c>
      <c r="AI30" s="491">
        <v>1.4431798262405939E-3</v>
      </c>
      <c r="AJ30" s="491">
        <v>1.7096396883115584E-3</v>
      </c>
    </row>
    <row r="31" spans="2:36" ht="25.5" x14ac:dyDescent="0.25">
      <c r="B31" s="489" t="s">
        <v>244</v>
      </c>
      <c r="C31" s="489" t="s">
        <v>166</v>
      </c>
      <c r="D31" s="489" t="s">
        <v>344</v>
      </c>
      <c r="E31" s="489" t="s">
        <v>487</v>
      </c>
      <c r="F31" s="490">
        <v>63150605</v>
      </c>
      <c r="G31" s="490">
        <v>0</v>
      </c>
      <c r="H31" s="562">
        <v>0</v>
      </c>
      <c r="I31" s="563"/>
      <c r="J31" s="490">
        <v>63150605</v>
      </c>
      <c r="K31" s="490">
        <v>62365526.159999996</v>
      </c>
      <c r="L31" s="490">
        <v>0</v>
      </c>
      <c r="M31" s="491">
        <v>0.98756815013886246</v>
      </c>
      <c r="N31" s="491">
        <v>0</v>
      </c>
      <c r="O31" s="564">
        <v>0</v>
      </c>
      <c r="P31" s="565"/>
      <c r="Q31" s="566"/>
      <c r="R31" s="489">
        <v>17</v>
      </c>
      <c r="S31" s="490">
        <v>62365526.159999996</v>
      </c>
      <c r="T31" s="490">
        <v>0</v>
      </c>
      <c r="U31" s="491">
        <v>0.98756815013886246</v>
      </c>
      <c r="V31" s="491">
        <v>0</v>
      </c>
      <c r="W31" s="491">
        <v>0</v>
      </c>
      <c r="X31" s="489">
        <v>17</v>
      </c>
      <c r="Y31" s="490">
        <v>62365526.159999996</v>
      </c>
      <c r="Z31" s="490">
        <v>0</v>
      </c>
      <c r="AB31" s="491">
        <v>0.98756815013886246</v>
      </c>
      <c r="AC31" s="491">
        <v>0</v>
      </c>
      <c r="AD31" s="491">
        <v>0</v>
      </c>
      <c r="AE31" s="489">
        <v>17</v>
      </c>
      <c r="AF31" s="490">
        <v>55285734.359999999</v>
      </c>
      <c r="AG31" s="490">
        <v>0</v>
      </c>
      <c r="AH31" s="491">
        <v>0.87545850685040938</v>
      </c>
      <c r="AI31" s="491">
        <v>0</v>
      </c>
      <c r="AJ31" s="491">
        <v>0</v>
      </c>
    </row>
    <row r="32" spans="2:36" ht="25.5" x14ac:dyDescent="0.25">
      <c r="B32" s="489" t="s">
        <v>245</v>
      </c>
      <c r="C32" s="489" t="s">
        <v>167</v>
      </c>
      <c r="D32" s="489" t="s">
        <v>344</v>
      </c>
      <c r="E32" s="489" t="s">
        <v>487</v>
      </c>
      <c r="F32" s="490">
        <v>30779847</v>
      </c>
      <c r="G32" s="490">
        <v>0</v>
      </c>
      <c r="H32" s="562">
        <v>0</v>
      </c>
      <c r="I32" s="563"/>
      <c r="J32" s="490">
        <v>30779847</v>
      </c>
      <c r="K32" s="490">
        <v>25072837.949999999</v>
      </c>
      <c r="L32" s="490">
        <v>0</v>
      </c>
      <c r="M32" s="491">
        <v>0.81458617874221406</v>
      </c>
      <c r="N32" s="491">
        <v>-0.16829748666392005</v>
      </c>
      <c r="O32" s="564">
        <v>-0.17122828732165207</v>
      </c>
      <c r="P32" s="565"/>
      <c r="Q32" s="566"/>
      <c r="R32" s="489">
        <v>1</v>
      </c>
      <c r="S32" s="490">
        <v>25072837.949999999</v>
      </c>
      <c r="T32" s="490">
        <v>0</v>
      </c>
      <c r="U32" s="491">
        <v>0.81458617874221406</v>
      </c>
      <c r="V32" s="491">
        <v>-0.16829748666392005</v>
      </c>
      <c r="W32" s="491">
        <v>-0.17122828732165207</v>
      </c>
      <c r="X32" s="489">
        <v>1</v>
      </c>
      <c r="Y32" s="490">
        <v>25072837.949999999</v>
      </c>
      <c r="Z32" s="490">
        <v>0</v>
      </c>
      <c r="AB32" s="491">
        <v>0.81458617874221406</v>
      </c>
      <c r="AC32" s="491">
        <v>-0.16829748666392005</v>
      </c>
      <c r="AD32" s="491">
        <v>-0.17122828732165207</v>
      </c>
      <c r="AE32" s="489">
        <v>1</v>
      </c>
      <c r="AF32" s="490">
        <v>25072837.949999999</v>
      </c>
      <c r="AG32" s="490">
        <v>0</v>
      </c>
      <c r="AH32" s="491">
        <v>0.81458617874221406</v>
      </c>
      <c r="AI32" s="491">
        <v>6.5201448207328648E-3</v>
      </c>
      <c r="AJ32" s="491">
        <v>8.0688267381950358E-3</v>
      </c>
    </row>
    <row r="33" spans="2:36" ht="25.5" x14ac:dyDescent="0.25">
      <c r="B33" s="489" t="s">
        <v>246</v>
      </c>
      <c r="C33" s="489" t="s">
        <v>168</v>
      </c>
      <c r="D33" s="489" t="s">
        <v>344</v>
      </c>
      <c r="E33" s="489" t="s">
        <v>487</v>
      </c>
      <c r="F33" s="490">
        <v>45129876</v>
      </c>
      <c r="G33" s="490">
        <v>0</v>
      </c>
      <c r="H33" s="562">
        <v>0</v>
      </c>
      <c r="I33" s="563"/>
      <c r="J33" s="490">
        <v>45129876</v>
      </c>
      <c r="K33" s="490">
        <v>37454815.280000001</v>
      </c>
      <c r="L33" s="490">
        <v>0</v>
      </c>
      <c r="M33" s="491">
        <v>0.82993392846902569</v>
      </c>
      <c r="N33" s="491">
        <v>0</v>
      </c>
      <c r="O33" s="564">
        <v>0</v>
      </c>
      <c r="P33" s="565"/>
      <c r="Q33" s="566"/>
      <c r="R33" s="489">
        <v>33</v>
      </c>
      <c r="S33" s="490">
        <v>37454815.280000001</v>
      </c>
      <c r="T33" s="490">
        <v>0</v>
      </c>
      <c r="U33" s="491">
        <v>0.82993392846902569</v>
      </c>
      <c r="V33" s="491">
        <v>0</v>
      </c>
      <c r="W33" s="491">
        <v>0</v>
      </c>
      <c r="X33" s="489">
        <v>33</v>
      </c>
      <c r="Y33" s="490">
        <v>37454815.280000001</v>
      </c>
      <c r="Z33" s="490">
        <v>0</v>
      </c>
      <c r="AB33" s="491">
        <v>0.82993392846902569</v>
      </c>
      <c r="AC33" s="491">
        <v>0</v>
      </c>
      <c r="AD33" s="491">
        <v>0</v>
      </c>
      <c r="AE33" s="489">
        <v>33</v>
      </c>
      <c r="AF33" s="490">
        <v>37228874.539999999</v>
      </c>
      <c r="AG33" s="490">
        <v>0</v>
      </c>
      <c r="AH33" s="491">
        <v>0.82492747243533304</v>
      </c>
      <c r="AI33" s="491">
        <v>0</v>
      </c>
      <c r="AJ33" s="491">
        <v>0</v>
      </c>
    </row>
    <row r="34" spans="2:36" ht="25.5" x14ac:dyDescent="0.25">
      <c r="B34" s="489" t="s">
        <v>430</v>
      </c>
      <c r="C34" s="489" t="s">
        <v>488</v>
      </c>
      <c r="D34" s="489" t="s">
        <v>344</v>
      </c>
      <c r="E34" s="489" t="s">
        <v>487</v>
      </c>
      <c r="F34" s="490">
        <v>34909986</v>
      </c>
      <c r="G34" s="490">
        <v>10714708</v>
      </c>
      <c r="H34" s="562">
        <v>0</v>
      </c>
      <c r="I34" s="563"/>
      <c r="J34" s="490">
        <v>34909986</v>
      </c>
      <c r="K34" s="490">
        <v>21620710.93</v>
      </c>
      <c r="L34" s="490">
        <v>1821682.11</v>
      </c>
      <c r="M34" s="491">
        <v>0.61932740190729385</v>
      </c>
      <c r="N34" s="491">
        <v>0</v>
      </c>
      <c r="O34" s="564">
        <v>0</v>
      </c>
      <c r="P34" s="565"/>
      <c r="Q34" s="566"/>
      <c r="R34" s="489">
        <v>19</v>
      </c>
      <c r="S34" s="490">
        <v>21620710.93</v>
      </c>
      <c r="T34" s="490">
        <v>1821682.11</v>
      </c>
      <c r="U34" s="491">
        <v>0.61932740190729385</v>
      </c>
      <c r="V34" s="491">
        <v>0</v>
      </c>
      <c r="W34" s="491">
        <v>0</v>
      </c>
      <c r="X34" s="489">
        <v>19</v>
      </c>
      <c r="Y34" s="490">
        <v>21620710.93</v>
      </c>
      <c r="Z34" s="490">
        <v>1821682.11</v>
      </c>
      <c r="AB34" s="491">
        <v>0.61932740190729385</v>
      </c>
      <c r="AC34" s="491">
        <v>0</v>
      </c>
      <c r="AD34" s="491">
        <v>0</v>
      </c>
      <c r="AE34" s="489">
        <v>19</v>
      </c>
      <c r="AF34" s="490">
        <v>21709098.539999999</v>
      </c>
      <c r="AG34" s="490">
        <v>3397061.36</v>
      </c>
      <c r="AH34" s="491">
        <v>0.6218592737333094</v>
      </c>
      <c r="AI34" s="491">
        <v>-8.5935296565286512E-5</v>
      </c>
      <c r="AJ34" s="491">
        <v>-1.3817181211079748E-4</v>
      </c>
    </row>
    <row r="35" spans="2:36" ht="38.25" x14ac:dyDescent="0.25">
      <c r="B35" s="489" t="s">
        <v>247</v>
      </c>
      <c r="C35" s="489" t="s">
        <v>1568</v>
      </c>
      <c r="D35" s="489" t="s">
        <v>344</v>
      </c>
      <c r="E35" s="489" t="s">
        <v>487</v>
      </c>
      <c r="F35" s="490">
        <v>22502253</v>
      </c>
      <c r="G35" s="490">
        <v>7766409</v>
      </c>
      <c r="H35" s="562">
        <v>0</v>
      </c>
      <c r="I35" s="563"/>
      <c r="J35" s="490">
        <v>22502253</v>
      </c>
      <c r="K35" s="490">
        <v>12272077.34</v>
      </c>
      <c r="L35" s="490">
        <v>1821682.11</v>
      </c>
      <c r="M35" s="491">
        <v>0.54537104973444217</v>
      </c>
      <c r="N35" s="491">
        <v>0</v>
      </c>
      <c r="O35" s="564">
        <v>0</v>
      </c>
      <c r="P35" s="565"/>
      <c r="Q35" s="566"/>
      <c r="R35" s="489">
        <v>15</v>
      </c>
      <c r="S35" s="490">
        <v>12272077.34</v>
      </c>
      <c r="T35" s="490">
        <v>1821682.11</v>
      </c>
      <c r="U35" s="491">
        <v>0.54537104973444217</v>
      </c>
      <c r="V35" s="491">
        <v>0</v>
      </c>
      <c r="W35" s="491">
        <v>0</v>
      </c>
      <c r="X35" s="489">
        <v>15</v>
      </c>
      <c r="Y35" s="490">
        <v>12272077.34</v>
      </c>
      <c r="Z35" s="490">
        <v>1821682.11</v>
      </c>
      <c r="AB35" s="491">
        <v>0.54537104973444217</v>
      </c>
      <c r="AC35" s="491">
        <v>0</v>
      </c>
      <c r="AD35" s="491">
        <v>0</v>
      </c>
      <c r="AE35" s="489">
        <v>15</v>
      </c>
      <c r="AF35" s="490">
        <v>12275043.91</v>
      </c>
      <c r="AG35" s="490">
        <v>1776967.47</v>
      </c>
      <c r="AH35" s="491">
        <v>0.54550288408898429</v>
      </c>
      <c r="AI35" s="491">
        <v>0</v>
      </c>
      <c r="AJ35" s="491">
        <v>0</v>
      </c>
    </row>
    <row r="36" spans="2:36" ht="25.5" x14ac:dyDescent="0.25">
      <c r="B36" s="489" t="s">
        <v>248</v>
      </c>
      <c r="C36" s="489" t="s">
        <v>170</v>
      </c>
      <c r="D36" s="489" t="s">
        <v>344</v>
      </c>
      <c r="E36" s="489" t="s">
        <v>487</v>
      </c>
      <c r="F36" s="490">
        <v>4801192</v>
      </c>
      <c r="G36" s="490">
        <v>0</v>
      </c>
      <c r="H36" s="562">
        <v>0</v>
      </c>
      <c r="I36" s="563"/>
      <c r="J36" s="490">
        <v>4801192</v>
      </c>
      <c r="K36" s="490">
        <v>4785304.3499999996</v>
      </c>
      <c r="L36" s="490">
        <v>0</v>
      </c>
      <c r="M36" s="491">
        <v>0.99669089467782168</v>
      </c>
      <c r="N36" s="491">
        <v>0</v>
      </c>
      <c r="O36" s="564">
        <v>0</v>
      </c>
      <c r="P36" s="565"/>
      <c r="Q36" s="566"/>
      <c r="R36" s="489">
        <v>1</v>
      </c>
      <c r="S36" s="490">
        <v>4785304.3499999996</v>
      </c>
      <c r="T36" s="490">
        <v>0</v>
      </c>
      <c r="U36" s="491">
        <v>0.99669089467782168</v>
      </c>
      <c r="V36" s="491">
        <v>0</v>
      </c>
      <c r="W36" s="491">
        <v>0</v>
      </c>
      <c r="X36" s="489">
        <v>1</v>
      </c>
      <c r="Y36" s="490">
        <v>4785304.3499999996</v>
      </c>
      <c r="Z36" s="490">
        <v>0</v>
      </c>
      <c r="AB36" s="491">
        <v>0.99669089467782168</v>
      </c>
      <c r="AC36" s="491">
        <v>0</v>
      </c>
      <c r="AD36" s="491">
        <v>0</v>
      </c>
      <c r="AE36" s="489">
        <v>1</v>
      </c>
      <c r="AF36" s="490">
        <v>4785304.3499999996</v>
      </c>
      <c r="AG36" s="490">
        <v>0</v>
      </c>
      <c r="AH36" s="491">
        <v>0.99669089467782168</v>
      </c>
      <c r="AI36" s="491">
        <v>0</v>
      </c>
      <c r="AJ36" s="491">
        <v>0</v>
      </c>
    </row>
    <row r="37" spans="2:36" ht="51" x14ac:dyDescent="0.25">
      <c r="B37" s="489" t="s">
        <v>395</v>
      </c>
      <c r="C37" s="489" t="s">
        <v>1550</v>
      </c>
      <c r="D37" s="489" t="s">
        <v>344</v>
      </c>
      <c r="E37" s="489" t="s">
        <v>487</v>
      </c>
      <c r="F37" s="490">
        <v>7606541</v>
      </c>
      <c r="G37" s="490">
        <v>2948299</v>
      </c>
      <c r="H37" s="562">
        <v>0</v>
      </c>
      <c r="I37" s="563"/>
      <c r="J37" s="490">
        <v>7606541</v>
      </c>
      <c r="K37" s="490">
        <v>4563329.24</v>
      </c>
      <c r="L37" s="490">
        <v>0</v>
      </c>
      <c r="M37" s="491">
        <v>0.59992173052113962</v>
      </c>
      <c r="N37" s="491">
        <v>0</v>
      </c>
      <c r="O37" s="564">
        <v>0</v>
      </c>
      <c r="P37" s="565"/>
      <c r="Q37" s="566"/>
      <c r="R37" s="489">
        <v>3</v>
      </c>
      <c r="S37" s="490">
        <v>4563329.24</v>
      </c>
      <c r="T37" s="490">
        <v>0</v>
      </c>
      <c r="U37" s="491">
        <v>0.59992173052113962</v>
      </c>
      <c r="V37" s="491">
        <v>0</v>
      </c>
      <c r="W37" s="491">
        <v>0</v>
      </c>
      <c r="X37" s="489">
        <v>3</v>
      </c>
      <c r="Y37" s="490">
        <v>4563329.24</v>
      </c>
      <c r="Z37" s="490">
        <v>0</v>
      </c>
      <c r="AB37" s="491">
        <v>0.59992173052113962</v>
      </c>
      <c r="AC37" s="491">
        <v>0</v>
      </c>
      <c r="AD37" s="491">
        <v>0</v>
      </c>
      <c r="AE37" s="489">
        <v>3</v>
      </c>
      <c r="AF37" s="490">
        <v>4648750.28</v>
      </c>
      <c r="AG37" s="490">
        <v>1620093.89</v>
      </c>
      <c r="AH37" s="491">
        <v>0.61115167590630226</v>
      </c>
      <c r="AI37" s="491">
        <v>-3.9439740086854197E-4</v>
      </c>
      <c r="AJ37" s="491">
        <v>-6.4491854021020238E-4</v>
      </c>
    </row>
    <row r="38" spans="2:36" x14ac:dyDescent="0.25">
      <c r="B38" s="486" t="s">
        <v>249</v>
      </c>
      <c r="C38" s="486" t="s">
        <v>13</v>
      </c>
      <c r="D38" s="486"/>
      <c r="E38" s="486"/>
      <c r="F38" s="487">
        <v>172783829</v>
      </c>
      <c r="G38" s="487">
        <v>0</v>
      </c>
      <c r="H38" s="567">
        <v>0</v>
      </c>
      <c r="I38" s="568"/>
      <c r="J38" s="487">
        <v>172783829</v>
      </c>
      <c r="K38" s="487">
        <v>165233954.75</v>
      </c>
      <c r="L38" s="487">
        <v>0</v>
      </c>
      <c r="M38" s="488">
        <v>0.95630450897114916</v>
      </c>
      <c r="N38" s="488">
        <v>5.1233463520477954E-4</v>
      </c>
      <c r="O38" s="559">
        <v>5.360314187137326E-4</v>
      </c>
      <c r="P38" s="560"/>
      <c r="Q38" s="561"/>
      <c r="R38" s="486">
        <v>59</v>
      </c>
      <c r="S38" s="487">
        <v>165233954.75</v>
      </c>
      <c r="T38" s="487">
        <v>0</v>
      </c>
      <c r="U38" s="488">
        <v>0.95630450897114916</v>
      </c>
      <c r="V38" s="488">
        <v>5.1233463520477954E-4</v>
      </c>
      <c r="W38" s="488">
        <v>5.360314187137326E-4</v>
      </c>
      <c r="X38" s="486">
        <v>59</v>
      </c>
      <c r="Y38" s="487">
        <v>165233954.75</v>
      </c>
      <c r="Z38" s="487">
        <v>0</v>
      </c>
      <c r="AB38" s="488">
        <v>0.95630450897114916</v>
      </c>
      <c r="AC38" s="488">
        <v>5.1233463520477954E-4</v>
      </c>
      <c r="AD38" s="488">
        <v>5.360314187137326E-4</v>
      </c>
      <c r="AE38" s="486">
        <v>59</v>
      </c>
      <c r="AF38" s="487">
        <v>165233206.75</v>
      </c>
      <c r="AG38" s="487">
        <v>0</v>
      </c>
      <c r="AH38" s="488">
        <v>0.95630017986231797</v>
      </c>
      <c r="AI38" s="488">
        <v>3.0898065119276875E-4</v>
      </c>
      <c r="AJ38" s="488">
        <v>3.2320449335489346E-4</v>
      </c>
    </row>
    <row r="39" spans="2:36" ht="51" x14ac:dyDescent="0.25">
      <c r="B39" s="489" t="s">
        <v>489</v>
      </c>
      <c r="C39" s="489" t="s">
        <v>490</v>
      </c>
      <c r="D39" s="489"/>
      <c r="E39" s="489"/>
      <c r="F39" s="490">
        <v>42274115</v>
      </c>
      <c r="G39" s="490">
        <v>0</v>
      </c>
      <c r="H39" s="562">
        <v>0</v>
      </c>
      <c r="I39" s="563"/>
      <c r="J39" s="490">
        <v>42274115</v>
      </c>
      <c r="K39" s="490">
        <v>39542253.600000001</v>
      </c>
      <c r="L39" s="490">
        <v>0</v>
      </c>
      <c r="M39" s="491">
        <v>0.93537744314694704</v>
      </c>
      <c r="N39" s="491">
        <v>0</v>
      </c>
      <c r="O39" s="564">
        <v>0</v>
      </c>
      <c r="P39" s="565"/>
      <c r="Q39" s="566"/>
      <c r="R39" s="489">
        <v>1</v>
      </c>
      <c r="S39" s="490">
        <v>39542253.600000001</v>
      </c>
      <c r="T39" s="490">
        <v>0</v>
      </c>
      <c r="U39" s="491">
        <v>0.93537744314694704</v>
      </c>
      <c r="V39" s="491">
        <v>0</v>
      </c>
      <c r="W39" s="491">
        <v>0</v>
      </c>
      <c r="X39" s="489">
        <v>1</v>
      </c>
      <c r="Y39" s="490">
        <v>39542253.600000001</v>
      </c>
      <c r="Z39" s="490">
        <v>0</v>
      </c>
      <c r="AB39" s="491">
        <v>0.93537744314694704</v>
      </c>
      <c r="AC39" s="491">
        <v>0</v>
      </c>
      <c r="AD39" s="491">
        <v>0</v>
      </c>
      <c r="AE39" s="489">
        <v>1</v>
      </c>
      <c r="AF39" s="490">
        <v>39542253.600000001</v>
      </c>
      <c r="AG39" s="490">
        <v>0</v>
      </c>
      <c r="AH39" s="491">
        <v>0.93537744314694704</v>
      </c>
      <c r="AI39" s="491">
        <v>0</v>
      </c>
      <c r="AJ39" s="491">
        <v>0</v>
      </c>
    </row>
    <row r="40" spans="2:36" ht="25.5" x14ac:dyDescent="0.25">
      <c r="B40" s="489" t="s">
        <v>250</v>
      </c>
      <c r="C40" s="489" t="s">
        <v>357</v>
      </c>
      <c r="D40" s="489" t="s">
        <v>344</v>
      </c>
      <c r="E40" s="489" t="s">
        <v>491</v>
      </c>
      <c r="F40" s="490">
        <v>42274115</v>
      </c>
      <c r="G40" s="490">
        <v>0</v>
      </c>
      <c r="H40" s="562">
        <v>0</v>
      </c>
      <c r="I40" s="563"/>
      <c r="J40" s="490">
        <v>42274115</v>
      </c>
      <c r="K40" s="490">
        <v>39542253.600000001</v>
      </c>
      <c r="L40" s="490">
        <v>0</v>
      </c>
      <c r="M40" s="491">
        <v>0.93537744314694704</v>
      </c>
      <c r="N40" s="491">
        <v>0</v>
      </c>
      <c r="O40" s="564">
        <v>0</v>
      </c>
      <c r="P40" s="565"/>
      <c r="Q40" s="566"/>
      <c r="R40" s="489">
        <v>1</v>
      </c>
      <c r="S40" s="490">
        <v>39542253.600000001</v>
      </c>
      <c r="T40" s="490">
        <v>0</v>
      </c>
      <c r="U40" s="491">
        <v>0.93537744314694704</v>
      </c>
      <c r="V40" s="491">
        <v>0</v>
      </c>
      <c r="W40" s="491">
        <v>0</v>
      </c>
      <c r="X40" s="489">
        <v>1</v>
      </c>
      <c r="Y40" s="490">
        <v>39542253.600000001</v>
      </c>
      <c r="Z40" s="490">
        <v>0</v>
      </c>
      <c r="AB40" s="491">
        <v>0.93537744314694704</v>
      </c>
      <c r="AC40" s="491">
        <v>0</v>
      </c>
      <c r="AD40" s="491">
        <v>0</v>
      </c>
      <c r="AE40" s="489">
        <v>1</v>
      </c>
      <c r="AF40" s="490">
        <v>39542253.600000001</v>
      </c>
      <c r="AG40" s="490">
        <v>0</v>
      </c>
      <c r="AH40" s="491">
        <v>0.93537744314694704</v>
      </c>
      <c r="AI40" s="491">
        <v>0</v>
      </c>
      <c r="AJ40" s="491">
        <v>0</v>
      </c>
    </row>
    <row r="41" spans="2:36" ht="25.5" x14ac:dyDescent="0.25">
      <c r="B41" s="489" t="s">
        <v>1342</v>
      </c>
      <c r="C41" s="489" t="s">
        <v>1340</v>
      </c>
      <c r="D41" s="489"/>
      <c r="E41" s="489" t="s">
        <v>491</v>
      </c>
      <c r="F41" s="490">
        <v>0</v>
      </c>
      <c r="G41" s="490">
        <v>0</v>
      </c>
      <c r="H41" s="562">
        <v>0</v>
      </c>
      <c r="I41" s="563"/>
      <c r="J41" s="490">
        <v>0</v>
      </c>
      <c r="K41" s="490">
        <v>0</v>
      </c>
      <c r="L41" s="490">
        <v>0</v>
      </c>
      <c r="M41" s="491">
        <v>0</v>
      </c>
      <c r="N41" s="491">
        <v>0</v>
      </c>
      <c r="O41" s="564">
        <v>0</v>
      </c>
      <c r="P41" s="565"/>
      <c r="Q41" s="566"/>
      <c r="R41" s="489">
        <v>0</v>
      </c>
      <c r="S41" s="490">
        <v>0</v>
      </c>
      <c r="T41" s="490">
        <v>0</v>
      </c>
      <c r="U41" s="491">
        <v>0</v>
      </c>
      <c r="V41" s="491">
        <v>0</v>
      </c>
      <c r="W41" s="491">
        <v>0</v>
      </c>
      <c r="X41" s="489">
        <v>0</v>
      </c>
      <c r="Y41" s="490">
        <v>0</v>
      </c>
      <c r="Z41" s="490">
        <v>0</v>
      </c>
      <c r="AB41" s="491">
        <v>0</v>
      </c>
      <c r="AC41" s="491">
        <v>0</v>
      </c>
      <c r="AD41" s="491">
        <v>0</v>
      </c>
      <c r="AE41" s="489">
        <v>0</v>
      </c>
      <c r="AF41" s="490">
        <v>0</v>
      </c>
      <c r="AG41" s="490">
        <v>0</v>
      </c>
      <c r="AH41" s="491">
        <v>0</v>
      </c>
      <c r="AI41" s="491">
        <v>0</v>
      </c>
      <c r="AJ41" s="491">
        <v>0</v>
      </c>
    </row>
    <row r="42" spans="2:36" ht="25.5" x14ac:dyDescent="0.25">
      <c r="B42" s="489" t="s">
        <v>492</v>
      </c>
      <c r="C42" s="489" t="s">
        <v>493</v>
      </c>
      <c r="D42" s="489"/>
      <c r="E42" s="489"/>
      <c r="F42" s="490">
        <v>128809714</v>
      </c>
      <c r="G42" s="490">
        <v>0</v>
      </c>
      <c r="H42" s="562">
        <v>0</v>
      </c>
      <c r="I42" s="563"/>
      <c r="J42" s="490">
        <v>128809714</v>
      </c>
      <c r="K42" s="490">
        <v>125691701.15000001</v>
      </c>
      <c r="L42" s="490">
        <v>0</v>
      </c>
      <c r="M42" s="491">
        <v>0.97579365132353291</v>
      </c>
      <c r="N42" s="491">
        <v>6.87239628526774E-4</v>
      </c>
      <c r="O42" s="564">
        <v>7.0478423717075186E-4</v>
      </c>
      <c r="P42" s="565"/>
      <c r="Q42" s="566"/>
      <c r="R42" s="489">
        <v>58</v>
      </c>
      <c r="S42" s="490">
        <v>125691701.15000001</v>
      </c>
      <c r="T42" s="490">
        <v>0</v>
      </c>
      <c r="U42" s="491">
        <v>0.97579365132353291</v>
      </c>
      <c r="V42" s="491">
        <v>6.87239628526774E-4</v>
      </c>
      <c r="W42" s="491">
        <v>7.0478423717075186E-4</v>
      </c>
      <c r="X42" s="489">
        <v>58</v>
      </c>
      <c r="Y42" s="490">
        <v>125691701.15000001</v>
      </c>
      <c r="Z42" s="490">
        <v>0</v>
      </c>
      <c r="AB42" s="491">
        <v>0.97579365132353291</v>
      </c>
      <c r="AC42" s="491">
        <v>6.87239628526774E-4</v>
      </c>
      <c r="AD42" s="491">
        <v>7.0478423717075186E-4</v>
      </c>
      <c r="AE42" s="489">
        <v>58</v>
      </c>
      <c r="AF42" s="490">
        <v>125690953.15000001</v>
      </c>
      <c r="AG42" s="490">
        <v>0</v>
      </c>
      <c r="AH42" s="491">
        <v>0.97578784430807752</v>
      </c>
      <c r="AI42" s="491">
        <v>4.1446299616813061E-4</v>
      </c>
      <c r="AJ42" s="491">
        <v>4.2492752427861441E-4</v>
      </c>
    </row>
    <row r="43" spans="2:36" ht="63.75" x14ac:dyDescent="0.25">
      <c r="B43" s="489" t="s">
        <v>431</v>
      </c>
      <c r="C43" s="489" t="s">
        <v>36</v>
      </c>
      <c r="D43" s="489" t="s">
        <v>344</v>
      </c>
      <c r="E43" s="489" t="s">
        <v>1608</v>
      </c>
      <c r="F43" s="490">
        <v>128809714</v>
      </c>
      <c r="G43" s="490">
        <v>0</v>
      </c>
      <c r="H43" s="562">
        <v>0</v>
      </c>
      <c r="I43" s="563"/>
      <c r="J43" s="490">
        <v>128809714</v>
      </c>
      <c r="K43" s="490">
        <v>125691701.15000001</v>
      </c>
      <c r="L43" s="490">
        <v>0</v>
      </c>
      <c r="M43" s="491">
        <v>0.97579365132353291</v>
      </c>
      <c r="N43" s="491">
        <v>6.87239628526774E-4</v>
      </c>
      <c r="O43" s="564">
        <v>7.0478423717075186E-4</v>
      </c>
      <c r="P43" s="565"/>
      <c r="Q43" s="566"/>
      <c r="R43" s="489">
        <v>58</v>
      </c>
      <c r="S43" s="490">
        <v>125691701.15000001</v>
      </c>
      <c r="T43" s="490">
        <v>0</v>
      </c>
      <c r="U43" s="491">
        <v>0.97579365132353291</v>
      </c>
      <c r="V43" s="491">
        <v>6.87239628526774E-4</v>
      </c>
      <c r="W43" s="491">
        <v>7.0478423717075186E-4</v>
      </c>
      <c r="X43" s="489">
        <v>58</v>
      </c>
      <c r="Y43" s="490">
        <v>125691701.15000001</v>
      </c>
      <c r="Z43" s="490">
        <v>0</v>
      </c>
      <c r="AB43" s="491">
        <v>0.97579365132353291</v>
      </c>
      <c r="AC43" s="491">
        <v>6.87239628526774E-4</v>
      </c>
      <c r="AD43" s="491">
        <v>7.0478423717075186E-4</v>
      </c>
      <c r="AE43" s="489">
        <v>58</v>
      </c>
      <c r="AF43" s="490">
        <v>125690953.15000001</v>
      </c>
      <c r="AG43" s="490">
        <v>0</v>
      </c>
      <c r="AH43" s="491">
        <v>0.97578784430807752</v>
      </c>
      <c r="AI43" s="491">
        <v>4.1446299616813061E-4</v>
      </c>
      <c r="AJ43" s="491">
        <v>4.2492752427861441E-4</v>
      </c>
    </row>
    <row r="44" spans="2:36" ht="63.75" x14ac:dyDescent="0.25">
      <c r="B44" s="489" t="s">
        <v>251</v>
      </c>
      <c r="C44" s="489" t="s">
        <v>171</v>
      </c>
      <c r="D44" s="489" t="s">
        <v>344</v>
      </c>
      <c r="E44" s="489" t="s">
        <v>1608</v>
      </c>
      <c r="F44" s="490">
        <v>118694714</v>
      </c>
      <c r="G44" s="490">
        <v>0</v>
      </c>
      <c r="H44" s="562">
        <v>0</v>
      </c>
      <c r="I44" s="563"/>
      <c r="J44" s="490">
        <v>118694714</v>
      </c>
      <c r="K44" s="490">
        <v>115807330.93000001</v>
      </c>
      <c r="L44" s="490">
        <v>0</v>
      </c>
      <c r="M44" s="491">
        <v>0.97567386977317283</v>
      </c>
      <c r="N44" s="491">
        <v>7.4580524285184258E-4</v>
      </c>
      <c r="O44" s="564">
        <v>7.649848947687642E-4</v>
      </c>
      <c r="P44" s="565"/>
      <c r="Q44" s="566"/>
      <c r="R44" s="489">
        <v>56</v>
      </c>
      <c r="S44" s="490">
        <v>115807330.93000001</v>
      </c>
      <c r="T44" s="490">
        <v>0</v>
      </c>
      <c r="U44" s="491">
        <v>0.97567386977317283</v>
      </c>
      <c r="V44" s="491">
        <v>7.4580524285184258E-4</v>
      </c>
      <c r="W44" s="491">
        <v>7.649848947687642E-4</v>
      </c>
      <c r="X44" s="489">
        <v>56</v>
      </c>
      <c r="Y44" s="490">
        <v>115807330.93000001</v>
      </c>
      <c r="Z44" s="490">
        <v>0</v>
      </c>
      <c r="AB44" s="491">
        <v>0.97567386977317283</v>
      </c>
      <c r="AC44" s="491">
        <v>7.4580524285184258E-4</v>
      </c>
      <c r="AD44" s="491">
        <v>7.649848947687642E-4</v>
      </c>
      <c r="AE44" s="489">
        <v>56</v>
      </c>
      <c r="AF44" s="490">
        <v>115806582.93000001</v>
      </c>
      <c r="AG44" s="490">
        <v>0</v>
      </c>
      <c r="AH44" s="491">
        <v>0.97566756789186082</v>
      </c>
      <c r="AI44" s="491">
        <v>4.4978296169111625E-4</v>
      </c>
      <c r="AJ44" s="491">
        <v>4.6121283742105141E-4</v>
      </c>
    </row>
    <row r="45" spans="2:36" ht="63.75" x14ac:dyDescent="0.25">
      <c r="B45" s="489" t="s">
        <v>252</v>
      </c>
      <c r="C45" s="489" t="s">
        <v>494</v>
      </c>
      <c r="D45" s="489" t="s">
        <v>344</v>
      </c>
      <c r="E45" s="489" t="s">
        <v>1608</v>
      </c>
      <c r="F45" s="490">
        <v>10115000</v>
      </c>
      <c r="G45" s="490">
        <v>0</v>
      </c>
      <c r="H45" s="562">
        <v>0</v>
      </c>
      <c r="I45" s="563"/>
      <c r="J45" s="490">
        <v>10115000</v>
      </c>
      <c r="K45" s="490">
        <v>9884370.2200000007</v>
      </c>
      <c r="L45" s="490">
        <v>0</v>
      </c>
      <c r="M45" s="491">
        <v>0.97719923084527927</v>
      </c>
      <c r="N45" s="491">
        <v>0</v>
      </c>
      <c r="O45" s="564">
        <v>0</v>
      </c>
      <c r="P45" s="565"/>
      <c r="Q45" s="566"/>
      <c r="R45" s="489">
        <v>2</v>
      </c>
      <c r="S45" s="490">
        <v>9884370.2200000007</v>
      </c>
      <c r="T45" s="490">
        <v>0</v>
      </c>
      <c r="U45" s="491">
        <v>0.97719923084527927</v>
      </c>
      <c r="V45" s="491">
        <v>0</v>
      </c>
      <c r="W45" s="491">
        <v>0</v>
      </c>
      <c r="X45" s="489">
        <v>2</v>
      </c>
      <c r="Y45" s="490">
        <v>9884370.2200000007</v>
      </c>
      <c r="Z45" s="490">
        <v>0</v>
      </c>
      <c r="AB45" s="491">
        <v>0.97719923084527927</v>
      </c>
      <c r="AC45" s="491">
        <v>0</v>
      </c>
      <c r="AD45" s="491">
        <v>0</v>
      </c>
      <c r="AE45" s="489">
        <v>2</v>
      </c>
      <c r="AF45" s="490">
        <v>9884370.2200000007</v>
      </c>
      <c r="AG45" s="490">
        <v>0</v>
      </c>
      <c r="AH45" s="491">
        <v>0.97719923084527927</v>
      </c>
      <c r="AI45" s="491">
        <v>0</v>
      </c>
      <c r="AJ45" s="491">
        <v>0</v>
      </c>
    </row>
    <row r="46" spans="2:36" x14ac:dyDescent="0.25">
      <c r="B46" s="486" t="s">
        <v>253</v>
      </c>
      <c r="C46" s="486" t="s">
        <v>19</v>
      </c>
      <c r="D46" s="486"/>
      <c r="E46" s="486"/>
      <c r="F46" s="487">
        <v>450217124.87</v>
      </c>
      <c r="G46" s="487">
        <v>51939286.159999996</v>
      </c>
      <c r="H46" s="567">
        <v>290005</v>
      </c>
      <c r="I46" s="568"/>
      <c r="J46" s="487">
        <v>450507129.87</v>
      </c>
      <c r="K46" s="487">
        <v>224586383.22999999</v>
      </c>
      <c r="L46" s="487">
        <v>5880005</v>
      </c>
      <c r="M46" s="488">
        <v>0.49884016138846166</v>
      </c>
      <c r="N46" s="488">
        <v>0</v>
      </c>
      <c r="O46" s="559">
        <v>0</v>
      </c>
      <c r="P46" s="560"/>
      <c r="Q46" s="561"/>
      <c r="R46" s="486">
        <v>177</v>
      </c>
      <c r="S46" s="487">
        <v>224586383.22999999</v>
      </c>
      <c r="T46" s="487">
        <v>5880005</v>
      </c>
      <c r="U46" s="488">
        <v>0.49884016138846166</v>
      </c>
      <c r="V46" s="488">
        <v>0</v>
      </c>
      <c r="W46" s="488">
        <v>0</v>
      </c>
      <c r="X46" s="486">
        <v>177</v>
      </c>
      <c r="Y46" s="487">
        <v>224586383.22999999</v>
      </c>
      <c r="Z46" s="487">
        <v>5880005</v>
      </c>
      <c r="AB46" s="488">
        <v>0.49884016138846166</v>
      </c>
      <c r="AC46" s="488">
        <v>0</v>
      </c>
      <c r="AD46" s="488">
        <v>0</v>
      </c>
      <c r="AE46" s="486">
        <v>177</v>
      </c>
      <c r="AF46" s="487">
        <v>373970456.27999997</v>
      </c>
      <c r="AG46" s="487">
        <v>26579073.77</v>
      </c>
      <c r="AH46" s="488">
        <v>0.8306446725854415</v>
      </c>
      <c r="AI46" s="488">
        <v>0</v>
      </c>
      <c r="AJ46" s="488">
        <v>0</v>
      </c>
    </row>
    <row r="47" spans="2:36" ht="51" x14ac:dyDescent="0.25">
      <c r="B47" s="489" t="s">
        <v>495</v>
      </c>
      <c r="C47" s="489" t="s">
        <v>496</v>
      </c>
      <c r="D47" s="489"/>
      <c r="E47" s="489"/>
      <c r="F47" s="490">
        <v>366140938.88999999</v>
      </c>
      <c r="G47" s="490">
        <v>46901653.159999996</v>
      </c>
      <c r="H47" s="562">
        <v>0</v>
      </c>
      <c r="I47" s="563"/>
      <c r="J47" s="490">
        <v>366140938.88999999</v>
      </c>
      <c r="K47" s="490">
        <v>61253281.829999998</v>
      </c>
      <c r="L47" s="490">
        <v>842372</v>
      </c>
      <c r="M47" s="491">
        <v>0.16729427202458333</v>
      </c>
      <c r="N47" s="491">
        <v>0</v>
      </c>
      <c r="O47" s="564">
        <v>0</v>
      </c>
      <c r="P47" s="565"/>
      <c r="Q47" s="566"/>
      <c r="R47" s="489">
        <v>53</v>
      </c>
      <c r="S47" s="490">
        <v>61253281.829999998</v>
      </c>
      <c r="T47" s="490">
        <v>842372</v>
      </c>
      <c r="U47" s="491">
        <v>0.16729427202458333</v>
      </c>
      <c r="V47" s="491">
        <v>0</v>
      </c>
      <c r="W47" s="491">
        <v>0</v>
      </c>
      <c r="X47" s="489">
        <v>53</v>
      </c>
      <c r="Y47" s="490">
        <v>61253281.829999998</v>
      </c>
      <c r="Z47" s="490">
        <v>842372</v>
      </c>
      <c r="AB47" s="491">
        <v>0.16729427202458333</v>
      </c>
      <c r="AC47" s="491">
        <v>0</v>
      </c>
      <c r="AD47" s="491">
        <v>0</v>
      </c>
      <c r="AE47" s="489">
        <v>53</v>
      </c>
      <c r="AF47" s="490">
        <v>214732895.88</v>
      </c>
      <c r="AG47" s="490">
        <v>21559723.960000001</v>
      </c>
      <c r="AH47" s="491">
        <v>0.58647606173455613</v>
      </c>
      <c r="AI47" s="491">
        <v>0</v>
      </c>
      <c r="AJ47" s="491">
        <v>0</v>
      </c>
    </row>
    <row r="48" spans="2:36" ht="25.5" x14ac:dyDescent="0.25">
      <c r="B48" s="489" t="s">
        <v>432</v>
      </c>
      <c r="C48" s="489" t="s">
        <v>497</v>
      </c>
      <c r="D48" s="489" t="s">
        <v>344</v>
      </c>
      <c r="E48" s="489" t="s">
        <v>487</v>
      </c>
      <c r="F48" s="490">
        <v>186403425.53999999</v>
      </c>
      <c r="G48" s="490">
        <v>21901653.16</v>
      </c>
      <c r="H48" s="562">
        <v>0</v>
      </c>
      <c r="I48" s="563"/>
      <c r="J48" s="490">
        <v>186403425.53999999</v>
      </c>
      <c r="K48" s="490">
        <v>61253281.829999998</v>
      </c>
      <c r="L48" s="490">
        <v>842372</v>
      </c>
      <c r="M48" s="491">
        <v>0.32860598807426833</v>
      </c>
      <c r="N48" s="491">
        <v>0</v>
      </c>
      <c r="O48" s="564">
        <v>0</v>
      </c>
      <c r="P48" s="565"/>
      <c r="Q48" s="566"/>
      <c r="R48" s="489">
        <v>53</v>
      </c>
      <c r="S48" s="490">
        <v>61253281.829999998</v>
      </c>
      <c r="T48" s="490">
        <v>842372</v>
      </c>
      <c r="U48" s="491">
        <v>0.32860598807426833</v>
      </c>
      <c r="V48" s="491">
        <v>0</v>
      </c>
      <c r="W48" s="491">
        <v>0</v>
      </c>
      <c r="X48" s="489">
        <v>53</v>
      </c>
      <c r="Y48" s="490">
        <v>61253281.829999998</v>
      </c>
      <c r="Z48" s="490">
        <v>842372</v>
      </c>
      <c r="AB48" s="491">
        <v>0.32860598807426833</v>
      </c>
      <c r="AC48" s="491">
        <v>0</v>
      </c>
      <c r="AD48" s="491">
        <v>0</v>
      </c>
      <c r="AE48" s="489">
        <v>53</v>
      </c>
      <c r="AF48" s="490">
        <v>59444373.520000003</v>
      </c>
      <c r="AG48" s="490">
        <v>500442.8</v>
      </c>
      <c r="AH48" s="491">
        <v>0.31890172268987582</v>
      </c>
      <c r="AI48" s="491">
        <v>0</v>
      </c>
      <c r="AJ48" s="491">
        <v>0</v>
      </c>
    </row>
    <row r="49" spans="2:36" ht="25.5" x14ac:dyDescent="0.25">
      <c r="B49" s="489" t="s">
        <v>256</v>
      </c>
      <c r="C49" s="489" t="s">
        <v>1284</v>
      </c>
      <c r="D49" s="489" t="s">
        <v>344</v>
      </c>
      <c r="E49" s="489" t="s">
        <v>487</v>
      </c>
      <c r="F49" s="490">
        <v>1000000</v>
      </c>
      <c r="G49" s="490">
        <v>0</v>
      </c>
      <c r="H49" s="562">
        <v>0</v>
      </c>
      <c r="I49" s="563"/>
      <c r="J49" s="490">
        <v>1000000</v>
      </c>
      <c r="K49" s="490">
        <v>76800</v>
      </c>
      <c r="L49" s="490">
        <v>0</v>
      </c>
      <c r="M49" s="491">
        <v>7.6799999999999993E-2</v>
      </c>
      <c r="N49" s="491">
        <v>0</v>
      </c>
      <c r="O49" s="564">
        <v>0</v>
      </c>
      <c r="P49" s="565"/>
      <c r="Q49" s="566"/>
      <c r="R49" s="489">
        <v>1</v>
      </c>
      <c r="S49" s="490">
        <v>76800</v>
      </c>
      <c r="T49" s="490">
        <v>0</v>
      </c>
      <c r="U49" s="491">
        <v>7.6799999999999993E-2</v>
      </c>
      <c r="V49" s="491">
        <v>0</v>
      </c>
      <c r="W49" s="491">
        <v>0</v>
      </c>
      <c r="X49" s="489">
        <v>1</v>
      </c>
      <c r="Y49" s="490">
        <v>76800</v>
      </c>
      <c r="Z49" s="490">
        <v>0</v>
      </c>
      <c r="AB49" s="491">
        <v>7.6799999999999993E-2</v>
      </c>
      <c r="AC49" s="491">
        <v>0</v>
      </c>
      <c r="AD49" s="491">
        <v>0</v>
      </c>
      <c r="AE49" s="489">
        <v>1</v>
      </c>
      <c r="AF49" s="490">
        <v>56200</v>
      </c>
      <c r="AG49" s="490">
        <v>0</v>
      </c>
      <c r="AH49" s="491">
        <v>5.62E-2</v>
      </c>
      <c r="AI49" s="491">
        <v>0</v>
      </c>
      <c r="AJ49" s="491">
        <v>0</v>
      </c>
    </row>
    <row r="50" spans="2:36" ht="25.5" x14ac:dyDescent="0.25">
      <c r="B50" s="489" t="s">
        <v>258</v>
      </c>
      <c r="C50" s="489" t="s">
        <v>177</v>
      </c>
      <c r="D50" s="489" t="s">
        <v>344</v>
      </c>
      <c r="E50" s="489" t="s">
        <v>487</v>
      </c>
      <c r="F50" s="490">
        <v>39549612</v>
      </c>
      <c r="G50" s="490">
        <v>0</v>
      </c>
      <c r="H50" s="562">
        <v>0</v>
      </c>
      <c r="I50" s="563"/>
      <c r="J50" s="490">
        <v>39549612</v>
      </c>
      <c r="K50" s="490">
        <v>31580340.609999999</v>
      </c>
      <c r="L50" s="490">
        <v>0</v>
      </c>
      <c r="M50" s="491">
        <v>0.79849937870439791</v>
      </c>
      <c r="N50" s="491">
        <v>0</v>
      </c>
      <c r="O50" s="564">
        <v>0</v>
      </c>
      <c r="P50" s="565"/>
      <c r="Q50" s="566"/>
      <c r="R50" s="489">
        <v>51</v>
      </c>
      <c r="S50" s="490">
        <v>31580340.609999999</v>
      </c>
      <c r="T50" s="490">
        <v>0</v>
      </c>
      <c r="U50" s="491">
        <v>0.79849937870439791</v>
      </c>
      <c r="V50" s="491">
        <v>0</v>
      </c>
      <c r="W50" s="491">
        <v>0</v>
      </c>
      <c r="X50" s="489">
        <v>51</v>
      </c>
      <c r="Y50" s="490">
        <v>31580340.609999999</v>
      </c>
      <c r="Z50" s="490">
        <v>0</v>
      </c>
      <c r="AB50" s="491">
        <v>0.79849937870439791</v>
      </c>
      <c r="AC50" s="491">
        <v>0</v>
      </c>
      <c r="AD50" s="491">
        <v>0</v>
      </c>
      <c r="AE50" s="489">
        <v>51</v>
      </c>
      <c r="AF50" s="490">
        <v>29792032.300000001</v>
      </c>
      <c r="AG50" s="490">
        <v>0</v>
      </c>
      <c r="AH50" s="491">
        <v>0.75328254294884112</v>
      </c>
      <c r="AI50" s="491">
        <v>0</v>
      </c>
      <c r="AJ50" s="491">
        <v>0</v>
      </c>
    </row>
    <row r="51" spans="2:36" ht="51" x14ac:dyDescent="0.25">
      <c r="B51" s="489" t="s">
        <v>259</v>
      </c>
      <c r="C51" s="489" t="s">
        <v>1565</v>
      </c>
      <c r="D51" s="489" t="s">
        <v>344</v>
      </c>
      <c r="E51" s="489" t="s">
        <v>487</v>
      </c>
      <c r="F51" s="490">
        <v>32607110</v>
      </c>
      <c r="G51" s="490">
        <v>842372</v>
      </c>
      <c r="H51" s="562">
        <v>0</v>
      </c>
      <c r="I51" s="563"/>
      <c r="J51" s="490">
        <v>32607110</v>
      </c>
      <c r="K51" s="490">
        <v>29596141.219999999</v>
      </c>
      <c r="L51" s="490">
        <v>842372</v>
      </c>
      <c r="M51" s="491">
        <v>0.90765913385148211</v>
      </c>
      <c r="N51" s="491">
        <v>0</v>
      </c>
      <c r="O51" s="564">
        <v>0</v>
      </c>
      <c r="P51" s="565"/>
      <c r="Q51" s="566"/>
      <c r="R51" s="489">
        <v>1</v>
      </c>
      <c r="S51" s="490">
        <v>29596141.219999999</v>
      </c>
      <c r="T51" s="490">
        <v>842372</v>
      </c>
      <c r="U51" s="491">
        <v>0.90765913385148211</v>
      </c>
      <c r="V51" s="491">
        <v>0</v>
      </c>
      <c r="W51" s="491">
        <v>0</v>
      </c>
      <c r="X51" s="489">
        <v>1</v>
      </c>
      <c r="Y51" s="490">
        <v>29596141.219999999</v>
      </c>
      <c r="Z51" s="490">
        <v>842372</v>
      </c>
      <c r="AB51" s="491">
        <v>0.90765913385148211</v>
      </c>
      <c r="AC51" s="491">
        <v>0</v>
      </c>
      <c r="AD51" s="491">
        <v>0</v>
      </c>
      <c r="AE51" s="489">
        <v>1</v>
      </c>
      <c r="AF51" s="490">
        <v>29596141.219999999</v>
      </c>
      <c r="AG51" s="490">
        <v>500442.8</v>
      </c>
      <c r="AH51" s="491">
        <v>0.90765913385148211</v>
      </c>
      <c r="AI51" s="491">
        <v>0</v>
      </c>
      <c r="AJ51" s="491">
        <v>0</v>
      </c>
    </row>
    <row r="52" spans="2:36" ht="51" x14ac:dyDescent="0.25">
      <c r="B52" s="489" t="s">
        <v>1361</v>
      </c>
      <c r="C52" s="489" t="s">
        <v>1532</v>
      </c>
      <c r="D52" s="489" t="s">
        <v>344</v>
      </c>
      <c r="E52" s="489" t="s">
        <v>487</v>
      </c>
      <c r="F52" s="490">
        <v>44395099.899999999</v>
      </c>
      <c r="G52" s="490">
        <v>16702630.33</v>
      </c>
      <c r="H52" s="562">
        <v>0</v>
      </c>
      <c r="I52" s="563"/>
      <c r="J52" s="490">
        <v>44395099.899999999</v>
      </c>
      <c r="K52" s="490">
        <v>0</v>
      </c>
      <c r="L52" s="490">
        <v>0</v>
      </c>
      <c r="M52" s="491">
        <v>0</v>
      </c>
      <c r="N52" s="491">
        <v>0</v>
      </c>
      <c r="O52" s="564">
        <v>0</v>
      </c>
      <c r="P52" s="565"/>
      <c r="Q52" s="566"/>
      <c r="R52" s="489">
        <v>0</v>
      </c>
      <c r="S52" s="490">
        <v>0</v>
      </c>
      <c r="T52" s="490">
        <v>0</v>
      </c>
      <c r="U52" s="491">
        <v>0</v>
      </c>
      <c r="V52" s="491">
        <v>0</v>
      </c>
      <c r="W52" s="491">
        <v>0</v>
      </c>
      <c r="X52" s="489">
        <v>0</v>
      </c>
      <c r="Y52" s="490">
        <v>0</v>
      </c>
      <c r="Z52" s="490">
        <v>0</v>
      </c>
      <c r="AB52" s="491">
        <v>0</v>
      </c>
      <c r="AC52" s="491">
        <v>0</v>
      </c>
      <c r="AD52" s="491">
        <v>0</v>
      </c>
      <c r="AE52" s="489">
        <v>0</v>
      </c>
      <c r="AF52" s="490">
        <v>0</v>
      </c>
      <c r="AG52" s="490">
        <v>0</v>
      </c>
      <c r="AH52" s="491">
        <v>0</v>
      </c>
      <c r="AI52" s="491">
        <v>0</v>
      </c>
      <c r="AJ52" s="491">
        <v>0</v>
      </c>
    </row>
    <row r="53" spans="2:36" ht="25.5" x14ac:dyDescent="0.25">
      <c r="B53" s="489" t="s">
        <v>433</v>
      </c>
      <c r="C53" s="489" t="s">
        <v>38</v>
      </c>
      <c r="D53" s="489" t="s">
        <v>344</v>
      </c>
      <c r="E53" s="489" t="s">
        <v>487</v>
      </c>
      <c r="F53" s="490">
        <v>43775045.479999997</v>
      </c>
      <c r="G53" s="490">
        <v>0</v>
      </c>
      <c r="H53" s="562">
        <v>0</v>
      </c>
      <c r="I53" s="563"/>
      <c r="J53" s="490">
        <v>43775045.479999997</v>
      </c>
      <c r="K53" s="490">
        <v>0</v>
      </c>
      <c r="L53" s="490">
        <v>0</v>
      </c>
      <c r="M53" s="491">
        <v>0</v>
      </c>
      <c r="N53" s="491">
        <v>0</v>
      </c>
      <c r="O53" s="564">
        <v>0</v>
      </c>
      <c r="P53" s="565"/>
      <c r="Q53" s="566"/>
      <c r="R53" s="489">
        <v>0</v>
      </c>
      <c r="S53" s="490">
        <v>0</v>
      </c>
      <c r="T53" s="490">
        <v>0</v>
      </c>
      <c r="U53" s="491">
        <v>0</v>
      </c>
      <c r="V53" s="491">
        <v>0</v>
      </c>
      <c r="W53" s="491">
        <v>0</v>
      </c>
      <c r="X53" s="489">
        <v>0</v>
      </c>
      <c r="Y53" s="490">
        <v>0</v>
      </c>
      <c r="Z53" s="490">
        <v>0</v>
      </c>
      <c r="AB53" s="491">
        <v>0</v>
      </c>
      <c r="AC53" s="491">
        <v>0</v>
      </c>
      <c r="AD53" s="491">
        <v>0</v>
      </c>
      <c r="AE53" s="489">
        <v>0</v>
      </c>
      <c r="AF53" s="490">
        <v>0</v>
      </c>
      <c r="AG53" s="490">
        <v>0</v>
      </c>
      <c r="AH53" s="491">
        <v>0</v>
      </c>
      <c r="AI53" s="491">
        <v>0</v>
      </c>
      <c r="AJ53" s="491">
        <v>0</v>
      </c>
    </row>
    <row r="54" spans="2:36" ht="89.25" x14ac:dyDescent="0.25">
      <c r="B54" s="489" t="s">
        <v>1539</v>
      </c>
      <c r="C54" s="489" t="s">
        <v>1249</v>
      </c>
      <c r="D54" s="489" t="s">
        <v>344</v>
      </c>
      <c r="E54" s="489" t="s">
        <v>487</v>
      </c>
      <c r="F54" s="490">
        <v>135962467.87</v>
      </c>
      <c r="G54" s="490">
        <v>25000000</v>
      </c>
      <c r="H54" s="562">
        <v>0</v>
      </c>
      <c r="I54" s="563"/>
      <c r="J54" s="490">
        <v>135962467.87</v>
      </c>
      <c r="K54" s="499">
        <v>135962467.87</v>
      </c>
      <c r="L54" s="499">
        <v>25000000</v>
      </c>
      <c r="M54" s="491">
        <v>0</v>
      </c>
      <c r="N54" s="491">
        <v>0</v>
      </c>
      <c r="O54" s="564">
        <v>0</v>
      </c>
      <c r="P54" s="565"/>
      <c r="Q54" s="566"/>
      <c r="R54" s="498">
        <v>1</v>
      </c>
      <c r="S54" s="499">
        <v>135962467.87</v>
      </c>
      <c r="T54" s="499">
        <v>25000000</v>
      </c>
      <c r="U54" s="491">
        <v>0</v>
      </c>
      <c r="V54" s="491">
        <v>0</v>
      </c>
      <c r="W54" s="491">
        <v>0</v>
      </c>
      <c r="X54" s="498">
        <v>1</v>
      </c>
      <c r="Y54" s="499">
        <v>135962467.87</v>
      </c>
      <c r="Z54" s="499">
        <v>25000000</v>
      </c>
      <c r="AB54" s="491">
        <v>0</v>
      </c>
      <c r="AC54" s="491">
        <v>0</v>
      </c>
      <c r="AD54" s="491">
        <v>0</v>
      </c>
      <c r="AE54" s="498">
        <v>1</v>
      </c>
      <c r="AF54" s="490">
        <v>155288522.36000001</v>
      </c>
      <c r="AG54" s="490">
        <v>21059281.16</v>
      </c>
      <c r="AH54" s="491">
        <v>1.1421425691425264</v>
      </c>
      <c r="AI54" s="491">
        <v>0</v>
      </c>
      <c r="AJ54" s="491">
        <v>0</v>
      </c>
    </row>
    <row r="55" spans="2:36" ht="38.25" x14ac:dyDescent="0.25">
      <c r="B55" s="489" t="s">
        <v>498</v>
      </c>
      <c r="C55" s="489" t="s">
        <v>26</v>
      </c>
      <c r="D55" s="489"/>
      <c r="E55" s="489"/>
      <c r="F55" s="490">
        <v>90211837</v>
      </c>
      <c r="G55" s="490">
        <v>5037633</v>
      </c>
      <c r="H55" s="562">
        <v>0</v>
      </c>
      <c r="I55" s="563"/>
      <c r="J55" s="490">
        <v>90211837</v>
      </c>
      <c r="K55" s="490">
        <v>89619076.769999996</v>
      </c>
      <c r="L55" s="490">
        <v>5037633</v>
      </c>
      <c r="M55" s="491">
        <v>0.99342924110945663</v>
      </c>
      <c r="N55" s="491">
        <v>0</v>
      </c>
      <c r="O55" s="564">
        <v>0</v>
      </c>
      <c r="P55" s="565"/>
      <c r="Q55" s="566"/>
      <c r="R55" s="489">
        <v>16</v>
      </c>
      <c r="S55" s="490">
        <v>89619076.769999996</v>
      </c>
      <c r="T55" s="490">
        <v>5037633</v>
      </c>
      <c r="U55" s="491">
        <v>0.99342924110945663</v>
      </c>
      <c r="V55" s="491">
        <v>0</v>
      </c>
      <c r="W55" s="491">
        <v>0</v>
      </c>
      <c r="X55" s="489">
        <v>16</v>
      </c>
      <c r="Y55" s="490">
        <v>89619076.769999996</v>
      </c>
      <c r="Z55" s="490">
        <v>5037633</v>
      </c>
      <c r="AB55" s="491">
        <v>0.99342924110945663</v>
      </c>
      <c r="AC55" s="491">
        <v>0</v>
      </c>
      <c r="AD55" s="491">
        <v>0</v>
      </c>
      <c r="AE55" s="489">
        <v>16</v>
      </c>
      <c r="AF55" s="490">
        <v>85470515.069999993</v>
      </c>
      <c r="AG55" s="490">
        <v>5019349.8099999996</v>
      </c>
      <c r="AH55" s="491">
        <v>0.94744235249305475</v>
      </c>
      <c r="AI55" s="491">
        <v>0</v>
      </c>
      <c r="AJ55" s="491">
        <v>0</v>
      </c>
    </row>
    <row r="56" spans="2:36" ht="25.5" x14ac:dyDescent="0.25">
      <c r="B56" s="489" t="s">
        <v>434</v>
      </c>
      <c r="C56" s="489" t="s">
        <v>499</v>
      </c>
      <c r="D56" s="489" t="s">
        <v>344</v>
      </c>
      <c r="E56" s="489" t="s">
        <v>487</v>
      </c>
      <c r="F56" s="490">
        <v>90211837</v>
      </c>
      <c r="G56" s="490">
        <v>5037633</v>
      </c>
      <c r="H56" s="562">
        <v>0</v>
      </c>
      <c r="I56" s="563"/>
      <c r="J56" s="490">
        <v>90211837</v>
      </c>
      <c r="K56" s="490">
        <v>89619076.769999996</v>
      </c>
      <c r="L56" s="490">
        <v>5037633</v>
      </c>
      <c r="M56" s="491">
        <v>0.99342924110945663</v>
      </c>
      <c r="N56" s="491">
        <v>0</v>
      </c>
      <c r="O56" s="564">
        <v>0</v>
      </c>
      <c r="P56" s="565"/>
      <c r="Q56" s="566"/>
      <c r="R56" s="489">
        <v>16</v>
      </c>
      <c r="S56" s="490">
        <v>89619076.769999996</v>
      </c>
      <c r="T56" s="490">
        <v>5037633</v>
      </c>
      <c r="U56" s="491">
        <v>0.99342924110945663</v>
      </c>
      <c r="V56" s="491">
        <v>0</v>
      </c>
      <c r="W56" s="491">
        <v>0</v>
      </c>
      <c r="X56" s="489">
        <v>16</v>
      </c>
      <c r="Y56" s="490">
        <v>89619076.769999996</v>
      </c>
      <c r="Z56" s="490">
        <v>5037633</v>
      </c>
      <c r="AB56" s="491">
        <v>0.99342924110945663</v>
      </c>
      <c r="AC56" s="491">
        <v>0</v>
      </c>
      <c r="AD56" s="491">
        <v>0</v>
      </c>
      <c r="AE56" s="489">
        <v>16</v>
      </c>
      <c r="AF56" s="490">
        <v>85470515.069999993</v>
      </c>
      <c r="AG56" s="490">
        <v>5019349.8099999996</v>
      </c>
      <c r="AH56" s="491">
        <v>0.94744235249305475</v>
      </c>
      <c r="AI56" s="491">
        <v>0</v>
      </c>
      <c r="AJ56" s="491">
        <v>0</v>
      </c>
    </row>
    <row r="57" spans="2:36" ht="25.5" x14ac:dyDescent="0.25">
      <c r="B57" s="489" t="s">
        <v>411</v>
      </c>
      <c r="C57" s="489" t="s">
        <v>182</v>
      </c>
      <c r="D57" s="489" t="s">
        <v>344</v>
      </c>
      <c r="E57" s="489" t="s">
        <v>487</v>
      </c>
      <c r="F57" s="490">
        <v>6732853</v>
      </c>
      <c r="G57" s="490">
        <v>0</v>
      </c>
      <c r="H57" s="562">
        <v>0</v>
      </c>
      <c r="I57" s="563"/>
      <c r="J57" s="490">
        <v>6732853</v>
      </c>
      <c r="K57" s="490">
        <v>6552472.9299999997</v>
      </c>
      <c r="L57" s="490">
        <v>0</v>
      </c>
      <c r="M57" s="491">
        <v>0.97320896951114189</v>
      </c>
      <c r="N57" s="491">
        <v>0</v>
      </c>
      <c r="O57" s="564">
        <v>0</v>
      </c>
      <c r="P57" s="565"/>
      <c r="Q57" s="566"/>
      <c r="R57" s="489">
        <v>14</v>
      </c>
      <c r="S57" s="490">
        <v>6552472.9299999997</v>
      </c>
      <c r="T57" s="490">
        <v>0</v>
      </c>
      <c r="U57" s="491">
        <v>0.97320896951114189</v>
      </c>
      <c r="V57" s="491">
        <v>0</v>
      </c>
      <c r="W57" s="491">
        <v>0</v>
      </c>
      <c r="X57" s="489">
        <v>14</v>
      </c>
      <c r="Y57" s="490">
        <v>6552472.9299999997</v>
      </c>
      <c r="Z57" s="490">
        <v>0</v>
      </c>
      <c r="AB57" s="491">
        <v>0.97320896951114189</v>
      </c>
      <c r="AC57" s="491">
        <v>0</v>
      </c>
      <c r="AD57" s="491">
        <v>0</v>
      </c>
      <c r="AE57" s="489">
        <v>14</v>
      </c>
      <c r="AF57" s="490">
        <v>6552472.9299999997</v>
      </c>
      <c r="AG57" s="490">
        <v>0</v>
      </c>
      <c r="AH57" s="491">
        <v>0.97320896951114189</v>
      </c>
      <c r="AI57" s="491">
        <v>0</v>
      </c>
      <c r="AJ57" s="491">
        <v>0</v>
      </c>
    </row>
    <row r="58" spans="2:36" ht="51" x14ac:dyDescent="0.25">
      <c r="B58" s="489" t="s">
        <v>364</v>
      </c>
      <c r="C58" s="489" t="s">
        <v>1566</v>
      </c>
      <c r="D58" s="489" t="s">
        <v>344</v>
      </c>
      <c r="E58" s="489" t="s">
        <v>487</v>
      </c>
      <c r="F58" s="490">
        <v>83478984</v>
      </c>
      <c r="G58" s="490">
        <v>5037633</v>
      </c>
      <c r="H58" s="562">
        <v>0</v>
      </c>
      <c r="I58" s="563"/>
      <c r="J58" s="490">
        <v>83478984</v>
      </c>
      <c r="K58" s="490">
        <v>83066603.840000004</v>
      </c>
      <c r="L58" s="490">
        <v>5037633</v>
      </c>
      <c r="M58" s="491">
        <v>0.99506007212545855</v>
      </c>
      <c r="N58" s="491">
        <v>0</v>
      </c>
      <c r="O58" s="564">
        <v>0</v>
      </c>
      <c r="P58" s="565"/>
      <c r="Q58" s="566"/>
      <c r="R58" s="489">
        <v>2</v>
      </c>
      <c r="S58" s="490">
        <v>83066603.840000004</v>
      </c>
      <c r="T58" s="490">
        <v>5037633</v>
      </c>
      <c r="U58" s="491">
        <v>0.99506007212545855</v>
      </c>
      <c r="V58" s="491">
        <v>0</v>
      </c>
      <c r="W58" s="491">
        <v>0</v>
      </c>
      <c r="X58" s="489">
        <v>2</v>
      </c>
      <c r="Y58" s="490">
        <v>83066603.840000004</v>
      </c>
      <c r="Z58" s="490">
        <v>5037633</v>
      </c>
      <c r="AB58" s="491">
        <v>0.99506007212545855</v>
      </c>
      <c r="AC58" s="491">
        <v>0</v>
      </c>
      <c r="AD58" s="491">
        <v>0</v>
      </c>
      <c r="AE58" s="489">
        <v>2</v>
      </c>
      <c r="AF58" s="490">
        <v>78918042.140000001</v>
      </c>
      <c r="AG58" s="490">
        <v>5019349.8099999996</v>
      </c>
      <c r="AH58" s="491">
        <v>0.94536419058478238</v>
      </c>
      <c r="AI58" s="491">
        <v>0</v>
      </c>
      <c r="AJ58" s="491">
        <v>0</v>
      </c>
    </row>
    <row r="59" spans="2:36" ht="25.5" x14ac:dyDescent="0.25">
      <c r="B59" s="489" t="s">
        <v>500</v>
      </c>
      <c r="C59" s="489" t="s">
        <v>501</v>
      </c>
      <c r="D59" s="489"/>
      <c r="E59" s="489"/>
      <c r="F59" s="490">
        <v>59016742</v>
      </c>
      <c r="G59" s="490">
        <v>0</v>
      </c>
      <c r="H59" s="562">
        <v>290005</v>
      </c>
      <c r="I59" s="563"/>
      <c r="J59" s="490">
        <v>59306747</v>
      </c>
      <c r="K59" s="490">
        <v>55993361.68</v>
      </c>
      <c r="L59" s="490">
        <v>0</v>
      </c>
      <c r="M59" s="491">
        <v>0.94877080269866476</v>
      </c>
      <c r="N59" s="491">
        <v>0</v>
      </c>
      <c r="O59" s="564">
        <v>0</v>
      </c>
      <c r="P59" s="565"/>
      <c r="Q59" s="566"/>
      <c r="R59" s="489">
        <v>100</v>
      </c>
      <c r="S59" s="490">
        <v>55993361.68</v>
      </c>
      <c r="T59" s="490">
        <v>0</v>
      </c>
      <c r="U59" s="491">
        <v>0.94877080269866476</v>
      </c>
      <c r="V59" s="491">
        <v>0</v>
      </c>
      <c r="W59" s="491">
        <v>0</v>
      </c>
      <c r="X59" s="489">
        <v>100</v>
      </c>
      <c r="Y59" s="490">
        <v>55993361.68</v>
      </c>
      <c r="Z59" s="490">
        <v>0</v>
      </c>
      <c r="AB59" s="491">
        <v>0.94877080269866476</v>
      </c>
      <c r="AC59" s="491">
        <v>0</v>
      </c>
      <c r="AD59" s="491">
        <v>0</v>
      </c>
      <c r="AE59" s="489">
        <v>100</v>
      </c>
      <c r="AF59" s="490">
        <v>56046382.380000003</v>
      </c>
      <c r="AG59" s="490">
        <v>0</v>
      </c>
      <c r="AH59" s="491">
        <v>0.94966920369816421</v>
      </c>
      <c r="AI59" s="491">
        <v>0</v>
      </c>
      <c r="AJ59" s="491">
        <v>0</v>
      </c>
    </row>
    <row r="60" spans="2:36" ht="63.75" x14ac:dyDescent="0.25">
      <c r="B60" s="489" t="s">
        <v>262</v>
      </c>
      <c r="C60" s="489" t="s">
        <v>40</v>
      </c>
      <c r="D60" s="489" t="s">
        <v>344</v>
      </c>
      <c r="E60" s="489" t="s">
        <v>1608</v>
      </c>
      <c r="F60" s="490">
        <v>59016742</v>
      </c>
      <c r="G60" s="490">
        <v>0</v>
      </c>
      <c r="H60" s="562">
        <v>290005</v>
      </c>
      <c r="I60" s="563"/>
      <c r="J60" s="490">
        <v>59306747</v>
      </c>
      <c r="K60" s="490">
        <v>55993361.68</v>
      </c>
      <c r="L60" s="490">
        <v>0</v>
      </c>
      <c r="M60" s="491">
        <v>0.94877080269866476</v>
      </c>
      <c r="N60" s="491">
        <v>0</v>
      </c>
      <c r="O60" s="564">
        <v>0</v>
      </c>
      <c r="P60" s="565"/>
      <c r="Q60" s="566"/>
      <c r="R60" s="489">
        <v>100</v>
      </c>
      <c r="S60" s="490">
        <v>55993361.68</v>
      </c>
      <c r="T60" s="490">
        <v>0</v>
      </c>
      <c r="U60" s="491">
        <v>0.94877080269866476</v>
      </c>
      <c r="V60" s="491">
        <v>0</v>
      </c>
      <c r="W60" s="491">
        <v>0</v>
      </c>
      <c r="X60" s="489">
        <v>100</v>
      </c>
      <c r="Y60" s="490">
        <v>55993361.68</v>
      </c>
      <c r="Z60" s="490">
        <v>0</v>
      </c>
      <c r="AB60" s="491">
        <v>0.94877080269866476</v>
      </c>
      <c r="AC60" s="491">
        <v>0</v>
      </c>
      <c r="AD60" s="491">
        <v>0</v>
      </c>
      <c r="AE60" s="489">
        <v>100</v>
      </c>
      <c r="AF60" s="490">
        <v>56046382.380000003</v>
      </c>
      <c r="AG60" s="490">
        <v>0</v>
      </c>
      <c r="AH60" s="491">
        <v>0.94966920369816421</v>
      </c>
      <c r="AI60" s="491">
        <v>0</v>
      </c>
      <c r="AJ60" s="491">
        <v>0</v>
      </c>
    </row>
    <row r="61" spans="2:36" ht="51" x14ac:dyDescent="0.25">
      <c r="B61" s="489" t="s">
        <v>502</v>
      </c>
      <c r="C61" s="489" t="s">
        <v>503</v>
      </c>
      <c r="D61" s="489"/>
      <c r="E61" s="489"/>
      <c r="F61" s="490">
        <v>17799857</v>
      </c>
      <c r="G61" s="490">
        <v>0</v>
      </c>
      <c r="H61" s="562">
        <v>0</v>
      </c>
      <c r="I61" s="563"/>
      <c r="J61" s="490">
        <v>17799857</v>
      </c>
      <c r="K61" s="490">
        <v>17720662.949999999</v>
      </c>
      <c r="L61" s="490">
        <v>0</v>
      </c>
      <c r="M61" s="491">
        <v>0.99555086032432727</v>
      </c>
      <c r="N61" s="491">
        <v>0</v>
      </c>
      <c r="O61" s="564">
        <v>0</v>
      </c>
      <c r="P61" s="565"/>
      <c r="Q61" s="566"/>
      <c r="R61" s="489">
        <v>8</v>
      </c>
      <c r="S61" s="490">
        <v>17720662.949999999</v>
      </c>
      <c r="T61" s="490">
        <v>0</v>
      </c>
      <c r="U61" s="491">
        <v>0.99555086032432727</v>
      </c>
      <c r="V61" s="491">
        <v>0</v>
      </c>
      <c r="W61" s="491">
        <v>0</v>
      </c>
      <c r="X61" s="489">
        <v>8</v>
      </c>
      <c r="Y61" s="490">
        <v>17720662.949999999</v>
      </c>
      <c r="Z61" s="490">
        <v>0</v>
      </c>
      <c r="AB61" s="491">
        <v>0.99555086032432727</v>
      </c>
      <c r="AC61" s="491">
        <v>0</v>
      </c>
      <c r="AD61" s="491">
        <v>0</v>
      </c>
      <c r="AE61" s="489">
        <v>8</v>
      </c>
      <c r="AF61" s="490">
        <v>17720662.949999999</v>
      </c>
      <c r="AG61" s="490">
        <v>0</v>
      </c>
      <c r="AH61" s="491">
        <v>0.99555086032432727</v>
      </c>
      <c r="AI61" s="491">
        <v>0</v>
      </c>
      <c r="AJ61" s="491">
        <v>0</v>
      </c>
    </row>
    <row r="62" spans="2:36" ht="38.25" x14ac:dyDescent="0.25">
      <c r="B62" s="489" t="s">
        <v>417</v>
      </c>
      <c r="C62" s="489" t="s">
        <v>504</v>
      </c>
      <c r="D62" s="489" t="s">
        <v>346</v>
      </c>
      <c r="E62" s="489" t="s">
        <v>505</v>
      </c>
      <c r="F62" s="490">
        <v>9230484</v>
      </c>
      <c r="G62" s="490">
        <v>0</v>
      </c>
      <c r="H62" s="562">
        <v>0</v>
      </c>
      <c r="I62" s="563"/>
      <c r="J62" s="490">
        <v>9230484</v>
      </c>
      <c r="K62" s="490">
        <v>9219650.8000000007</v>
      </c>
      <c r="L62" s="490">
        <v>0</v>
      </c>
      <c r="M62" s="491">
        <v>0.9988263670680757</v>
      </c>
      <c r="N62" s="491">
        <v>0</v>
      </c>
      <c r="O62" s="564">
        <v>0</v>
      </c>
      <c r="P62" s="565"/>
      <c r="Q62" s="566"/>
      <c r="R62" s="489">
        <v>1</v>
      </c>
      <c r="S62" s="490">
        <v>9219650.8000000007</v>
      </c>
      <c r="T62" s="490">
        <v>0</v>
      </c>
      <c r="U62" s="491">
        <v>0.9988263670680757</v>
      </c>
      <c r="V62" s="491">
        <v>0</v>
      </c>
      <c r="W62" s="491">
        <v>0</v>
      </c>
      <c r="X62" s="489">
        <v>1</v>
      </c>
      <c r="Y62" s="490">
        <v>9219650.8000000007</v>
      </c>
      <c r="Z62" s="490">
        <v>0</v>
      </c>
      <c r="AB62" s="491">
        <v>0.9988263670680757</v>
      </c>
      <c r="AC62" s="491">
        <v>0</v>
      </c>
      <c r="AD62" s="491">
        <v>0</v>
      </c>
      <c r="AE62" s="489">
        <v>1</v>
      </c>
      <c r="AF62" s="490">
        <v>9219650.8000000007</v>
      </c>
      <c r="AG62" s="490">
        <v>0</v>
      </c>
      <c r="AH62" s="491">
        <v>0.9988263670680757</v>
      </c>
      <c r="AI62" s="491">
        <v>0</v>
      </c>
      <c r="AJ62" s="491">
        <v>0</v>
      </c>
    </row>
    <row r="63" spans="2:36" ht="51" x14ac:dyDescent="0.25">
      <c r="B63" s="489" t="s">
        <v>418</v>
      </c>
      <c r="C63" s="489" t="s">
        <v>1252</v>
      </c>
      <c r="D63" s="489" t="s">
        <v>346</v>
      </c>
      <c r="E63" s="489" t="s">
        <v>507</v>
      </c>
      <c r="F63" s="490">
        <v>8569373</v>
      </c>
      <c r="G63" s="490">
        <v>0</v>
      </c>
      <c r="H63" s="562">
        <v>0</v>
      </c>
      <c r="I63" s="563"/>
      <c r="J63" s="490">
        <v>8569373</v>
      </c>
      <c r="K63" s="490">
        <v>8501012.1500000004</v>
      </c>
      <c r="L63" s="490">
        <v>0</v>
      </c>
      <c r="M63" s="491">
        <v>0.99202265439956927</v>
      </c>
      <c r="N63" s="491">
        <v>0</v>
      </c>
      <c r="O63" s="564">
        <v>0</v>
      </c>
      <c r="P63" s="565"/>
      <c r="Q63" s="566"/>
      <c r="R63" s="489">
        <v>7</v>
      </c>
      <c r="S63" s="490">
        <v>8501012.1500000004</v>
      </c>
      <c r="T63" s="490">
        <v>0</v>
      </c>
      <c r="U63" s="491">
        <v>0.99202265439956927</v>
      </c>
      <c r="V63" s="491">
        <v>0</v>
      </c>
      <c r="W63" s="491">
        <v>0</v>
      </c>
      <c r="X63" s="489">
        <v>7</v>
      </c>
      <c r="Y63" s="490">
        <v>8501012.1500000004</v>
      </c>
      <c r="Z63" s="490">
        <v>0</v>
      </c>
      <c r="AB63" s="491">
        <v>0.99202265439956927</v>
      </c>
      <c r="AC63" s="491">
        <v>0</v>
      </c>
      <c r="AD63" s="491">
        <v>0</v>
      </c>
      <c r="AE63" s="489">
        <v>7</v>
      </c>
      <c r="AF63" s="490">
        <v>8501012.1500000004</v>
      </c>
      <c r="AG63" s="490">
        <v>0</v>
      </c>
      <c r="AH63" s="491">
        <v>0.99202265439956927</v>
      </c>
      <c r="AI63" s="491">
        <v>0</v>
      </c>
      <c r="AJ63" s="491">
        <v>0</v>
      </c>
    </row>
    <row r="64" spans="2:36" ht="51" x14ac:dyDescent="0.25">
      <c r="B64" s="489" t="s">
        <v>458</v>
      </c>
      <c r="C64" s="489" t="s">
        <v>506</v>
      </c>
      <c r="D64" s="489" t="s">
        <v>346</v>
      </c>
      <c r="E64" s="489" t="s">
        <v>507</v>
      </c>
      <c r="F64" s="490">
        <v>6954373</v>
      </c>
      <c r="G64" s="490">
        <v>0</v>
      </c>
      <c r="H64" s="562">
        <v>0</v>
      </c>
      <c r="I64" s="563"/>
      <c r="J64" s="490">
        <v>6954373</v>
      </c>
      <c r="K64" s="490">
        <v>6888432.3399999999</v>
      </c>
      <c r="L64" s="490">
        <v>0</v>
      </c>
      <c r="M64" s="491">
        <v>0.99051810134429086</v>
      </c>
      <c r="N64" s="491">
        <v>0</v>
      </c>
      <c r="O64" s="564">
        <v>0</v>
      </c>
      <c r="P64" s="565"/>
      <c r="Q64" s="566"/>
      <c r="R64" s="489">
        <v>4</v>
      </c>
      <c r="S64" s="490">
        <v>6888432.3399999999</v>
      </c>
      <c r="T64" s="490">
        <v>0</v>
      </c>
      <c r="U64" s="491">
        <v>0.99051810134429086</v>
      </c>
      <c r="V64" s="491">
        <v>0</v>
      </c>
      <c r="W64" s="491">
        <v>0</v>
      </c>
      <c r="X64" s="489">
        <v>4</v>
      </c>
      <c r="Y64" s="490">
        <v>6888432.3399999999</v>
      </c>
      <c r="Z64" s="490">
        <v>0</v>
      </c>
      <c r="AB64" s="491">
        <v>0.99051810134429086</v>
      </c>
      <c r="AC64" s="491">
        <v>0</v>
      </c>
      <c r="AD64" s="491">
        <v>0</v>
      </c>
      <c r="AE64" s="489">
        <v>4</v>
      </c>
      <c r="AF64" s="490">
        <v>6888432.3399999999</v>
      </c>
      <c r="AG64" s="490">
        <v>0</v>
      </c>
      <c r="AH64" s="491">
        <v>0.99051810134429086</v>
      </c>
      <c r="AI64" s="491">
        <v>0</v>
      </c>
      <c r="AJ64" s="491">
        <v>0</v>
      </c>
    </row>
    <row r="65" spans="2:36" ht="25.5" x14ac:dyDescent="0.25">
      <c r="B65" s="489" t="s">
        <v>457</v>
      </c>
      <c r="C65" s="489" t="s">
        <v>459</v>
      </c>
      <c r="D65" s="489" t="s">
        <v>346</v>
      </c>
      <c r="E65" s="489" t="s">
        <v>507</v>
      </c>
      <c r="F65" s="490">
        <v>1275000</v>
      </c>
      <c r="G65" s="490">
        <v>0</v>
      </c>
      <c r="H65" s="562">
        <v>0</v>
      </c>
      <c r="I65" s="563"/>
      <c r="J65" s="490">
        <v>1275000</v>
      </c>
      <c r="K65" s="490">
        <v>1273647.76</v>
      </c>
      <c r="L65" s="490">
        <v>0</v>
      </c>
      <c r="M65" s="491">
        <v>0.99893941960784316</v>
      </c>
      <c r="N65" s="491">
        <v>0</v>
      </c>
      <c r="O65" s="564">
        <v>0</v>
      </c>
      <c r="P65" s="565"/>
      <c r="Q65" s="566"/>
      <c r="R65" s="489">
        <v>2</v>
      </c>
      <c r="S65" s="490">
        <v>1273647.76</v>
      </c>
      <c r="T65" s="490">
        <v>0</v>
      </c>
      <c r="U65" s="491">
        <v>0.99893941960784316</v>
      </c>
      <c r="V65" s="491">
        <v>0</v>
      </c>
      <c r="W65" s="491">
        <v>0</v>
      </c>
      <c r="X65" s="489">
        <v>2</v>
      </c>
      <c r="Y65" s="490">
        <v>1273647.76</v>
      </c>
      <c r="Z65" s="490">
        <v>0</v>
      </c>
      <c r="AB65" s="491">
        <v>0.99893941960784316</v>
      </c>
      <c r="AC65" s="491">
        <v>0</v>
      </c>
      <c r="AD65" s="491">
        <v>0</v>
      </c>
      <c r="AE65" s="489">
        <v>2</v>
      </c>
      <c r="AF65" s="490">
        <v>1273647.76</v>
      </c>
      <c r="AG65" s="490">
        <v>0</v>
      </c>
      <c r="AH65" s="491">
        <v>0.99893941960784316</v>
      </c>
      <c r="AI65" s="491">
        <v>0</v>
      </c>
      <c r="AJ65" s="491">
        <v>0</v>
      </c>
    </row>
    <row r="66" spans="2:36" ht="25.5" x14ac:dyDescent="0.25">
      <c r="B66" s="489" t="s">
        <v>1242</v>
      </c>
      <c r="C66" s="489" t="s">
        <v>1241</v>
      </c>
      <c r="D66" s="489" t="s">
        <v>346</v>
      </c>
      <c r="E66" s="489" t="s">
        <v>507</v>
      </c>
      <c r="F66" s="490">
        <v>340000</v>
      </c>
      <c r="G66" s="490">
        <v>0</v>
      </c>
      <c r="H66" s="562">
        <v>0</v>
      </c>
      <c r="I66" s="563"/>
      <c r="J66" s="490">
        <v>340000</v>
      </c>
      <c r="K66" s="490">
        <v>338932.05</v>
      </c>
      <c r="L66" s="490">
        <v>0</v>
      </c>
      <c r="M66" s="491">
        <v>0.99685897058823525</v>
      </c>
      <c r="N66" s="491">
        <v>0</v>
      </c>
      <c r="O66" s="564">
        <v>0</v>
      </c>
      <c r="P66" s="565"/>
      <c r="Q66" s="566"/>
      <c r="R66" s="489">
        <v>1</v>
      </c>
      <c r="S66" s="490">
        <v>338932.05</v>
      </c>
      <c r="T66" s="490">
        <v>0</v>
      </c>
      <c r="U66" s="491">
        <v>0.99685897058823525</v>
      </c>
      <c r="V66" s="491">
        <v>0</v>
      </c>
      <c r="W66" s="491">
        <v>0</v>
      </c>
      <c r="X66" s="489">
        <v>1</v>
      </c>
      <c r="Y66" s="490">
        <v>338932.05</v>
      </c>
      <c r="Z66" s="490">
        <v>0</v>
      </c>
      <c r="AB66" s="491">
        <v>0.99685897058823525</v>
      </c>
      <c r="AC66" s="491">
        <v>0</v>
      </c>
      <c r="AD66" s="491">
        <v>0</v>
      </c>
      <c r="AE66" s="489">
        <v>1</v>
      </c>
      <c r="AF66" s="490">
        <v>338932.05</v>
      </c>
      <c r="AG66" s="490">
        <v>0</v>
      </c>
      <c r="AH66" s="491">
        <v>0.99685897058823525</v>
      </c>
      <c r="AI66" s="491">
        <v>0</v>
      </c>
      <c r="AJ66" s="491">
        <v>0</v>
      </c>
    </row>
    <row r="67" spans="2:36" ht="25.5" x14ac:dyDescent="0.25">
      <c r="B67" s="486" t="s">
        <v>263</v>
      </c>
      <c r="C67" s="486" t="s">
        <v>30</v>
      </c>
      <c r="D67" s="486"/>
      <c r="E67" s="486"/>
      <c r="F67" s="487">
        <v>499399808.19999999</v>
      </c>
      <c r="G67" s="487">
        <v>77060809.340000004</v>
      </c>
      <c r="H67" s="567">
        <v>61392669</v>
      </c>
      <c r="I67" s="568"/>
      <c r="J67" s="487">
        <v>560792477.20000005</v>
      </c>
      <c r="K67" s="487">
        <v>657303675.04999995</v>
      </c>
      <c r="L67" s="487">
        <v>38376998.420000002</v>
      </c>
      <c r="M67" s="488">
        <v>1.3161872797251106</v>
      </c>
      <c r="N67" s="488">
        <v>-4.3519704339365826E-4</v>
      </c>
      <c r="O67" s="559">
        <v>-3.3054049362866598E-4</v>
      </c>
      <c r="P67" s="560"/>
      <c r="Q67" s="561"/>
      <c r="R67" s="486">
        <v>561</v>
      </c>
      <c r="S67" s="487">
        <v>657303675.04999995</v>
      </c>
      <c r="T67" s="487">
        <v>38376998.420000002</v>
      </c>
      <c r="U67" s="488">
        <v>1.3161872797251106</v>
      </c>
      <c r="V67" s="488">
        <v>-4.3519704339365826E-4</v>
      </c>
      <c r="W67" s="488">
        <v>-3.3054049362866598E-4</v>
      </c>
      <c r="X67" s="486">
        <v>561</v>
      </c>
      <c r="Y67" s="487">
        <v>657303675.04999995</v>
      </c>
      <c r="Z67" s="487">
        <v>38376998.420000002</v>
      </c>
      <c r="AB67" s="488">
        <v>1.3161872797251106</v>
      </c>
      <c r="AC67" s="488">
        <v>-4.3519704339365826E-4</v>
      </c>
      <c r="AD67" s="488">
        <v>-3.3054049362866598E-4</v>
      </c>
      <c r="AE67" s="486">
        <v>561</v>
      </c>
      <c r="AF67" s="487">
        <v>692989100.29999995</v>
      </c>
      <c r="AG67" s="487">
        <v>54257108.590000004</v>
      </c>
      <c r="AH67" s="488">
        <v>1.3876439055869065</v>
      </c>
      <c r="AI67" s="488">
        <v>-2.1025238351302995E-5</v>
      </c>
      <c r="AJ67" s="488">
        <v>-1.5151523890424385E-5</v>
      </c>
    </row>
    <row r="68" spans="2:36" ht="25.5" x14ac:dyDescent="0.25">
      <c r="B68" s="489" t="s">
        <v>508</v>
      </c>
      <c r="C68" s="489" t="s">
        <v>43</v>
      </c>
      <c r="D68" s="489"/>
      <c r="E68" s="489"/>
      <c r="F68" s="490">
        <v>20301399</v>
      </c>
      <c r="G68" s="490">
        <v>0</v>
      </c>
      <c r="H68" s="562">
        <v>0</v>
      </c>
      <c r="I68" s="563"/>
      <c r="J68" s="490">
        <v>20301399</v>
      </c>
      <c r="K68" s="490">
        <v>18616425.510000002</v>
      </c>
      <c r="L68" s="490">
        <v>0</v>
      </c>
      <c r="M68" s="491">
        <v>0.91700209970751279</v>
      </c>
      <c r="N68" s="491">
        <v>0</v>
      </c>
      <c r="O68" s="564">
        <v>0</v>
      </c>
      <c r="P68" s="565"/>
      <c r="Q68" s="566"/>
      <c r="R68" s="489">
        <v>69</v>
      </c>
      <c r="S68" s="490">
        <v>18616425.510000002</v>
      </c>
      <c r="T68" s="490">
        <v>0</v>
      </c>
      <c r="U68" s="491">
        <v>0.91700209970751279</v>
      </c>
      <c r="V68" s="491">
        <v>0</v>
      </c>
      <c r="W68" s="491">
        <v>0</v>
      </c>
      <c r="X68" s="489">
        <v>69</v>
      </c>
      <c r="Y68" s="490">
        <v>18616425.510000002</v>
      </c>
      <c r="Z68" s="490">
        <v>0</v>
      </c>
      <c r="AB68" s="491">
        <v>0.91700209970751279</v>
      </c>
      <c r="AC68" s="491">
        <v>0</v>
      </c>
      <c r="AD68" s="491">
        <v>0</v>
      </c>
      <c r="AE68" s="489">
        <v>69</v>
      </c>
      <c r="AF68" s="490">
        <v>18616425.510000002</v>
      </c>
      <c r="AG68" s="490">
        <v>0</v>
      </c>
      <c r="AH68" s="491">
        <v>0.91700209970751279</v>
      </c>
      <c r="AI68" s="491">
        <v>0</v>
      </c>
      <c r="AJ68" s="491">
        <v>0</v>
      </c>
    </row>
    <row r="69" spans="2:36" ht="38.25" x14ac:dyDescent="0.25">
      <c r="B69" s="489" t="s">
        <v>264</v>
      </c>
      <c r="C69" s="489" t="s">
        <v>509</v>
      </c>
      <c r="D69" s="489" t="s">
        <v>345</v>
      </c>
      <c r="E69" s="489" t="s">
        <v>487</v>
      </c>
      <c r="F69" s="490">
        <v>20301399</v>
      </c>
      <c r="G69" s="490">
        <v>0</v>
      </c>
      <c r="H69" s="562">
        <v>0</v>
      </c>
      <c r="I69" s="563"/>
      <c r="J69" s="490">
        <v>20301399</v>
      </c>
      <c r="K69" s="490">
        <v>18616425.510000002</v>
      </c>
      <c r="L69" s="490">
        <v>0</v>
      </c>
      <c r="M69" s="491">
        <v>0.91700209970751279</v>
      </c>
      <c r="N69" s="491">
        <v>0</v>
      </c>
      <c r="O69" s="564">
        <v>0</v>
      </c>
      <c r="P69" s="565"/>
      <c r="Q69" s="566"/>
      <c r="R69" s="489">
        <v>69</v>
      </c>
      <c r="S69" s="490">
        <v>18616425.510000002</v>
      </c>
      <c r="T69" s="490">
        <v>0</v>
      </c>
      <c r="U69" s="491">
        <v>0.91700209970751279</v>
      </c>
      <c r="V69" s="491">
        <v>0</v>
      </c>
      <c r="W69" s="491">
        <v>0</v>
      </c>
      <c r="X69" s="489">
        <v>69</v>
      </c>
      <c r="Y69" s="490">
        <v>18616425.510000002</v>
      </c>
      <c r="Z69" s="490">
        <v>0</v>
      </c>
      <c r="AB69" s="491">
        <v>0.91700209970751279</v>
      </c>
      <c r="AC69" s="491">
        <v>0</v>
      </c>
      <c r="AD69" s="491">
        <v>0</v>
      </c>
      <c r="AE69" s="489">
        <v>69</v>
      </c>
      <c r="AF69" s="490">
        <v>18616425.510000002</v>
      </c>
      <c r="AG69" s="490">
        <v>0</v>
      </c>
      <c r="AH69" s="491">
        <v>0.91700209970751279</v>
      </c>
      <c r="AI69" s="491">
        <v>0</v>
      </c>
      <c r="AJ69" s="491">
        <v>0</v>
      </c>
    </row>
    <row r="70" spans="2:36" ht="51" x14ac:dyDescent="0.25">
      <c r="B70" s="489" t="s">
        <v>510</v>
      </c>
      <c r="C70" s="489" t="s">
        <v>511</v>
      </c>
      <c r="D70" s="489"/>
      <c r="E70" s="489"/>
      <c r="F70" s="490">
        <v>361043311.19999999</v>
      </c>
      <c r="G70" s="490">
        <v>77060809.340000004</v>
      </c>
      <c r="H70" s="562">
        <v>4842669</v>
      </c>
      <c r="I70" s="563"/>
      <c r="J70" s="490">
        <v>365885980.19999999</v>
      </c>
      <c r="K70" s="490">
        <v>296696576.67000002</v>
      </c>
      <c r="L70" s="490">
        <v>38376998.420000002</v>
      </c>
      <c r="M70" s="491">
        <v>0.82177558056364286</v>
      </c>
      <c r="N70" s="491">
        <v>-6.019702159212858E-4</v>
      </c>
      <c r="O70" s="564">
        <v>-7.3198765621782175E-4</v>
      </c>
      <c r="P70" s="565"/>
      <c r="Q70" s="566"/>
      <c r="R70" s="489">
        <v>344</v>
      </c>
      <c r="S70" s="490">
        <v>296696576.67000002</v>
      </c>
      <c r="T70" s="490">
        <v>38376998.420000002</v>
      </c>
      <c r="U70" s="491">
        <v>0.82177558056364286</v>
      </c>
      <c r="V70" s="491">
        <v>-6.019702159212858E-4</v>
      </c>
      <c r="W70" s="491">
        <v>-7.3198765621782175E-4</v>
      </c>
      <c r="X70" s="489">
        <v>344</v>
      </c>
      <c r="Y70" s="490">
        <v>296696576.67000002</v>
      </c>
      <c r="Z70" s="490">
        <v>38376998.420000002</v>
      </c>
      <c r="AB70" s="491">
        <v>0.82177558056364286</v>
      </c>
      <c r="AC70" s="491">
        <v>-6.019702159212858E-4</v>
      </c>
      <c r="AD70" s="491">
        <v>-7.3198765621782175E-4</v>
      </c>
      <c r="AE70" s="489">
        <v>344</v>
      </c>
      <c r="AF70" s="490">
        <v>330808383.18000001</v>
      </c>
      <c r="AG70" s="490">
        <v>54257108.590000004</v>
      </c>
      <c r="AH70" s="491">
        <v>0.91625678393124599</v>
      </c>
      <c r="AI70" s="491">
        <v>0</v>
      </c>
      <c r="AJ70" s="491">
        <v>0</v>
      </c>
    </row>
    <row r="71" spans="2:36" ht="25.5" x14ac:dyDescent="0.25">
      <c r="B71" s="489" t="s">
        <v>435</v>
      </c>
      <c r="C71" s="489" t="s">
        <v>34</v>
      </c>
      <c r="D71" s="489" t="s">
        <v>344</v>
      </c>
      <c r="E71" s="489" t="s">
        <v>487</v>
      </c>
      <c r="F71" s="490">
        <v>264334283</v>
      </c>
      <c r="G71" s="490">
        <v>29482994</v>
      </c>
      <c r="H71" s="562">
        <v>0</v>
      </c>
      <c r="I71" s="563"/>
      <c r="J71" s="490">
        <v>264334283</v>
      </c>
      <c r="K71" s="490">
        <v>221575558.81999999</v>
      </c>
      <c r="L71" s="490">
        <v>13651810.449999999</v>
      </c>
      <c r="M71" s="491">
        <v>0.83823996004332135</v>
      </c>
      <c r="N71" s="491">
        <v>-8.2220632728142952E-4</v>
      </c>
      <c r="O71" s="564">
        <v>-9.7991109626348197E-4</v>
      </c>
      <c r="P71" s="565"/>
      <c r="Q71" s="566"/>
      <c r="R71" s="489">
        <v>129</v>
      </c>
      <c r="S71" s="490">
        <v>221575558.81999999</v>
      </c>
      <c r="T71" s="490">
        <v>13651810.449999999</v>
      </c>
      <c r="U71" s="491">
        <v>0.83823996004332135</v>
      </c>
      <c r="V71" s="491">
        <v>-8.2220632728142952E-4</v>
      </c>
      <c r="W71" s="491">
        <v>-9.7991109626348197E-4</v>
      </c>
      <c r="X71" s="489">
        <v>129</v>
      </c>
      <c r="Y71" s="490">
        <v>221575558.81999999</v>
      </c>
      <c r="Z71" s="490">
        <v>13651810.449999999</v>
      </c>
      <c r="AB71" s="491">
        <v>0.83823996004332135</v>
      </c>
      <c r="AC71" s="491">
        <v>-8.2220632728142952E-4</v>
      </c>
      <c r="AD71" s="491">
        <v>-9.7991109626348197E-4</v>
      </c>
      <c r="AE71" s="489">
        <v>129</v>
      </c>
      <c r="AF71" s="490">
        <v>221107160.59999999</v>
      </c>
      <c r="AG71" s="490">
        <v>13651810.449999999</v>
      </c>
      <c r="AH71" s="491">
        <v>0.83646796809931767</v>
      </c>
      <c r="AI71" s="491">
        <v>0</v>
      </c>
      <c r="AJ71" s="491">
        <v>0</v>
      </c>
    </row>
    <row r="72" spans="2:36" ht="25.5" x14ac:dyDescent="0.25">
      <c r="B72" s="489" t="s">
        <v>265</v>
      </c>
      <c r="C72" s="489" t="s">
        <v>183</v>
      </c>
      <c r="D72" s="489" t="s">
        <v>344</v>
      </c>
      <c r="E72" s="489" t="s">
        <v>487</v>
      </c>
      <c r="F72" s="490">
        <v>189765598.19999999</v>
      </c>
      <c r="G72" s="490">
        <v>29482994</v>
      </c>
      <c r="H72" s="562">
        <v>0</v>
      </c>
      <c r="I72" s="563"/>
      <c r="J72" s="490">
        <v>189765598.19999999</v>
      </c>
      <c r="K72" s="490">
        <v>135890748.37</v>
      </c>
      <c r="L72" s="490">
        <v>13651810.449999999</v>
      </c>
      <c r="M72" s="491">
        <v>0.71609791057481564</v>
      </c>
      <c r="N72" s="491">
        <v>-1.1452935730265571E-3</v>
      </c>
      <c r="O72" s="564">
        <v>-1.5967994766674467E-3</v>
      </c>
      <c r="P72" s="565"/>
      <c r="Q72" s="566"/>
      <c r="R72" s="489">
        <v>1</v>
      </c>
      <c r="S72" s="490">
        <v>135890748.37</v>
      </c>
      <c r="T72" s="490">
        <v>13651810.449999999</v>
      </c>
      <c r="U72" s="491">
        <v>0.71609791057481564</v>
      </c>
      <c r="V72" s="491">
        <v>-1.1452935730265571E-3</v>
      </c>
      <c r="W72" s="491">
        <v>-1.5967994766674467E-3</v>
      </c>
      <c r="X72" s="489">
        <v>1</v>
      </c>
      <c r="Y72" s="490">
        <v>135890748.37</v>
      </c>
      <c r="Z72" s="490">
        <v>13651810.449999999</v>
      </c>
      <c r="AB72" s="491">
        <v>0.71609791057481564</v>
      </c>
      <c r="AC72" s="491">
        <v>-1.1452935730265571E-3</v>
      </c>
      <c r="AD72" s="491">
        <v>-1.5967994766674467E-3</v>
      </c>
      <c r="AE72" s="489">
        <v>1</v>
      </c>
      <c r="AF72" s="490">
        <v>170728190.77000001</v>
      </c>
      <c r="AG72" s="490">
        <v>29482628.329999998</v>
      </c>
      <c r="AH72" s="491">
        <v>0.89967935384191255</v>
      </c>
      <c r="AI72" s="491">
        <v>0</v>
      </c>
      <c r="AJ72" s="491">
        <v>0</v>
      </c>
    </row>
    <row r="73" spans="2:36" ht="25.5" x14ac:dyDescent="0.25">
      <c r="B73" s="489" t="s">
        <v>266</v>
      </c>
      <c r="C73" s="489" t="s">
        <v>184</v>
      </c>
      <c r="D73" s="489" t="s">
        <v>344</v>
      </c>
      <c r="E73" s="489" t="s">
        <v>487</v>
      </c>
      <c r="F73" s="490">
        <v>93357972</v>
      </c>
      <c r="G73" s="490">
        <v>0</v>
      </c>
      <c r="H73" s="562">
        <v>0</v>
      </c>
      <c r="I73" s="563"/>
      <c r="J73" s="490">
        <v>93357972</v>
      </c>
      <c r="K73" s="490">
        <v>85684810.450000003</v>
      </c>
      <c r="L73" s="490">
        <v>0</v>
      </c>
      <c r="M73" s="491">
        <v>0.91780925200474572</v>
      </c>
      <c r="N73" s="491">
        <v>0</v>
      </c>
      <c r="O73" s="564">
        <v>0</v>
      </c>
      <c r="P73" s="565"/>
      <c r="Q73" s="566"/>
      <c r="R73" s="489">
        <v>128</v>
      </c>
      <c r="S73" s="490">
        <v>85684810.450000003</v>
      </c>
      <c r="T73" s="490">
        <v>0</v>
      </c>
      <c r="U73" s="491">
        <v>0.91780925200474572</v>
      </c>
      <c r="V73" s="491">
        <v>0</v>
      </c>
      <c r="W73" s="491">
        <v>0</v>
      </c>
      <c r="X73" s="489">
        <v>128</v>
      </c>
      <c r="Y73" s="490">
        <v>85684810.450000003</v>
      </c>
      <c r="Z73" s="490">
        <v>0</v>
      </c>
      <c r="AB73" s="491">
        <v>0.91780925200474572</v>
      </c>
      <c r="AC73" s="491">
        <v>0</v>
      </c>
      <c r="AD73" s="491">
        <v>0</v>
      </c>
      <c r="AE73" s="489">
        <v>128</v>
      </c>
      <c r="AF73" s="490">
        <v>84999074.909999996</v>
      </c>
      <c r="AG73" s="490">
        <v>0</v>
      </c>
      <c r="AH73" s="491">
        <v>0.91046402453986464</v>
      </c>
      <c r="AI73" s="491">
        <v>0</v>
      </c>
      <c r="AJ73" s="491">
        <v>0</v>
      </c>
    </row>
    <row r="74" spans="2:36" ht="63.75" x14ac:dyDescent="0.25">
      <c r="B74" s="489" t="s">
        <v>267</v>
      </c>
      <c r="C74" s="489" t="s">
        <v>512</v>
      </c>
      <c r="D74" s="489" t="s">
        <v>344</v>
      </c>
      <c r="E74" s="489" t="s">
        <v>1608</v>
      </c>
      <c r="F74" s="490">
        <v>77919741</v>
      </c>
      <c r="G74" s="490">
        <v>28808246</v>
      </c>
      <c r="H74" s="562">
        <v>4842669</v>
      </c>
      <c r="I74" s="563"/>
      <c r="J74" s="490">
        <v>82762410</v>
      </c>
      <c r="K74" s="490">
        <v>75121017.849999994</v>
      </c>
      <c r="L74" s="490">
        <v>24725187.969999999</v>
      </c>
      <c r="M74" s="491">
        <v>0.96408197570882581</v>
      </c>
      <c r="N74" s="491">
        <v>0</v>
      </c>
      <c r="O74" s="564">
        <v>0</v>
      </c>
      <c r="P74" s="565"/>
      <c r="Q74" s="566"/>
      <c r="R74" s="489">
        <v>215</v>
      </c>
      <c r="S74" s="490">
        <v>75121017.849999994</v>
      </c>
      <c r="T74" s="490">
        <v>24725187.969999999</v>
      </c>
      <c r="U74" s="491">
        <v>0.96408197570882581</v>
      </c>
      <c r="V74" s="491">
        <v>0</v>
      </c>
      <c r="W74" s="491">
        <v>0</v>
      </c>
      <c r="X74" s="489">
        <v>215</v>
      </c>
      <c r="Y74" s="490">
        <v>75121017.849999994</v>
      </c>
      <c r="Z74" s="490">
        <v>24725187.969999999</v>
      </c>
      <c r="AB74" s="491">
        <v>0.96408197570882581</v>
      </c>
      <c r="AC74" s="491">
        <v>0</v>
      </c>
      <c r="AD74" s="491">
        <v>0</v>
      </c>
      <c r="AE74" s="489">
        <v>215</v>
      </c>
      <c r="AF74" s="490">
        <v>75081117.5</v>
      </c>
      <c r="AG74" s="490">
        <v>24774480.260000002</v>
      </c>
      <c r="AH74" s="491">
        <v>0.96356990585992841</v>
      </c>
      <c r="AI74" s="491">
        <v>0</v>
      </c>
      <c r="AJ74" s="491">
        <v>0</v>
      </c>
    </row>
    <row r="75" spans="2:36" ht="25.5" x14ac:dyDescent="0.25">
      <c r="B75" s="489" t="s">
        <v>513</v>
      </c>
      <c r="C75" s="489" t="s">
        <v>514</v>
      </c>
      <c r="D75" s="489"/>
      <c r="E75" s="489"/>
      <c r="F75" s="490">
        <v>55281238</v>
      </c>
      <c r="G75" s="490">
        <v>0</v>
      </c>
      <c r="H75" s="562">
        <v>56550000</v>
      </c>
      <c r="I75" s="563"/>
      <c r="J75" s="490">
        <v>111831238</v>
      </c>
      <c r="K75" s="490">
        <v>70161229.680000007</v>
      </c>
      <c r="L75" s="490">
        <v>0</v>
      </c>
      <c r="M75" s="491">
        <v>1.2691689299722266</v>
      </c>
      <c r="N75" s="491">
        <v>0</v>
      </c>
      <c r="O75" s="564">
        <v>0</v>
      </c>
      <c r="P75" s="565"/>
      <c r="Q75" s="566"/>
      <c r="R75" s="489">
        <v>125</v>
      </c>
      <c r="S75" s="490">
        <v>70161229.680000007</v>
      </c>
      <c r="T75" s="490">
        <v>0</v>
      </c>
      <c r="U75" s="491">
        <v>1.2691689299722266</v>
      </c>
      <c r="V75" s="491">
        <v>0</v>
      </c>
      <c r="W75" s="491">
        <v>0</v>
      </c>
      <c r="X75" s="489">
        <v>125</v>
      </c>
      <c r="Y75" s="490">
        <v>70161229.680000007</v>
      </c>
      <c r="Z75" s="490">
        <v>0</v>
      </c>
      <c r="AB75" s="491">
        <v>1.2691689299722266</v>
      </c>
      <c r="AC75" s="491">
        <v>0</v>
      </c>
      <c r="AD75" s="491">
        <v>0</v>
      </c>
      <c r="AE75" s="489">
        <v>125</v>
      </c>
      <c r="AF75" s="490">
        <v>71806974.129999995</v>
      </c>
      <c r="AG75" s="490">
        <v>0</v>
      </c>
      <c r="AH75" s="491">
        <v>1.2989393278421153</v>
      </c>
      <c r="AI75" s="491">
        <v>-1.8993785920640922E-4</v>
      </c>
      <c r="AJ75" s="491">
        <v>-1.4620397232285675E-4</v>
      </c>
    </row>
    <row r="76" spans="2:36" ht="25.5" x14ac:dyDescent="0.25">
      <c r="B76" s="489" t="s">
        <v>268</v>
      </c>
      <c r="C76" s="489" t="s">
        <v>515</v>
      </c>
      <c r="D76" s="489" t="s">
        <v>345</v>
      </c>
      <c r="E76" s="489" t="s">
        <v>487</v>
      </c>
      <c r="F76" s="490">
        <v>55281238</v>
      </c>
      <c r="G76" s="490">
        <v>0</v>
      </c>
      <c r="H76" s="562">
        <v>56550000</v>
      </c>
      <c r="I76" s="563"/>
      <c r="J76" s="490">
        <v>111831238</v>
      </c>
      <c r="K76" s="490">
        <v>70161229.680000007</v>
      </c>
      <c r="L76" s="490">
        <v>0</v>
      </c>
      <c r="M76" s="491">
        <v>1.2691689299722266</v>
      </c>
      <c r="N76" s="491">
        <v>0</v>
      </c>
      <c r="O76" s="564">
        <v>0</v>
      </c>
      <c r="P76" s="565"/>
      <c r="Q76" s="566"/>
      <c r="R76" s="489">
        <v>125</v>
      </c>
      <c r="S76" s="490">
        <v>70161229.680000007</v>
      </c>
      <c r="T76" s="490">
        <v>0</v>
      </c>
      <c r="U76" s="491">
        <v>1.2691689299722266</v>
      </c>
      <c r="V76" s="491">
        <v>0</v>
      </c>
      <c r="W76" s="491">
        <v>0</v>
      </c>
      <c r="X76" s="489">
        <v>125</v>
      </c>
      <c r="Y76" s="490">
        <v>70161229.680000007</v>
      </c>
      <c r="Z76" s="490">
        <v>0</v>
      </c>
      <c r="AB76" s="491">
        <v>1.2691689299722266</v>
      </c>
      <c r="AC76" s="491">
        <v>0</v>
      </c>
      <c r="AD76" s="491">
        <v>0</v>
      </c>
      <c r="AE76" s="489">
        <v>125</v>
      </c>
      <c r="AF76" s="490">
        <v>71806974.129999995</v>
      </c>
      <c r="AG76" s="490">
        <v>0</v>
      </c>
      <c r="AH76" s="491">
        <v>1.2989393278421153</v>
      </c>
      <c r="AI76" s="491">
        <v>-1.8993785920640922E-4</v>
      </c>
      <c r="AJ76" s="491">
        <v>-1.4620397232285675E-4</v>
      </c>
    </row>
    <row r="77" spans="2:36" ht="63.75" x14ac:dyDescent="0.25">
      <c r="B77" s="489" t="s">
        <v>516</v>
      </c>
      <c r="C77" s="489" t="s">
        <v>517</v>
      </c>
      <c r="D77" s="489"/>
      <c r="E77" s="489"/>
      <c r="F77" s="490">
        <v>6631445</v>
      </c>
      <c r="G77" s="490">
        <v>0</v>
      </c>
      <c r="H77" s="562">
        <v>0</v>
      </c>
      <c r="I77" s="563"/>
      <c r="J77" s="490">
        <v>6631445</v>
      </c>
      <c r="K77" s="490">
        <v>6406845.4299999997</v>
      </c>
      <c r="L77" s="490">
        <v>0</v>
      </c>
      <c r="M77" s="491">
        <v>0.96613112677553681</v>
      </c>
      <c r="N77" s="491">
        <v>0</v>
      </c>
      <c r="O77" s="564">
        <v>0</v>
      </c>
      <c r="P77" s="565"/>
      <c r="Q77" s="566"/>
      <c r="R77" s="489">
        <v>1</v>
      </c>
      <c r="S77" s="490">
        <v>6406845.4299999997</v>
      </c>
      <c r="T77" s="490">
        <v>0</v>
      </c>
      <c r="U77" s="491">
        <v>0.96613112677553681</v>
      </c>
      <c r="V77" s="491">
        <v>0</v>
      </c>
      <c r="W77" s="491">
        <v>0</v>
      </c>
      <c r="X77" s="489">
        <v>1</v>
      </c>
      <c r="Y77" s="490">
        <v>6406845.4299999997</v>
      </c>
      <c r="Z77" s="490">
        <v>0</v>
      </c>
      <c r="AB77" s="491">
        <v>0.96613112677553681</v>
      </c>
      <c r="AC77" s="491">
        <v>0</v>
      </c>
      <c r="AD77" s="491">
        <v>0</v>
      </c>
      <c r="AE77" s="489">
        <v>1</v>
      </c>
      <c r="AF77" s="490">
        <v>6406845.4299999997</v>
      </c>
      <c r="AG77" s="490">
        <v>0</v>
      </c>
      <c r="AH77" s="491">
        <v>0.96613112677553681</v>
      </c>
      <c r="AI77" s="491">
        <v>0</v>
      </c>
      <c r="AJ77" s="491">
        <v>0</v>
      </c>
    </row>
    <row r="78" spans="2:36" ht="25.5" x14ac:dyDescent="0.25">
      <c r="B78" s="489" t="s">
        <v>269</v>
      </c>
      <c r="C78" s="489" t="s">
        <v>416</v>
      </c>
      <c r="D78" s="489" t="s">
        <v>344</v>
      </c>
      <c r="E78" s="489" t="s">
        <v>491</v>
      </c>
      <c r="F78" s="490">
        <v>6631445</v>
      </c>
      <c r="G78" s="490">
        <v>0</v>
      </c>
      <c r="H78" s="562">
        <v>0</v>
      </c>
      <c r="I78" s="563"/>
      <c r="J78" s="490">
        <v>6631445</v>
      </c>
      <c r="K78" s="490">
        <v>6406845.4299999997</v>
      </c>
      <c r="L78" s="490">
        <v>0</v>
      </c>
      <c r="M78" s="491">
        <v>0.96613112677553681</v>
      </c>
      <c r="N78" s="491">
        <v>0</v>
      </c>
      <c r="O78" s="564">
        <v>0</v>
      </c>
      <c r="P78" s="565"/>
      <c r="Q78" s="566"/>
      <c r="R78" s="489">
        <v>1</v>
      </c>
      <c r="S78" s="490">
        <v>6406845.4299999997</v>
      </c>
      <c r="T78" s="490">
        <v>0</v>
      </c>
      <c r="U78" s="491">
        <v>0.96613112677553681</v>
      </c>
      <c r="V78" s="491">
        <v>0</v>
      </c>
      <c r="W78" s="491">
        <v>0</v>
      </c>
      <c r="X78" s="489">
        <v>1</v>
      </c>
      <c r="Y78" s="490">
        <v>6406845.4299999997</v>
      </c>
      <c r="Z78" s="490">
        <v>0</v>
      </c>
      <c r="AB78" s="491">
        <v>0.96613112677553681</v>
      </c>
      <c r="AC78" s="491">
        <v>0</v>
      </c>
      <c r="AD78" s="491">
        <v>0</v>
      </c>
      <c r="AE78" s="489">
        <v>1</v>
      </c>
      <c r="AF78" s="490">
        <v>6406845.4299999997</v>
      </c>
      <c r="AG78" s="490">
        <v>0</v>
      </c>
      <c r="AH78" s="491">
        <v>0.96613112677553681</v>
      </c>
      <c r="AI78" s="491">
        <v>0</v>
      </c>
      <c r="AJ78" s="491">
        <v>0</v>
      </c>
    </row>
    <row r="79" spans="2:36" ht="51" x14ac:dyDescent="0.25">
      <c r="B79" s="489" t="s">
        <v>518</v>
      </c>
      <c r="C79" s="489" t="s">
        <v>519</v>
      </c>
      <c r="D79" s="489"/>
      <c r="E79" s="489"/>
      <c r="F79" s="490">
        <v>279905458</v>
      </c>
      <c r="G79" s="490">
        <v>0</v>
      </c>
      <c r="H79" s="562">
        <v>0</v>
      </c>
      <c r="I79" s="563"/>
      <c r="J79" s="490">
        <v>279905458</v>
      </c>
      <c r="K79" s="490">
        <v>265422597.75999999</v>
      </c>
      <c r="L79" s="490">
        <v>0</v>
      </c>
      <c r="M79" s="491">
        <v>0.94825802846616869</v>
      </c>
      <c r="N79" s="491">
        <v>0</v>
      </c>
      <c r="O79" s="564">
        <v>0</v>
      </c>
      <c r="P79" s="565"/>
      <c r="Q79" s="566"/>
      <c r="R79" s="489">
        <v>22</v>
      </c>
      <c r="S79" s="490">
        <v>265422597.75999999</v>
      </c>
      <c r="T79" s="490">
        <v>0</v>
      </c>
      <c r="U79" s="491">
        <v>0.94825802846616869</v>
      </c>
      <c r="V79" s="491">
        <v>0</v>
      </c>
      <c r="W79" s="491">
        <v>0</v>
      </c>
      <c r="X79" s="489">
        <v>22</v>
      </c>
      <c r="Y79" s="490">
        <v>265422597.75999999</v>
      </c>
      <c r="Z79" s="490">
        <v>0</v>
      </c>
      <c r="AB79" s="491">
        <v>0.94825802846616869</v>
      </c>
      <c r="AC79" s="491">
        <v>0</v>
      </c>
      <c r="AD79" s="491">
        <v>0</v>
      </c>
      <c r="AE79" s="489">
        <v>22</v>
      </c>
      <c r="AF79" s="490">
        <v>265350472.05000001</v>
      </c>
      <c r="AG79" s="490">
        <v>0</v>
      </c>
      <c r="AH79" s="491">
        <v>0.94800034963948432</v>
      </c>
      <c r="AI79" s="491">
        <v>0</v>
      </c>
      <c r="AJ79" s="491">
        <v>0</v>
      </c>
    </row>
    <row r="80" spans="2:36" ht="25.5" x14ac:dyDescent="0.25">
      <c r="B80" s="489" t="s">
        <v>436</v>
      </c>
      <c r="C80" s="489" t="s">
        <v>186</v>
      </c>
      <c r="D80" s="489" t="s">
        <v>345</v>
      </c>
      <c r="E80" s="489" t="s">
        <v>491</v>
      </c>
      <c r="F80" s="490">
        <v>279905458</v>
      </c>
      <c r="G80" s="490">
        <v>0</v>
      </c>
      <c r="H80" s="562">
        <v>0</v>
      </c>
      <c r="I80" s="563"/>
      <c r="J80" s="490">
        <v>279905458</v>
      </c>
      <c r="K80" s="490">
        <v>265422597.75999999</v>
      </c>
      <c r="L80" s="490">
        <v>0</v>
      </c>
      <c r="M80" s="491">
        <v>0.94825802846616869</v>
      </c>
      <c r="N80" s="491">
        <v>0</v>
      </c>
      <c r="O80" s="564">
        <v>0</v>
      </c>
      <c r="P80" s="565"/>
      <c r="Q80" s="566"/>
      <c r="R80" s="489">
        <v>22</v>
      </c>
      <c r="S80" s="490">
        <v>265422597.75999999</v>
      </c>
      <c r="T80" s="490">
        <v>0</v>
      </c>
      <c r="U80" s="491">
        <v>0.94825802846616869</v>
      </c>
      <c r="V80" s="491">
        <v>0</v>
      </c>
      <c r="W80" s="491">
        <v>0</v>
      </c>
      <c r="X80" s="489">
        <v>22</v>
      </c>
      <c r="Y80" s="490">
        <v>265422597.75999999</v>
      </c>
      <c r="Z80" s="490">
        <v>0</v>
      </c>
      <c r="AB80" s="491">
        <v>0.94825802846616869</v>
      </c>
      <c r="AC80" s="491">
        <v>0</v>
      </c>
      <c r="AD80" s="491">
        <v>0</v>
      </c>
      <c r="AE80" s="489">
        <v>22</v>
      </c>
      <c r="AF80" s="490">
        <v>265350472.05000001</v>
      </c>
      <c r="AG80" s="490">
        <v>0</v>
      </c>
      <c r="AH80" s="491">
        <v>0.94800034963948432</v>
      </c>
      <c r="AI80" s="491">
        <v>0</v>
      </c>
      <c r="AJ80" s="491">
        <v>0</v>
      </c>
    </row>
    <row r="81" spans="2:36" ht="25.5" x14ac:dyDescent="0.25">
      <c r="B81" s="489" t="s">
        <v>270</v>
      </c>
      <c r="C81" s="489" t="s">
        <v>185</v>
      </c>
      <c r="D81" s="489" t="s">
        <v>345</v>
      </c>
      <c r="E81" s="489" t="s">
        <v>491</v>
      </c>
      <c r="F81" s="490">
        <v>235002439</v>
      </c>
      <c r="G81" s="490">
        <v>0</v>
      </c>
      <c r="H81" s="562">
        <v>0</v>
      </c>
      <c r="I81" s="563"/>
      <c r="J81" s="490">
        <v>235002439</v>
      </c>
      <c r="K81" s="490">
        <v>225530348.43000001</v>
      </c>
      <c r="L81" s="490">
        <v>0</v>
      </c>
      <c r="M81" s="491">
        <v>0.9596936499454799</v>
      </c>
      <c r="N81" s="491">
        <v>0</v>
      </c>
      <c r="O81" s="564">
        <v>0</v>
      </c>
      <c r="P81" s="565"/>
      <c r="Q81" s="566"/>
      <c r="R81" s="489">
        <v>8</v>
      </c>
      <c r="S81" s="490">
        <v>225530348.43000001</v>
      </c>
      <c r="T81" s="490">
        <v>0</v>
      </c>
      <c r="U81" s="491">
        <v>0.9596936499454799</v>
      </c>
      <c r="V81" s="491">
        <v>0</v>
      </c>
      <c r="W81" s="491">
        <v>0</v>
      </c>
      <c r="X81" s="489">
        <v>8</v>
      </c>
      <c r="Y81" s="490">
        <v>225530348.43000001</v>
      </c>
      <c r="Z81" s="490">
        <v>0</v>
      </c>
      <c r="AB81" s="491">
        <v>0.9596936499454799</v>
      </c>
      <c r="AC81" s="491">
        <v>0</v>
      </c>
      <c r="AD81" s="491">
        <v>0</v>
      </c>
      <c r="AE81" s="489">
        <v>8</v>
      </c>
      <c r="AF81" s="490">
        <v>225458222.72</v>
      </c>
      <c r="AG81" s="490">
        <v>0</v>
      </c>
      <c r="AH81" s="491">
        <v>0.9593867352159694</v>
      </c>
      <c r="AI81" s="491">
        <v>0</v>
      </c>
      <c r="AJ81" s="491">
        <v>0</v>
      </c>
    </row>
    <row r="82" spans="2:36" ht="25.5" x14ac:dyDescent="0.25">
      <c r="B82" s="489" t="s">
        <v>271</v>
      </c>
      <c r="C82" s="489" t="s">
        <v>186</v>
      </c>
      <c r="D82" s="489" t="s">
        <v>345</v>
      </c>
      <c r="E82" s="489" t="s">
        <v>491</v>
      </c>
      <c r="F82" s="490">
        <v>44903019</v>
      </c>
      <c r="G82" s="490">
        <v>0</v>
      </c>
      <c r="H82" s="562">
        <v>0</v>
      </c>
      <c r="I82" s="563"/>
      <c r="J82" s="490">
        <v>44903019</v>
      </c>
      <c r="K82" s="490">
        <v>39892249.329999998</v>
      </c>
      <c r="L82" s="490">
        <v>0</v>
      </c>
      <c r="M82" s="491">
        <v>0.88840906955498922</v>
      </c>
      <c r="N82" s="491">
        <v>0</v>
      </c>
      <c r="O82" s="564">
        <v>0</v>
      </c>
      <c r="P82" s="565"/>
      <c r="Q82" s="566"/>
      <c r="R82" s="489">
        <v>14</v>
      </c>
      <c r="S82" s="490">
        <v>39892249.329999998</v>
      </c>
      <c r="T82" s="490">
        <v>0</v>
      </c>
      <c r="U82" s="491">
        <v>0.88840906955498922</v>
      </c>
      <c r="V82" s="491">
        <v>0</v>
      </c>
      <c r="W82" s="491">
        <v>0</v>
      </c>
      <c r="X82" s="489">
        <v>14</v>
      </c>
      <c r="Y82" s="490">
        <v>39892249.329999998</v>
      </c>
      <c r="Z82" s="490">
        <v>0</v>
      </c>
      <c r="AB82" s="491">
        <v>0.88840906955498922</v>
      </c>
      <c r="AC82" s="491">
        <v>0</v>
      </c>
      <c r="AD82" s="491">
        <v>0</v>
      </c>
      <c r="AE82" s="489">
        <v>14</v>
      </c>
      <c r="AF82" s="490">
        <v>39892249.329999998</v>
      </c>
      <c r="AG82" s="490">
        <v>0</v>
      </c>
      <c r="AH82" s="491">
        <v>0.88840906955498922</v>
      </c>
      <c r="AI82" s="491">
        <v>0</v>
      </c>
      <c r="AJ82" s="491">
        <v>0</v>
      </c>
    </row>
    <row r="83" spans="2:36" ht="25.5" x14ac:dyDescent="0.25">
      <c r="B83" s="486" t="s">
        <v>272</v>
      </c>
      <c r="C83" s="486" t="s">
        <v>367</v>
      </c>
      <c r="D83" s="486"/>
      <c r="E83" s="486"/>
      <c r="F83" s="487">
        <v>606615694</v>
      </c>
      <c r="G83" s="487">
        <v>24165500</v>
      </c>
      <c r="H83" s="567">
        <v>78662967</v>
      </c>
      <c r="I83" s="568"/>
      <c r="J83" s="487">
        <v>685278661</v>
      </c>
      <c r="K83" s="487">
        <v>637328652.08000004</v>
      </c>
      <c r="L83" s="487">
        <v>14698287.470000001</v>
      </c>
      <c r="M83" s="488">
        <v>1.0506300090547938</v>
      </c>
      <c r="N83" s="488">
        <v>0</v>
      </c>
      <c r="O83" s="559">
        <v>0</v>
      </c>
      <c r="P83" s="560"/>
      <c r="Q83" s="561"/>
      <c r="R83" s="486">
        <v>287</v>
      </c>
      <c r="S83" s="487">
        <v>637328652.08000004</v>
      </c>
      <c r="T83" s="487">
        <v>14698287.470000001</v>
      </c>
      <c r="U83" s="488">
        <v>1.0506300090547938</v>
      </c>
      <c r="V83" s="488">
        <v>0</v>
      </c>
      <c r="W83" s="488">
        <v>0</v>
      </c>
      <c r="X83" s="486">
        <v>287</v>
      </c>
      <c r="Y83" s="487">
        <v>637328652.08000004</v>
      </c>
      <c r="Z83" s="487">
        <v>14698287.470000001</v>
      </c>
      <c r="AB83" s="488">
        <v>1.0506300090547938</v>
      </c>
      <c r="AC83" s="488">
        <v>0</v>
      </c>
      <c r="AD83" s="488">
        <v>0</v>
      </c>
      <c r="AE83" s="486">
        <v>287</v>
      </c>
      <c r="AF83" s="487">
        <v>633740398.38</v>
      </c>
      <c r="AG83" s="487">
        <v>14647502.24</v>
      </c>
      <c r="AH83" s="488">
        <v>1.0447148081533149</v>
      </c>
      <c r="AI83" s="488">
        <v>0</v>
      </c>
      <c r="AJ83" s="488">
        <v>0</v>
      </c>
    </row>
    <row r="84" spans="2:36" x14ac:dyDescent="0.25">
      <c r="B84" s="486"/>
      <c r="C84" s="486"/>
      <c r="D84" s="486"/>
      <c r="E84" s="486"/>
      <c r="F84" s="487"/>
      <c r="G84" s="487"/>
      <c r="H84" s="487"/>
      <c r="I84" s="495"/>
      <c r="J84" s="487"/>
      <c r="K84" s="487"/>
      <c r="L84" s="487"/>
      <c r="M84" s="488"/>
      <c r="N84" s="488"/>
      <c r="O84" s="488"/>
      <c r="P84" s="496"/>
      <c r="Q84" s="495"/>
      <c r="R84" s="486"/>
      <c r="S84" s="487"/>
      <c r="T84" s="487"/>
      <c r="U84" s="488"/>
      <c r="V84" s="488"/>
      <c r="W84" s="488"/>
      <c r="X84" s="486"/>
      <c r="Y84" s="487"/>
      <c r="Z84" s="487"/>
      <c r="AB84" s="488"/>
      <c r="AC84" s="488"/>
      <c r="AD84" s="488"/>
      <c r="AE84" s="486"/>
      <c r="AF84" s="487"/>
      <c r="AG84" s="487"/>
      <c r="AH84" s="488"/>
      <c r="AI84" s="488"/>
      <c r="AJ84" s="488"/>
    </row>
    <row r="85" spans="2:36" ht="63.75" x14ac:dyDescent="0.25">
      <c r="B85" s="489" t="s">
        <v>273</v>
      </c>
      <c r="C85" s="489" t="s">
        <v>520</v>
      </c>
      <c r="D85" s="489"/>
      <c r="E85" s="489" t="s">
        <v>1608</v>
      </c>
      <c r="F85" s="490">
        <v>0</v>
      </c>
      <c r="G85" s="490">
        <v>0</v>
      </c>
      <c r="H85" s="562">
        <v>24299268</v>
      </c>
      <c r="I85" s="563"/>
      <c r="J85" s="490">
        <v>24299268</v>
      </c>
      <c r="K85" s="490">
        <v>22886986.370000001</v>
      </c>
      <c r="L85" s="490">
        <v>0</v>
      </c>
      <c r="M85" s="491">
        <v>0</v>
      </c>
      <c r="N85" s="491">
        <v>0</v>
      </c>
      <c r="O85" s="564">
        <v>0</v>
      </c>
      <c r="P85" s="565"/>
      <c r="Q85" s="566"/>
      <c r="R85" s="489">
        <v>10</v>
      </c>
      <c r="S85" s="490">
        <v>22886986.370000001</v>
      </c>
      <c r="T85" s="490">
        <v>0</v>
      </c>
      <c r="U85" s="491">
        <v>0</v>
      </c>
      <c r="V85" s="491">
        <v>0</v>
      </c>
      <c r="W85" s="491">
        <v>0</v>
      </c>
      <c r="X85" s="489">
        <v>10</v>
      </c>
      <c r="Y85" s="490">
        <v>22886986.370000001</v>
      </c>
      <c r="Z85" s="490">
        <v>0</v>
      </c>
      <c r="AB85" s="491">
        <v>0</v>
      </c>
      <c r="AC85" s="491">
        <v>0</v>
      </c>
      <c r="AD85" s="491">
        <v>0</v>
      </c>
      <c r="AE85" s="489">
        <v>10</v>
      </c>
      <c r="AF85" s="490">
        <v>22876285.149999999</v>
      </c>
      <c r="AG85" s="490">
        <v>0</v>
      </c>
      <c r="AH85" s="491">
        <v>0</v>
      </c>
      <c r="AI85" s="491">
        <v>0</v>
      </c>
      <c r="AJ85" s="491">
        <v>0</v>
      </c>
    </row>
    <row r="86" spans="2:36" ht="25.5" x14ac:dyDescent="0.25">
      <c r="B86" s="489" t="s">
        <v>274</v>
      </c>
      <c r="C86" s="489" t="s">
        <v>60</v>
      </c>
      <c r="D86" s="489"/>
      <c r="E86" s="489" t="s">
        <v>521</v>
      </c>
      <c r="F86" s="490">
        <v>0</v>
      </c>
      <c r="G86" s="490">
        <v>0</v>
      </c>
      <c r="H86" s="562">
        <v>36881516</v>
      </c>
      <c r="I86" s="563"/>
      <c r="J86" s="490">
        <v>36881516</v>
      </c>
      <c r="K86" s="490">
        <v>36460624.560000002</v>
      </c>
      <c r="L86" s="490">
        <v>0</v>
      </c>
      <c r="M86" s="491">
        <v>0</v>
      </c>
      <c r="N86" s="491">
        <v>0</v>
      </c>
      <c r="O86" s="564">
        <v>0</v>
      </c>
      <c r="P86" s="565"/>
      <c r="Q86" s="566"/>
      <c r="R86" s="489">
        <v>32</v>
      </c>
      <c r="S86" s="490">
        <v>36460624.560000002</v>
      </c>
      <c r="T86" s="490">
        <v>0</v>
      </c>
      <c r="U86" s="491">
        <v>0</v>
      </c>
      <c r="V86" s="491">
        <v>0</v>
      </c>
      <c r="W86" s="491">
        <v>0</v>
      </c>
      <c r="X86" s="489">
        <v>32</v>
      </c>
      <c r="Y86" s="490">
        <v>36460624.560000002</v>
      </c>
      <c r="Z86" s="490">
        <v>0</v>
      </c>
      <c r="AB86" s="491">
        <v>0</v>
      </c>
      <c r="AC86" s="491">
        <v>0</v>
      </c>
      <c r="AD86" s="491">
        <v>0</v>
      </c>
      <c r="AE86" s="489">
        <v>32</v>
      </c>
      <c r="AF86" s="490">
        <v>36460624.530000001</v>
      </c>
      <c r="AG86" s="490">
        <v>0</v>
      </c>
      <c r="AH86" s="491">
        <v>0</v>
      </c>
      <c r="AI86" s="491">
        <v>0</v>
      </c>
      <c r="AJ86" s="491">
        <v>0</v>
      </c>
    </row>
    <row r="87" spans="2:36" ht="76.5" x14ac:dyDescent="0.25">
      <c r="B87" s="489" t="s">
        <v>522</v>
      </c>
      <c r="C87" s="489" t="s">
        <v>523</v>
      </c>
      <c r="D87" s="489"/>
      <c r="E87" s="489"/>
      <c r="F87" s="490">
        <v>55771320</v>
      </c>
      <c r="G87" s="490">
        <v>0</v>
      </c>
      <c r="H87" s="562">
        <v>17482183</v>
      </c>
      <c r="I87" s="563"/>
      <c r="J87" s="490">
        <v>73253503</v>
      </c>
      <c r="K87" s="490">
        <v>71898764.629999995</v>
      </c>
      <c r="L87" s="490">
        <v>0</v>
      </c>
      <c r="M87" s="491">
        <v>1.2891709328378815</v>
      </c>
      <c r="N87" s="491">
        <v>0</v>
      </c>
      <c r="O87" s="564">
        <v>0</v>
      </c>
      <c r="P87" s="565"/>
      <c r="Q87" s="566"/>
      <c r="R87" s="489">
        <v>17</v>
      </c>
      <c r="S87" s="490">
        <v>71898764.629999995</v>
      </c>
      <c r="T87" s="490">
        <v>0</v>
      </c>
      <c r="U87" s="491">
        <v>1.2891709328378815</v>
      </c>
      <c r="V87" s="491">
        <v>0</v>
      </c>
      <c r="W87" s="491">
        <v>0</v>
      </c>
      <c r="X87" s="489">
        <v>17</v>
      </c>
      <c r="Y87" s="490">
        <v>71898764.629999995</v>
      </c>
      <c r="Z87" s="490">
        <v>0</v>
      </c>
      <c r="AB87" s="491">
        <v>1.2891709328378815</v>
      </c>
      <c r="AC87" s="491">
        <v>0</v>
      </c>
      <c r="AD87" s="491">
        <v>0</v>
      </c>
      <c r="AE87" s="489">
        <v>17</v>
      </c>
      <c r="AF87" s="490">
        <v>71898764.629999995</v>
      </c>
      <c r="AG87" s="490">
        <v>0</v>
      </c>
      <c r="AH87" s="491">
        <v>1.2891709328378815</v>
      </c>
      <c r="AI87" s="491">
        <v>0</v>
      </c>
      <c r="AJ87" s="491">
        <v>0</v>
      </c>
    </row>
    <row r="88" spans="2:36" ht="63.75" x14ac:dyDescent="0.25">
      <c r="B88" s="489" t="s">
        <v>437</v>
      </c>
      <c r="C88" s="489" t="s">
        <v>524</v>
      </c>
      <c r="D88" s="489" t="s">
        <v>345</v>
      </c>
      <c r="E88" s="489" t="s">
        <v>1608</v>
      </c>
      <c r="F88" s="490">
        <v>55771320</v>
      </c>
      <c r="G88" s="490">
        <v>0</v>
      </c>
      <c r="H88" s="562">
        <v>17482183</v>
      </c>
      <c r="I88" s="563"/>
      <c r="J88" s="490">
        <v>73253503</v>
      </c>
      <c r="K88" s="490">
        <v>71898764.629999995</v>
      </c>
      <c r="L88" s="490">
        <v>0</v>
      </c>
      <c r="M88" s="491">
        <v>1.2891709328378815</v>
      </c>
      <c r="N88" s="491">
        <v>0</v>
      </c>
      <c r="O88" s="564">
        <v>0</v>
      </c>
      <c r="P88" s="565"/>
      <c r="Q88" s="566"/>
      <c r="R88" s="489">
        <v>17</v>
      </c>
      <c r="S88" s="490">
        <v>71898764.629999995</v>
      </c>
      <c r="T88" s="490">
        <v>0</v>
      </c>
      <c r="U88" s="491">
        <v>1.2891709328378815</v>
      </c>
      <c r="V88" s="491">
        <v>0</v>
      </c>
      <c r="W88" s="491">
        <v>0</v>
      </c>
      <c r="X88" s="489">
        <v>17</v>
      </c>
      <c r="Y88" s="490">
        <v>71898764.629999995</v>
      </c>
      <c r="Z88" s="490">
        <v>0</v>
      </c>
      <c r="AB88" s="491">
        <v>1.2891709328378815</v>
      </c>
      <c r="AC88" s="491">
        <v>0</v>
      </c>
      <c r="AD88" s="491">
        <v>0</v>
      </c>
      <c r="AE88" s="489">
        <v>17</v>
      </c>
      <c r="AF88" s="490">
        <v>71898764.629999995</v>
      </c>
      <c r="AG88" s="490">
        <v>0</v>
      </c>
      <c r="AH88" s="491">
        <v>1.2891709328378815</v>
      </c>
      <c r="AI88" s="491">
        <v>0</v>
      </c>
      <c r="AJ88" s="491">
        <v>0</v>
      </c>
    </row>
    <row r="89" spans="2:36" ht="63.75" x14ac:dyDescent="0.25">
      <c r="B89" s="489" t="s">
        <v>275</v>
      </c>
      <c r="C89" s="489" t="s">
        <v>187</v>
      </c>
      <c r="D89" s="489" t="s">
        <v>345</v>
      </c>
      <c r="E89" s="489" t="s">
        <v>1608</v>
      </c>
      <c r="F89" s="490">
        <v>151400</v>
      </c>
      <c r="G89" s="490">
        <v>0</v>
      </c>
      <c r="H89" s="562">
        <v>0</v>
      </c>
      <c r="I89" s="563"/>
      <c r="J89" s="490">
        <v>151400</v>
      </c>
      <c r="K89" s="490">
        <v>151399.01999999999</v>
      </c>
      <c r="L89" s="490">
        <v>0</v>
      </c>
      <c r="M89" s="491">
        <v>0.9999935270805812</v>
      </c>
      <c r="N89" s="491">
        <v>0</v>
      </c>
      <c r="O89" s="564">
        <v>0</v>
      </c>
      <c r="P89" s="565"/>
      <c r="Q89" s="566"/>
      <c r="R89" s="489">
        <v>4</v>
      </c>
      <c r="S89" s="490">
        <v>151399.01999999999</v>
      </c>
      <c r="T89" s="490">
        <v>0</v>
      </c>
      <c r="U89" s="491">
        <v>0.9999935270805812</v>
      </c>
      <c r="V89" s="491">
        <v>0</v>
      </c>
      <c r="W89" s="491">
        <v>0</v>
      </c>
      <c r="X89" s="489">
        <v>4</v>
      </c>
      <c r="Y89" s="490">
        <v>151399.01999999999</v>
      </c>
      <c r="Z89" s="490">
        <v>0</v>
      </c>
      <c r="AB89" s="491">
        <v>0.9999935270805812</v>
      </c>
      <c r="AC89" s="491">
        <v>0</v>
      </c>
      <c r="AD89" s="491">
        <v>0</v>
      </c>
      <c r="AE89" s="489">
        <v>4</v>
      </c>
      <c r="AF89" s="490">
        <v>151399.01999999999</v>
      </c>
      <c r="AG89" s="490">
        <v>0</v>
      </c>
      <c r="AH89" s="491">
        <v>0.9999935270805812</v>
      </c>
      <c r="AI89" s="491">
        <v>0</v>
      </c>
      <c r="AJ89" s="491">
        <v>0</v>
      </c>
    </row>
    <row r="90" spans="2:36" ht="63.75" x14ac:dyDescent="0.25">
      <c r="B90" s="489" t="s">
        <v>276</v>
      </c>
      <c r="C90" s="489" t="s">
        <v>611</v>
      </c>
      <c r="D90" s="489" t="s">
        <v>345</v>
      </c>
      <c r="E90" s="489" t="s">
        <v>1608</v>
      </c>
      <c r="F90" s="490">
        <v>46435671</v>
      </c>
      <c r="G90" s="490">
        <v>0</v>
      </c>
      <c r="H90" s="562">
        <v>17482183</v>
      </c>
      <c r="I90" s="563"/>
      <c r="J90" s="490">
        <v>63917854</v>
      </c>
      <c r="K90" s="490">
        <v>62563116.609999999</v>
      </c>
      <c r="L90" s="490">
        <v>0</v>
      </c>
      <c r="M90" s="491">
        <v>1.3473072588958606</v>
      </c>
      <c r="N90" s="491">
        <v>0</v>
      </c>
      <c r="O90" s="564">
        <v>0</v>
      </c>
      <c r="P90" s="565"/>
      <c r="Q90" s="566"/>
      <c r="R90" s="489">
        <v>12</v>
      </c>
      <c r="S90" s="490">
        <v>62563116.609999999</v>
      </c>
      <c r="T90" s="490">
        <v>0</v>
      </c>
      <c r="U90" s="491">
        <v>1.3473072588958606</v>
      </c>
      <c r="V90" s="491">
        <v>0</v>
      </c>
      <c r="W90" s="491">
        <v>0</v>
      </c>
      <c r="X90" s="489">
        <v>12</v>
      </c>
      <c r="Y90" s="490">
        <v>62563116.609999999</v>
      </c>
      <c r="Z90" s="490">
        <v>0</v>
      </c>
      <c r="AB90" s="491">
        <v>1.3473072588958606</v>
      </c>
      <c r="AC90" s="491">
        <v>0</v>
      </c>
      <c r="AD90" s="491">
        <v>0</v>
      </c>
      <c r="AE90" s="489">
        <v>12</v>
      </c>
      <c r="AF90" s="490">
        <v>62563116.609999999</v>
      </c>
      <c r="AG90" s="490">
        <v>0</v>
      </c>
      <c r="AH90" s="491">
        <v>1.3473072588958606</v>
      </c>
      <c r="AI90" s="491">
        <v>0</v>
      </c>
      <c r="AJ90" s="491">
        <v>0</v>
      </c>
    </row>
    <row r="91" spans="2:36" ht="63.75" x14ac:dyDescent="0.25">
      <c r="B91" s="489" t="s">
        <v>405</v>
      </c>
      <c r="C91" s="489" t="s">
        <v>403</v>
      </c>
      <c r="D91" s="489" t="s">
        <v>345</v>
      </c>
      <c r="E91" s="489" t="s">
        <v>1608</v>
      </c>
      <c r="F91" s="490">
        <v>9184249</v>
      </c>
      <c r="G91" s="490">
        <v>0</v>
      </c>
      <c r="H91" s="562">
        <v>0</v>
      </c>
      <c r="I91" s="563"/>
      <c r="J91" s="490">
        <v>9184249</v>
      </c>
      <c r="K91" s="490">
        <v>9184249</v>
      </c>
      <c r="L91" s="490">
        <v>0</v>
      </c>
      <c r="M91" s="491">
        <v>1</v>
      </c>
      <c r="N91" s="491">
        <v>0</v>
      </c>
      <c r="O91" s="564">
        <v>0</v>
      </c>
      <c r="P91" s="565"/>
      <c r="Q91" s="566"/>
      <c r="R91" s="489">
        <v>1</v>
      </c>
      <c r="S91" s="490">
        <v>9184249</v>
      </c>
      <c r="T91" s="490">
        <v>0</v>
      </c>
      <c r="U91" s="491">
        <v>1</v>
      </c>
      <c r="V91" s="491">
        <v>0</v>
      </c>
      <c r="W91" s="491">
        <v>0</v>
      </c>
      <c r="X91" s="489">
        <v>1</v>
      </c>
      <c r="Y91" s="490">
        <v>9184249</v>
      </c>
      <c r="Z91" s="490">
        <v>0</v>
      </c>
      <c r="AB91" s="491">
        <v>1</v>
      </c>
      <c r="AC91" s="491">
        <v>0</v>
      </c>
      <c r="AD91" s="491">
        <v>0</v>
      </c>
      <c r="AE91" s="489">
        <v>1</v>
      </c>
      <c r="AF91" s="490">
        <v>9184249</v>
      </c>
      <c r="AG91" s="490">
        <v>0</v>
      </c>
      <c r="AH91" s="491">
        <v>1</v>
      </c>
      <c r="AI91" s="491">
        <v>0</v>
      </c>
      <c r="AJ91" s="491">
        <v>0</v>
      </c>
    </row>
    <row r="92" spans="2:36" ht="51" x14ac:dyDescent="0.25">
      <c r="B92" s="489" t="s">
        <v>525</v>
      </c>
      <c r="C92" s="489" t="s">
        <v>526</v>
      </c>
      <c r="D92" s="489"/>
      <c r="E92" s="489"/>
      <c r="F92" s="490">
        <v>102562507</v>
      </c>
      <c r="G92" s="490">
        <v>0</v>
      </c>
      <c r="H92" s="562">
        <v>0</v>
      </c>
      <c r="I92" s="563"/>
      <c r="J92" s="490">
        <v>102562507</v>
      </c>
      <c r="K92" s="490">
        <v>101505926.48999999</v>
      </c>
      <c r="L92" s="490">
        <v>0</v>
      </c>
      <c r="M92" s="491">
        <v>0.98969817976465801</v>
      </c>
      <c r="N92" s="491">
        <v>0</v>
      </c>
      <c r="O92" s="564">
        <v>0</v>
      </c>
      <c r="P92" s="565"/>
      <c r="Q92" s="566"/>
      <c r="R92" s="489">
        <v>47</v>
      </c>
      <c r="S92" s="490">
        <v>101505926.48999999</v>
      </c>
      <c r="T92" s="490">
        <v>0</v>
      </c>
      <c r="U92" s="491">
        <v>0.98969817976465801</v>
      </c>
      <c r="V92" s="491">
        <v>0</v>
      </c>
      <c r="W92" s="491">
        <v>0</v>
      </c>
      <c r="X92" s="489">
        <v>47</v>
      </c>
      <c r="Y92" s="490">
        <v>101505926.48999999</v>
      </c>
      <c r="Z92" s="490">
        <v>0</v>
      </c>
      <c r="AB92" s="491">
        <v>0.98969817976465801</v>
      </c>
      <c r="AC92" s="491">
        <v>0</v>
      </c>
      <c r="AD92" s="491">
        <v>0</v>
      </c>
      <c r="AE92" s="489">
        <v>47</v>
      </c>
      <c r="AF92" s="490">
        <v>101207903.51000001</v>
      </c>
      <c r="AG92" s="490">
        <v>0</v>
      </c>
      <c r="AH92" s="491">
        <v>0.98679241050533217</v>
      </c>
      <c r="AI92" s="491">
        <v>0</v>
      </c>
      <c r="AJ92" s="491">
        <v>0</v>
      </c>
    </row>
    <row r="93" spans="2:36" ht="63.75" x14ac:dyDescent="0.25">
      <c r="B93" s="489" t="s">
        <v>277</v>
      </c>
      <c r="C93" s="489" t="s">
        <v>527</v>
      </c>
      <c r="D93" s="489" t="s">
        <v>345</v>
      </c>
      <c r="E93" s="489" t="s">
        <v>1608</v>
      </c>
      <c r="F93" s="490">
        <v>102562507</v>
      </c>
      <c r="G93" s="490">
        <v>0</v>
      </c>
      <c r="H93" s="562">
        <v>0</v>
      </c>
      <c r="I93" s="563"/>
      <c r="J93" s="490">
        <v>102562507</v>
      </c>
      <c r="K93" s="490">
        <v>101505926.48999999</v>
      </c>
      <c r="L93" s="490">
        <v>0</v>
      </c>
      <c r="M93" s="491">
        <v>0.98969817976465801</v>
      </c>
      <c r="N93" s="491">
        <v>0</v>
      </c>
      <c r="O93" s="564">
        <v>0</v>
      </c>
      <c r="P93" s="565"/>
      <c r="Q93" s="566"/>
      <c r="R93" s="489">
        <v>47</v>
      </c>
      <c r="S93" s="490">
        <v>101505926.48999999</v>
      </c>
      <c r="T93" s="490">
        <v>0</v>
      </c>
      <c r="U93" s="491">
        <v>0.98969817976465801</v>
      </c>
      <c r="V93" s="491">
        <v>0</v>
      </c>
      <c r="W93" s="491">
        <v>0</v>
      </c>
      <c r="X93" s="489">
        <v>47</v>
      </c>
      <c r="Y93" s="490">
        <v>101505926.48999999</v>
      </c>
      <c r="Z93" s="490">
        <v>0</v>
      </c>
      <c r="AB93" s="491">
        <v>0.98969817976465801</v>
      </c>
      <c r="AC93" s="491">
        <v>0</v>
      </c>
      <c r="AD93" s="491">
        <v>0</v>
      </c>
      <c r="AE93" s="489">
        <v>47</v>
      </c>
      <c r="AF93" s="490">
        <v>101207903.51000001</v>
      </c>
      <c r="AG93" s="490">
        <v>0</v>
      </c>
      <c r="AH93" s="491">
        <v>0.98679241050533217</v>
      </c>
      <c r="AI93" s="491">
        <v>0</v>
      </c>
      <c r="AJ93" s="491">
        <v>0</v>
      </c>
    </row>
    <row r="94" spans="2:36" ht="38.25" x14ac:dyDescent="0.25">
      <c r="B94" s="489" t="s">
        <v>528</v>
      </c>
      <c r="C94" s="489" t="s">
        <v>529</v>
      </c>
      <c r="D94" s="489"/>
      <c r="E94" s="489"/>
      <c r="F94" s="490">
        <v>35602659</v>
      </c>
      <c r="G94" s="490">
        <v>0</v>
      </c>
      <c r="H94" s="562">
        <v>0</v>
      </c>
      <c r="I94" s="563"/>
      <c r="J94" s="490">
        <v>35602659</v>
      </c>
      <c r="K94" s="490">
        <v>34973053.939999998</v>
      </c>
      <c r="L94" s="490">
        <v>0</v>
      </c>
      <c r="M94" s="491">
        <v>0.98231578545860854</v>
      </c>
      <c r="N94" s="491">
        <v>0</v>
      </c>
      <c r="O94" s="564">
        <v>0</v>
      </c>
      <c r="P94" s="565"/>
      <c r="Q94" s="566"/>
      <c r="R94" s="489">
        <v>25</v>
      </c>
      <c r="S94" s="490">
        <v>34973053.939999998</v>
      </c>
      <c r="T94" s="490">
        <v>0</v>
      </c>
      <c r="U94" s="491">
        <v>0.98231578545860854</v>
      </c>
      <c r="V94" s="491">
        <v>0</v>
      </c>
      <c r="W94" s="491">
        <v>0</v>
      </c>
      <c r="X94" s="489">
        <v>25</v>
      </c>
      <c r="Y94" s="490">
        <v>34973053.939999998</v>
      </c>
      <c r="Z94" s="490">
        <v>0</v>
      </c>
      <c r="AB94" s="491">
        <v>0.98231578545860854</v>
      </c>
      <c r="AC94" s="491">
        <v>0</v>
      </c>
      <c r="AD94" s="491">
        <v>0</v>
      </c>
      <c r="AE94" s="489">
        <v>25</v>
      </c>
      <c r="AF94" s="490">
        <v>34973053.939999998</v>
      </c>
      <c r="AG94" s="490">
        <v>0</v>
      </c>
      <c r="AH94" s="491">
        <v>0.98231578545860854</v>
      </c>
      <c r="AI94" s="491">
        <v>0</v>
      </c>
      <c r="AJ94" s="491">
        <v>0</v>
      </c>
    </row>
    <row r="95" spans="2:36" ht="63.75" x14ac:dyDescent="0.25">
      <c r="B95" s="489" t="s">
        <v>438</v>
      </c>
      <c r="C95" s="489" t="s">
        <v>530</v>
      </c>
      <c r="D95" s="489" t="s">
        <v>344</v>
      </c>
      <c r="E95" s="489" t="s">
        <v>1608</v>
      </c>
      <c r="F95" s="490">
        <v>3072721</v>
      </c>
      <c r="G95" s="490">
        <v>0</v>
      </c>
      <c r="H95" s="562">
        <v>0</v>
      </c>
      <c r="I95" s="563"/>
      <c r="J95" s="490">
        <v>3072721</v>
      </c>
      <c r="K95" s="490">
        <v>3072720.94</v>
      </c>
      <c r="L95" s="490">
        <v>0</v>
      </c>
      <c r="M95" s="491">
        <v>0.99999998047333294</v>
      </c>
      <c r="N95" s="491">
        <v>0</v>
      </c>
      <c r="O95" s="564">
        <v>0</v>
      </c>
      <c r="P95" s="565"/>
      <c r="Q95" s="566"/>
      <c r="R95" s="489">
        <v>13</v>
      </c>
      <c r="S95" s="490">
        <v>3072720.94</v>
      </c>
      <c r="T95" s="490">
        <v>0</v>
      </c>
      <c r="U95" s="491">
        <v>0.99999998047333294</v>
      </c>
      <c r="V95" s="491">
        <v>0</v>
      </c>
      <c r="W95" s="491">
        <v>0</v>
      </c>
      <c r="X95" s="489">
        <v>13</v>
      </c>
      <c r="Y95" s="490">
        <v>3072720.94</v>
      </c>
      <c r="Z95" s="490">
        <v>0</v>
      </c>
      <c r="AB95" s="491">
        <v>0.99999998047333294</v>
      </c>
      <c r="AC95" s="491">
        <v>0</v>
      </c>
      <c r="AD95" s="491">
        <v>0</v>
      </c>
      <c r="AE95" s="489">
        <v>13</v>
      </c>
      <c r="AF95" s="490">
        <v>3072720.94</v>
      </c>
      <c r="AG95" s="490">
        <v>0</v>
      </c>
      <c r="AH95" s="491">
        <v>0.99999998047333294</v>
      </c>
      <c r="AI95" s="491">
        <v>0</v>
      </c>
      <c r="AJ95" s="491">
        <v>0</v>
      </c>
    </row>
    <row r="96" spans="2:36" ht="63.75" x14ac:dyDescent="0.25">
      <c r="B96" s="489" t="s">
        <v>278</v>
      </c>
      <c r="C96" s="489" t="s">
        <v>188</v>
      </c>
      <c r="D96" s="489" t="s">
        <v>344</v>
      </c>
      <c r="E96" s="489" t="s">
        <v>1608</v>
      </c>
      <c r="F96" s="490">
        <v>3072721</v>
      </c>
      <c r="G96" s="490">
        <v>0</v>
      </c>
      <c r="H96" s="562">
        <v>0</v>
      </c>
      <c r="I96" s="563"/>
      <c r="J96" s="490">
        <v>3072721</v>
      </c>
      <c r="K96" s="490">
        <v>3072720.94</v>
      </c>
      <c r="L96" s="490">
        <v>0</v>
      </c>
      <c r="M96" s="491">
        <v>0.99999998047333294</v>
      </c>
      <c r="N96" s="491">
        <v>0</v>
      </c>
      <c r="O96" s="564">
        <v>0</v>
      </c>
      <c r="P96" s="565"/>
      <c r="Q96" s="566"/>
      <c r="R96" s="489">
        <v>13</v>
      </c>
      <c r="S96" s="490">
        <v>3072720.94</v>
      </c>
      <c r="T96" s="490">
        <v>0</v>
      </c>
      <c r="U96" s="491">
        <v>0.99999998047333294</v>
      </c>
      <c r="V96" s="491">
        <v>0</v>
      </c>
      <c r="W96" s="491">
        <v>0</v>
      </c>
      <c r="X96" s="489">
        <v>13</v>
      </c>
      <c r="Y96" s="490">
        <v>3072720.94</v>
      </c>
      <c r="Z96" s="490">
        <v>0</v>
      </c>
      <c r="AB96" s="491">
        <v>0.99999998047333294</v>
      </c>
      <c r="AC96" s="491">
        <v>0</v>
      </c>
      <c r="AD96" s="491">
        <v>0</v>
      </c>
      <c r="AE96" s="489">
        <v>13</v>
      </c>
      <c r="AF96" s="490">
        <v>3072720.94</v>
      </c>
      <c r="AG96" s="490">
        <v>0</v>
      </c>
      <c r="AH96" s="491">
        <v>0.99999998047333294</v>
      </c>
      <c r="AI96" s="491">
        <v>0</v>
      </c>
      <c r="AJ96" s="491">
        <v>0</v>
      </c>
    </row>
    <row r="97" spans="2:36" ht="63.75" x14ac:dyDescent="0.25">
      <c r="B97" s="489" t="s">
        <v>439</v>
      </c>
      <c r="C97" s="489" t="s">
        <v>191</v>
      </c>
      <c r="D97" s="489" t="s">
        <v>345</v>
      </c>
      <c r="E97" s="489" t="s">
        <v>1608</v>
      </c>
      <c r="F97" s="490">
        <v>26224830</v>
      </c>
      <c r="G97" s="490">
        <v>0</v>
      </c>
      <c r="H97" s="562">
        <v>0</v>
      </c>
      <c r="I97" s="563"/>
      <c r="J97" s="490">
        <v>26224830</v>
      </c>
      <c r="K97" s="490">
        <v>26102930.059999999</v>
      </c>
      <c r="L97" s="490">
        <v>0</v>
      </c>
      <c r="M97" s="491">
        <v>0.99535173574051772</v>
      </c>
      <c r="N97" s="491">
        <v>0</v>
      </c>
      <c r="O97" s="564">
        <v>0</v>
      </c>
      <c r="P97" s="565"/>
      <c r="Q97" s="566"/>
      <c r="R97" s="489">
        <v>5</v>
      </c>
      <c r="S97" s="490">
        <v>26102930.059999999</v>
      </c>
      <c r="T97" s="490">
        <v>0</v>
      </c>
      <c r="U97" s="491">
        <v>0.99535173574051772</v>
      </c>
      <c r="V97" s="491">
        <v>0</v>
      </c>
      <c r="W97" s="491">
        <v>0</v>
      </c>
      <c r="X97" s="489">
        <v>5</v>
      </c>
      <c r="Y97" s="490">
        <v>26102930.059999999</v>
      </c>
      <c r="Z97" s="490">
        <v>0</v>
      </c>
      <c r="AB97" s="491">
        <v>0.99535173574051772</v>
      </c>
      <c r="AC97" s="491">
        <v>0</v>
      </c>
      <c r="AD97" s="491">
        <v>0</v>
      </c>
      <c r="AE97" s="489">
        <v>5</v>
      </c>
      <c r="AF97" s="490">
        <v>26102930.059999999</v>
      </c>
      <c r="AG97" s="490">
        <v>0</v>
      </c>
      <c r="AH97" s="491">
        <v>0.99535173574051772</v>
      </c>
      <c r="AI97" s="491">
        <v>0</v>
      </c>
      <c r="AJ97" s="491">
        <v>0</v>
      </c>
    </row>
    <row r="98" spans="2:36" ht="63.75" x14ac:dyDescent="0.25">
      <c r="B98" s="489" t="s">
        <v>279</v>
      </c>
      <c r="C98" s="489" t="s">
        <v>190</v>
      </c>
      <c r="D98" s="489" t="s">
        <v>345</v>
      </c>
      <c r="E98" s="489" t="s">
        <v>1608</v>
      </c>
      <c r="F98" s="490">
        <v>8723624</v>
      </c>
      <c r="G98" s="490">
        <v>0</v>
      </c>
      <c r="H98" s="562">
        <v>0</v>
      </c>
      <c r="I98" s="563"/>
      <c r="J98" s="490">
        <v>8723624</v>
      </c>
      <c r="K98" s="490">
        <v>8720098.6199999992</v>
      </c>
      <c r="L98" s="490">
        <v>0</v>
      </c>
      <c r="M98" s="491">
        <v>0.99959588125302057</v>
      </c>
      <c r="N98" s="491">
        <v>0</v>
      </c>
      <c r="O98" s="564">
        <v>0</v>
      </c>
      <c r="P98" s="565"/>
      <c r="Q98" s="566"/>
      <c r="R98" s="489">
        <v>1</v>
      </c>
      <c r="S98" s="490">
        <v>8720098.6199999992</v>
      </c>
      <c r="T98" s="490">
        <v>0</v>
      </c>
      <c r="U98" s="491">
        <v>0.99959588125302057</v>
      </c>
      <c r="V98" s="491">
        <v>0</v>
      </c>
      <c r="W98" s="491">
        <v>0</v>
      </c>
      <c r="X98" s="489">
        <v>1</v>
      </c>
      <c r="Y98" s="490">
        <v>8720098.6199999992</v>
      </c>
      <c r="Z98" s="490">
        <v>0</v>
      </c>
      <c r="AB98" s="491">
        <v>0.99959588125302057</v>
      </c>
      <c r="AC98" s="491">
        <v>0</v>
      </c>
      <c r="AD98" s="491">
        <v>0</v>
      </c>
      <c r="AE98" s="489">
        <v>1</v>
      </c>
      <c r="AF98" s="490">
        <v>8720098.6199999992</v>
      </c>
      <c r="AG98" s="490">
        <v>0</v>
      </c>
      <c r="AH98" s="491">
        <v>0.99959588125302057</v>
      </c>
      <c r="AI98" s="491">
        <v>0</v>
      </c>
      <c r="AJ98" s="491">
        <v>0</v>
      </c>
    </row>
    <row r="99" spans="2:36" ht="63.75" x14ac:dyDescent="0.25">
      <c r="B99" s="489" t="s">
        <v>280</v>
      </c>
      <c r="C99" s="489" t="s">
        <v>608</v>
      </c>
      <c r="D99" s="489" t="s">
        <v>345</v>
      </c>
      <c r="E99" s="489" t="s">
        <v>1608</v>
      </c>
      <c r="F99" s="490">
        <v>17501206</v>
      </c>
      <c r="G99" s="490">
        <v>0</v>
      </c>
      <c r="H99" s="562">
        <v>0</v>
      </c>
      <c r="I99" s="563"/>
      <c r="J99" s="490">
        <v>17501206</v>
      </c>
      <c r="K99" s="490">
        <v>17382831.440000001</v>
      </c>
      <c r="L99" s="490">
        <v>0</v>
      </c>
      <c r="M99" s="491">
        <v>0.99323620555063463</v>
      </c>
      <c r="N99" s="491">
        <v>0</v>
      </c>
      <c r="O99" s="564">
        <v>0</v>
      </c>
      <c r="P99" s="565"/>
      <c r="Q99" s="566"/>
      <c r="R99" s="489">
        <v>4</v>
      </c>
      <c r="S99" s="490">
        <v>17382831.440000001</v>
      </c>
      <c r="T99" s="490">
        <v>0</v>
      </c>
      <c r="U99" s="491">
        <v>0.99323620555063463</v>
      </c>
      <c r="V99" s="491">
        <v>0</v>
      </c>
      <c r="W99" s="491">
        <v>0</v>
      </c>
      <c r="X99" s="489">
        <v>4</v>
      </c>
      <c r="Y99" s="490">
        <v>17382831.440000001</v>
      </c>
      <c r="Z99" s="490">
        <v>0</v>
      </c>
      <c r="AB99" s="491">
        <v>0.99323620555063463</v>
      </c>
      <c r="AC99" s="491">
        <v>0</v>
      </c>
      <c r="AD99" s="491">
        <v>0</v>
      </c>
      <c r="AE99" s="489">
        <v>4</v>
      </c>
      <c r="AF99" s="490">
        <v>17382831.440000001</v>
      </c>
      <c r="AG99" s="490">
        <v>0</v>
      </c>
      <c r="AH99" s="491">
        <v>0.99323620555063463</v>
      </c>
      <c r="AI99" s="491">
        <v>0</v>
      </c>
      <c r="AJ99" s="491">
        <v>0</v>
      </c>
    </row>
    <row r="100" spans="2:36" ht="63.75" x14ac:dyDescent="0.25">
      <c r="B100" s="489" t="s">
        <v>1244</v>
      </c>
      <c r="C100" s="489" t="s">
        <v>1245</v>
      </c>
      <c r="D100" s="489" t="s">
        <v>345</v>
      </c>
      <c r="E100" s="489" t="s">
        <v>1608</v>
      </c>
      <c r="F100" s="490">
        <v>6305108</v>
      </c>
      <c r="G100" s="490">
        <v>0</v>
      </c>
      <c r="H100" s="562">
        <v>0</v>
      </c>
      <c r="I100" s="563"/>
      <c r="J100" s="490">
        <v>6305108</v>
      </c>
      <c r="K100" s="490">
        <v>5797402.9400000004</v>
      </c>
      <c r="L100" s="490">
        <v>0</v>
      </c>
      <c r="M100" s="491">
        <v>0.91947718262716516</v>
      </c>
      <c r="N100" s="491">
        <v>0</v>
      </c>
      <c r="O100" s="564">
        <v>0</v>
      </c>
      <c r="P100" s="565"/>
      <c r="Q100" s="566"/>
      <c r="R100" s="489">
        <v>7</v>
      </c>
      <c r="S100" s="490">
        <v>5797402.9400000004</v>
      </c>
      <c r="T100" s="490">
        <v>0</v>
      </c>
      <c r="U100" s="491">
        <v>0.91947718262716516</v>
      </c>
      <c r="V100" s="491">
        <v>0</v>
      </c>
      <c r="W100" s="491">
        <v>0</v>
      </c>
      <c r="X100" s="489">
        <v>7</v>
      </c>
      <c r="Y100" s="490">
        <v>5797402.9400000004</v>
      </c>
      <c r="Z100" s="490">
        <v>0</v>
      </c>
      <c r="AB100" s="491">
        <v>0.91947718262716516</v>
      </c>
      <c r="AC100" s="491">
        <v>0</v>
      </c>
      <c r="AD100" s="491">
        <v>0</v>
      </c>
      <c r="AE100" s="489">
        <v>7</v>
      </c>
      <c r="AF100" s="490">
        <v>5797402.9400000004</v>
      </c>
      <c r="AG100" s="490">
        <v>0</v>
      </c>
      <c r="AH100" s="491">
        <v>0.91947718262716516</v>
      </c>
      <c r="AI100" s="491">
        <v>0</v>
      </c>
      <c r="AJ100" s="491">
        <v>0</v>
      </c>
    </row>
    <row r="101" spans="2:36" ht="63.75" x14ac:dyDescent="0.25">
      <c r="B101" s="489" t="s">
        <v>1366</v>
      </c>
      <c r="C101" s="489" t="s">
        <v>1367</v>
      </c>
      <c r="D101" s="489" t="s">
        <v>345</v>
      </c>
      <c r="E101" s="489" t="s">
        <v>1608</v>
      </c>
      <c r="F101" s="490">
        <v>3000000</v>
      </c>
      <c r="G101" s="490">
        <v>0</v>
      </c>
      <c r="H101" s="562">
        <v>0</v>
      </c>
      <c r="I101" s="563"/>
      <c r="J101" s="490">
        <v>3000000</v>
      </c>
      <c r="K101" s="490">
        <v>2890541.68</v>
      </c>
      <c r="L101" s="490">
        <v>0</v>
      </c>
      <c r="M101" s="491">
        <v>0.96351389333333337</v>
      </c>
      <c r="N101" s="491">
        <v>0</v>
      </c>
      <c r="O101" s="564">
        <v>0</v>
      </c>
      <c r="P101" s="565"/>
      <c r="Q101" s="566"/>
      <c r="R101" s="489">
        <v>1</v>
      </c>
      <c r="S101" s="490">
        <v>2890541.68</v>
      </c>
      <c r="T101" s="490">
        <v>0</v>
      </c>
      <c r="U101" s="491">
        <v>0.96351389333333337</v>
      </c>
      <c r="V101" s="491">
        <v>0</v>
      </c>
      <c r="W101" s="491">
        <v>0</v>
      </c>
      <c r="X101" s="489">
        <v>1</v>
      </c>
      <c r="Y101" s="490">
        <v>2890541.68</v>
      </c>
      <c r="Z101" s="490">
        <v>0</v>
      </c>
      <c r="AB101" s="491">
        <v>0.96351389333333337</v>
      </c>
      <c r="AC101" s="491">
        <v>0</v>
      </c>
      <c r="AD101" s="491">
        <v>0</v>
      </c>
      <c r="AE101" s="489">
        <v>1</v>
      </c>
      <c r="AF101" s="490">
        <v>2890541.68</v>
      </c>
      <c r="AG101" s="490">
        <v>0</v>
      </c>
      <c r="AH101" s="491">
        <v>0.96351389333333337</v>
      </c>
      <c r="AI101" s="491">
        <v>0</v>
      </c>
      <c r="AJ101" s="491">
        <v>0</v>
      </c>
    </row>
    <row r="102" spans="2:36" ht="63.75" x14ac:dyDescent="0.25">
      <c r="B102" s="489" t="s">
        <v>1368</v>
      </c>
      <c r="C102" s="489" t="s">
        <v>1369</v>
      </c>
      <c r="D102" s="489" t="s">
        <v>345</v>
      </c>
      <c r="E102" s="489" t="s">
        <v>1608</v>
      </c>
      <c r="F102" s="490">
        <v>3305108</v>
      </c>
      <c r="G102" s="490">
        <v>0</v>
      </c>
      <c r="H102" s="562">
        <v>0</v>
      </c>
      <c r="I102" s="563"/>
      <c r="J102" s="490">
        <v>3305108</v>
      </c>
      <c r="K102" s="490">
        <v>2906861.26</v>
      </c>
      <c r="L102" s="490">
        <v>0</v>
      </c>
      <c r="M102" s="491">
        <v>0.87950568029849552</v>
      </c>
      <c r="N102" s="491">
        <v>0</v>
      </c>
      <c r="O102" s="564">
        <v>0</v>
      </c>
      <c r="P102" s="565"/>
      <c r="Q102" s="566"/>
      <c r="R102" s="489">
        <v>6</v>
      </c>
      <c r="S102" s="490">
        <v>2906861.26</v>
      </c>
      <c r="T102" s="490">
        <v>0</v>
      </c>
      <c r="U102" s="491">
        <v>0.87950568029849552</v>
      </c>
      <c r="V102" s="491">
        <v>0</v>
      </c>
      <c r="W102" s="491">
        <v>0</v>
      </c>
      <c r="X102" s="489">
        <v>6</v>
      </c>
      <c r="Y102" s="490">
        <v>2906861.26</v>
      </c>
      <c r="Z102" s="490">
        <v>0</v>
      </c>
      <c r="AB102" s="491">
        <v>0.87950568029849552</v>
      </c>
      <c r="AC102" s="491">
        <v>0</v>
      </c>
      <c r="AD102" s="491">
        <v>0</v>
      </c>
      <c r="AE102" s="489">
        <v>6</v>
      </c>
      <c r="AF102" s="490">
        <v>2906861.26</v>
      </c>
      <c r="AG102" s="490">
        <v>0</v>
      </c>
      <c r="AH102" s="491">
        <v>0.87950568029849552</v>
      </c>
      <c r="AI102" s="491">
        <v>0</v>
      </c>
      <c r="AJ102" s="491">
        <v>0</v>
      </c>
    </row>
    <row r="103" spans="2:36" ht="25.5" x14ac:dyDescent="0.25">
      <c r="B103" s="489" t="s">
        <v>531</v>
      </c>
      <c r="C103" s="489" t="s">
        <v>67</v>
      </c>
      <c r="D103" s="489"/>
      <c r="E103" s="489"/>
      <c r="F103" s="490">
        <v>67507333</v>
      </c>
      <c r="G103" s="490">
        <v>0</v>
      </c>
      <c r="H103" s="562">
        <v>0</v>
      </c>
      <c r="I103" s="563"/>
      <c r="J103" s="490">
        <v>67507333</v>
      </c>
      <c r="K103" s="490">
        <v>65821749.299999997</v>
      </c>
      <c r="L103" s="490">
        <v>0</v>
      </c>
      <c r="M103" s="491">
        <v>0.97503110217670719</v>
      </c>
      <c r="N103" s="491">
        <v>0</v>
      </c>
      <c r="O103" s="564">
        <v>0</v>
      </c>
      <c r="P103" s="565"/>
      <c r="Q103" s="566"/>
      <c r="R103" s="489">
        <v>23</v>
      </c>
      <c r="S103" s="490">
        <v>65821749.299999997</v>
      </c>
      <c r="T103" s="490">
        <v>0</v>
      </c>
      <c r="U103" s="491">
        <v>0.97503110217670719</v>
      </c>
      <c r="V103" s="491">
        <v>0</v>
      </c>
      <c r="W103" s="491">
        <v>0</v>
      </c>
      <c r="X103" s="489">
        <v>23</v>
      </c>
      <c r="Y103" s="490">
        <v>65821749.299999997</v>
      </c>
      <c r="Z103" s="490">
        <v>0</v>
      </c>
      <c r="AB103" s="491">
        <v>0.97503110217670719</v>
      </c>
      <c r="AC103" s="491">
        <v>0</v>
      </c>
      <c r="AD103" s="491">
        <v>0</v>
      </c>
      <c r="AE103" s="489">
        <v>23</v>
      </c>
      <c r="AF103" s="490">
        <v>64071055.219999999</v>
      </c>
      <c r="AG103" s="490">
        <v>0</v>
      </c>
      <c r="AH103" s="491">
        <v>0.94909771091090211</v>
      </c>
      <c r="AI103" s="491">
        <v>0</v>
      </c>
      <c r="AJ103" s="491">
        <v>0</v>
      </c>
    </row>
    <row r="104" spans="2:36" ht="38.25" x14ac:dyDescent="0.25">
      <c r="B104" s="489" t="s">
        <v>281</v>
      </c>
      <c r="C104" s="489" t="s">
        <v>68</v>
      </c>
      <c r="D104" s="489" t="s">
        <v>344</v>
      </c>
      <c r="E104" s="489" t="s">
        <v>532</v>
      </c>
      <c r="F104" s="490">
        <v>67507333</v>
      </c>
      <c r="G104" s="490">
        <v>0</v>
      </c>
      <c r="H104" s="562">
        <v>0</v>
      </c>
      <c r="I104" s="563"/>
      <c r="J104" s="490">
        <v>67507333</v>
      </c>
      <c r="K104" s="490">
        <v>65821749.299999997</v>
      </c>
      <c r="L104" s="490">
        <v>0</v>
      </c>
      <c r="M104" s="491">
        <v>0.97503110217670719</v>
      </c>
      <c r="N104" s="491">
        <v>0</v>
      </c>
      <c r="O104" s="564">
        <v>0</v>
      </c>
      <c r="P104" s="565"/>
      <c r="Q104" s="566"/>
      <c r="R104" s="489">
        <v>23</v>
      </c>
      <c r="S104" s="490">
        <v>65821749.299999997</v>
      </c>
      <c r="T104" s="490">
        <v>0</v>
      </c>
      <c r="U104" s="491">
        <v>0.97503110217670719</v>
      </c>
      <c r="V104" s="491">
        <v>0</v>
      </c>
      <c r="W104" s="491">
        <v>0</v>
      </c>
      <c r="X104" s="489">
        <v>23</v>
      </c>
      <c r="Y104" s="490">
        <v>65821749.299999997</v>
      </c>
      <c r="Z104" s="490">
        <v>0</v>
      </c>
      <c r="AB104" s="491">
        <v>0.97503110217670719</v>
      </c>
      <c r="AC104" s="491">
        <v>0</v>
      </c>
      <c r="AD104" s="491">
        <v>0</v>
      </c>
      <c r="AE104" s="489">
        <v>23</v>
      </c>
      <c r="AF104" s="490">
        <v>64071055.219999999</v>
      </c>
      <c r="AG104" s="490">
        <v>0</v>
      </c>
      <c r="AH104" s="491">
        <v>0.94909771091090211</v>
      </c>
      <c r="AI104" s="491">
        <v>0</v>
      </c>
      <c r="AJ104" s="491">
        <v>0</v>
      </c>
    </row>
    <row r="105" spans="2:36" ht="63.75" x14ac:dyDescent="0.25">
      <c r="B105" s="489" t="s">
        <v>533</v>
      </c>
      <c r="C105" s="489" t="s">
        <v>534</v>
      </c>
      <c r="D105" s="489"/>
      <c r="E105" s="489"/>
      <c r="F105" s="490">
        <v>344111916</v>
      </c>
      <c r="G105" s="490">
        <v>24165500</v>
      </c>
      <c r="H105" s="562">
        <v>0</v>
      </c>
      <c r="I105" s="563"/>
      <c r="J105" s="490">
        <v>344111916</v>
      </c>
      <c r="K105" s="490">
        <v>303781546.79000002</v>
      </c>
      <c r="L105" s="490">
        <v>14698287.470000001</v>
      </c>
      <c r="M105" s="491">
        <v>0.88279868457098121</v>
      </c>
      <c r="N105" s="491">
        <v>0</v>
      </c>
      <c r="O105" s="564">
        <v>0</v>
      </c>
      <c r="P105" s="565"/>
      <c r="Q105" s="566"/>
      <c r="R105" s="489">
        <v>133</v>
      </c>
      <c r="S105" s="490">
        <v>303781546.79000002</v>
      </c>
      <c r="T105" s="490">
        <v>14698287.470000001</v>
      </c>
      <c r="U105" s="491">
        <v>0.88279868457098121</v>
      </c>
      <c r="V105" s="491">
        <v>0</v>
      </c>
      <c r="W105" s="491">
        <v>0</v>
      </c>
      <c r="X105" s="489">
        <v>133</v>
      </c>
      <c r="Y105" s="490">
        <v>303781546.79000002</v>
      </c>
      <c r="Z105" s="490">
        <v>14698287.470000001</v>
      </c>
      <c r="AB105" s="491">
        <v>0.88279868457098121</v>
      </c>
      <c r="AC105" s="491">
        <v>0</v>
      </c>
      <c r="AD105" s="491">
        <v>0</v>
      </c>
      <c r="AE105" s="489">
        <v>133</v>
      </c>
      <c r="AF105" s="490">
        <v>302252711.39999998</v>
      </c>
      <c r="AG105" s="490">
        <v>14647502.24</v>
      </c>
      <c r="AH105" s="491">
        <v>0.87835584106886899</v>
      </c>
      <c r="AI105" s="491">
        <v>0</v>
      </c>
      <c r="AJ105" s="491">
        <v>0</v>
      </c>
    </row>
    <row r="106" spans="2:36" ht="25.5" x14ac:dyDescent="0.25">
      <c r="B106" s="489" t="s">
        <v>282</v>
      </c>
      <c r="C106" s="489" t="s">
        <v>535</v>
      </c>
      <c r="D106" s="489" t="s">
        <v>344</v>
      </c>
      <c r="E106" s="489" t="s">
        <v>532</v>
      </c>
      <c r="F106" s="490">
        <v>58552956</v>
      </c>
      <c r="G106" s="490">
        <v>0</v>
      </c>
      <c r="H106" s="562">
        <v>0</v>
      </c>
      <c r="I106" s="563"/>
      <c r="J106" s="490">
        <v>58552956</v>
      </c>
      <c r="K106" s="490">
        <v>54726810.719999999</v>
      </c>
      <c r="L106" s="490">
        <v>0</v>
      </c>
      <c r="M106" s="491">
        <v>0.93465495952074562</v>
      </c>
      <c r="N106" s="491">
        <v>0</v>
      </c>
      <c r="O106" s="564">
        <v>0</v>
      </c>
      <c r="P106" s="565"/>
      <c r="Q106" s="566"/>
      <c r="R106" s="489">
        <v>5</v>
      </c>
      <c r="S106" s="490">
        <v>54726810.719999999</v>
      </c>
      <c r="T106" s="490">
        <v>0</v>
      </c>
      <c r="U106" s="491">
        <v>0.93465495952074562</v>
      </c>
      <c r="V106" s="491">
        <v>0</v>
      </c>
      <c r="W106" s="491">
        <v>0</v>
      </c>
      <c r="X106" s="489">
        <v>5</v>
      </c>
      <c r="Y106" s="490">
        <v>54726810.719999999</v>
      </c>
      <c r="Z106" s="490">
        <v>0</v>
      </c>
      <c r="AB106" s="491">
        <v>0.93465495952074562</v>
      </c>
      <c r="AC106" s="491">
        <v>0</v>
      </c>
      <c r="AD106" s="491">
        <v>0</v>
      </c>
      <c r="AE106" s="489">
        <v>5</v>
      </c>
      <c r="AF106" s="490">
        <v>53219294.700000003</v>
      </c>
      <c r="AG106" s="490">
        <v>0</v>
      </c>
      <c r="AH106" s="491">
        <v>0.90890876115631125</v>
      </c>
      <c r="AI106" s="491">
        <v>0</v>
      </c>
      <c r="AJ106" s="491">
        <v>0</v>
      </c>
    </row>
    <row r="107" spans="2:36" ht="63.75" x14ac:dyDescent="0.25">
      <c r="B107" s="489" t="s">
        <v>283</v>
      </c>
      <c r="C107" s="489" t="s">
        <v>536</v>
      </c>
      <c r="D107" s="489" t="s">
        <v>344</v>
      </c>
      <c r="E107" s="489" t="s">
        <v>1608</v>
      </c>
      <c r="F107" s="490">
        <v>260689872</v>
      </c>
      <c r="G107" s="490">
        <v>24165500</v>
      </c>
      <c r="H107" s="562">
        <v>0</v>
      </c>
      <c r="I107" s="563"/>
      <c r="J107" s="490">
        <v>260689872</v>
      </c>
      <c r="K107" s="490">
        <v>224431858</v>
      </c>
      <c r="L107" s="490">
        <v>14698287.470000001</v>
      </c>
      <c r="M107" s="491">
        <v>0.86091514134465497</v>
      </c>
      <c r="N107" s="491">
        <v>0</v>
      </c>
      <c r="O107" s="564">
        <v>0</v>
      </c>
      <c r="P107" s="565"/>
      <c r="Q107" s="566"/>
      <c r="R107" s="489">
        <v>127</v>
      </c>
      <c r="S107" s="490">
        <v>224431858</v>
      </c>
      <c r="T107" s="490">
        <v>14698287.470000001</v>
      </c>
      <c r="U107" s="491">
        <v>0.86091514134465497</v>
      </c>
      <c r="V107" s="491">
        <v>0</v>
      </c>
      <c r="W107" s="491">
        <v>0</v>
      </c>
      <c r="X107" s="489">
        <v>127</v>
      </c>
      <c r="Y107" s="490">
        <v>224431858</v>
      </c>
      <c r="Z107" s="490">
        <v>14698287.470000001</v>
      </c>
      <c r="AB107" s="491">
        <v>0.86091514134465497</v>
      </c>
      <c r="AC107" s="491">
        <v>0</v>
      </c>
      <c r="AD107" s="491">
        <v>0</v>
      </c>
      <c r="AE107" s="489">
        <v>127</v>
      </c>
      <c r="AF107" s="490">
        <v>224410538.63</v>
      </c>
      <c r="AG107" s="490">
        <v>14647502.24</v>
      </c>
      <c r="AH107" s="491">
        <v>0.86083336076055916</v>
      </c>
      <c r="AI107" s="491">
        <v>0</v>
      </c>
      <c r="AJ107" s="491">
        <v>0</v>
      </c>
    </row>
    <row r="108" spans="2:36" ht="63.75" x14ac:dyDescent="0.25">
      <c r="B108" s="489" t="s">
        <v>462</v>
      </c>
      <c r="C108" s="489" t="s">
        <v>537</v>
      </c>
      <c r="D108" s="489" t="s">
        <v>344</v>
      </c>
      <c r="E108" s="489" t="s">
        <v>1608</v>
      </c>
      <c r="F108" s="490">
        <v>24869088</v>
      </c>
      <c r="G108" s="490">
        <v>0</v>
      </c>
      <c r="H108" s="562">
        <v>0</v>
      </c>
      <c r="I108" s="563"/>
      <c r="J108" s="490">
        <v>24869088</v>
      </c>
      <c r="K108" s="490">
        <v>24622878.07</v>
      </c>
      <c r="L108" s="490">
        <v>0</v>
      </c>
      <c r="M108" s="491">
        <v>0.99009976039330438</v>
      </c>
      <c r="N108" s="491">
        <v>0</v>
      </c>
      <c r="O108" s="564">
        <v>0</v>
      </c>
      <c r="P108" s="565"/>
      <c r="Q108" s="566"/>
      <c r="R108" s="489">
        <v>1</v>
      </c>
      <c r="S108" s="490">
        <v>24622878.07</v>
      </c>
      <c r="T108" s="490">
        <v>0</v>
      </c>
      <c r="U108" s="491">
        <v>0.99009976039330438</v>
      </c>
      <c r="V108" s="491">
        <v>0</v>
      </c>
      <c r="W108" s="491">
        <v>0</v>
      </c>
      <c r="X108" s="489">
        <v>1</v>
      </c>
      <c r="Y108" s="490">
        <v>24622878.07</v>
      </c>
      <c r="Z108" s="490">
        <v>0</v>
      </c>
      <c r="AB108" s="491">
        <v>0.99009976039330438</v>
      </c>
      <c r="AC108" s="491">
        <v>0</v>
      </c>
      <c r="AD108" s="491">
        <v>0</v>
      </c>
      <c r="AE108" s="489">
        <v>1</v>
      </c>
      <c r="AF108" s="490">
        <v>24622878.07</v>
      </c>
      <c r="AG108" s="490">
        <v>0</v>
      </c>
      <c r="AH108" s="491">
        <v>0.99009976039330438</v>
      </c>
      <c r="AI108" s="491">
        <v>0</v>
      </c>
      <c r="AJ108" s="491">
        <v>0</v>
      </c>
    </row>
    <row r="109" spans="2:36" x14ac:dyDescent="0.25">
      <c r="B109" s="486" t="s">
        <v>284</v>
      </c>
      <c r="C109" s="486" t="s">
        <v>75</v>
      </c>
      <c r="D109" s="486"/>
      <c r="E109" s="486"/>
      <c r="F109" s="487">
        <v>929199593</v>
      </c>
      <c r="G109" s="487">
        <v>0</v>
      </c>
      <c r="H109" s="567">
        <v>0</v>
      </c>
      <c r="I109" s="568"/>
      <c r="J109" s="487">
        <v>929199593</v>
      </c>
      <c r="K109" s="487">
        <v>801894815.96000004</v>
      </c>
      <c r="L109" s="487">
        <v>0</v>
      </c>
      <c r="M109" s="488">
        <v>0.86299522944367024</v>
      </c>
      <c r="N109" s="488">
        <v>0</v>
      </c>
      <c r="O109" s="559">
        <v>0</v>
      </c>
      <c r="P109" s="560"/>
      <c r="Q109" s="561"/>
      <c r="R109" s="486">
        <v>89</v>
      </c>
      <c r="S109" s="487">
        <v>801894815.96000004</v>
      </c>
      <c r="T109" s="487">
        <v>0</v>
      </c>
      <c r="U109" s="488">
        <v>0.86299522944367024</v>
      </c>
      <c r="V109" s="488">
        <v>0</v>
      </c>
      <c r="W109" s="488">
        <v>0</v>
      </c>
      <c r="X109" s="486">
        <v>89</v>
      </c>
      <c r="Y109" s="487">
        <v>801894815.96000004</v>
      </c>
      <c r="Z109" s="487">
        <v>0</v>
      </c>
      <c r="AB109" s="488">
        <v>0.86299522944367024</v>
      </c>
      <c r="AC109" s="488">
        <v>0</v>
      </c>
      <c r="AD109" s="488">
        <v>0</v>
      </c>
      <c r="AE109" s="486">
        <v>89</v>
      </c>
      <c r="AF109" s="487">
        <v>803075614.46000004</v>
      </c>
      <c r="AG109" s="487">
        <v>0</v>
      </c>
      <c r="AH109" s="488">
        <v>0.86426599894130607</v>
      </c>
      <c r="AI109" s="488">
        <v>0</v>
      </c>
      <c r="AJ109" s="488">
        <v>0</v>
      </c>
    </row>
    <row r="110" spans="2:36" ht="25.5" x14ac:dyDescent="0.25">
      <c r="B110" s="489" t="s">
        <v>538</v>
      </c>
      <c r="C110" s="489" t="s">
        <v>539</v>
      </c>
      <c r="D110" s="489"/>
      <c r="E110" s="489"/>
      <c r="F110" s="490">
        <v>528270272</v>
      </c>
      <c r="G110" s="490">
        <v>0</v>
      </c>
      <c r="H110" s="562">
        <v>0</v>
      </c>
      <c r="I110" s="563"/>
      <c r="J110" s="490">
        <v>528270272</v>
      </c>
      <c r="K110" s="490">
        <v>510380676.94</v>
      </c>
      <c r="L110" s="490">
        <v>0</v>
      </c>
      <c r="M110" s="491">
        <v>0.96613552568030936</v>
      </c>
      <c r="N110" s="491">
        <v>0</v>
      </c>
      <c r="O110" s="564">
        <v>0</v>
      </c>
      <c r="P110" s="565"/>
      <c r="Q110" s="566"/>
      <c r="R110" s="489">
        <v>49</v>
      </c>
      <c r="S110" s="490">
        <v>510380676.94</v>
      </c>
      <c r="T110" s="490">
        <v>0</v>
      </c>
      <c r="U110" s="491">
        <v>0.96613552568030936</v>
      </c>
      <c r="V110" s="491">
        <v>0</v>
      </c>
      <c r="W110" s="491">
        <v>0</v>
      </c>
      <c r="X110" s="489">
        <v>49</v>
      </c>
      <c r="Y110" s="490">
        <v>510380676.94</v>
      </c>
      <c r="Z110" s="490">
        <v>0</v>
      </c>
      <c r="AB110" s="491">
        <v>0.96613552568030936</v>
      </c>
      <c r="AC110" s="491">
        <v>0</v>
      </c>
      <c r="AD110" s="491">
        <v>0</v>
      </c>
      <c r="AE110" s="489">
        <v>49</v>
      </c>
      <c r="AF110" s="490">
        <v>511899591.83999997</v>
      </c>
      <c r="AG110" s="490">
        <v>0</v>
      </c>
      <c r="AH110" s="491">
        <v>0.96901078666035556</v>
      </c>
      <c r="AI110" s="491">
        <v>0</v>
      </c>
      <c r="AJ110" s="491">
        <v>0</v>
      </c>
    </row>
    <row r="111" spans="2:36" ht="25.5" x14ac:dyDescent="0.25">
      <c r="B111" s="489" t="s">
        <v>285</v>
      </c>
      <c r="C111" s="489" t="s">
        <v>540</v>
      </c>
      <c r="D111" s="489" t="s">
        <v>345</v>
      </c>
      <c r="E111" s="489" t="s">
        <v>491</v>
      </c>
      <c r="F111" s="490">
        <v>71113776</v>
      </c>
      <c r="G111" s="490">
        <v>0</v>
      </c>
      <c r="H111" s="562">
        <v>0</v>
      </c>
      <c r="I111" s="563"/>
      <c r="J111" s="490">
        <v>71113776</v>
      </c>
      <c r="K111" s="490">
        <v>67678486.409999996</v>
      </c>
      <c r="L111" s="490">
        <v>0</v>
      </c>
      <c r="M111" s="491">
        <v>0.95169305044355967</v>
      </c>
      <c r="N111" s="491">
        <v>0</v>
      </c>
      <c r="O111" s="564">
        <v>0</v>
      </c>
      <c r="P111" s="565"/>
      <c r="Q111" s="566"/>
      <c r="R111" s="489">
        <v>6</v>
      </c>
      <c r="S111" s="490">
        <v>67678486.409999996</v>
      </c>
      <c r="T111" s="490">
        <v>0</v>
      </c>
      <c r="U111" s="491">
        <v>0.95169305044355967</v>
      </c>
      <c r="V111" s="491">
        <v>0</v>
      </c>
      <c r="W111" s="491">
        <v>0</v>
      </c>
      <c r="X111" s="489">
        <v>6</v>
      </c>
      <c r="Y111" s="490">
        <v>67678486.409999996</v>
      </c>
      <c r="Z111" s="490">
        <v>0</v>
      </c>
      <c r="AB111" s="491">
        <v>0.95169305044355967</v>
      </c>
      <c r="AC111" s="491">
        <v>0</v>
      </c>
      <c r="AD111" s="491">
        <v>0</v>
      </c>
      <c r="AE111" s="489">
        <v>6</v>
      </c>
      <c r="AF111" s="490">
        <v>69130864.569999993</v>
      </c>
      <c r="AG111" s="490">
        <v>0</v>
      </c>
      <c r="AH111" s="491">
        <v>0.97211635295529797</v>
      </c>
      <c r="AI111" s="491">
        <v>0</v>
      </c>
      <c r="AJ111" s="491">
        <v>0</v>
      </c>
    </row>
    <row r="112" spans="2:36" ht="25.5" x14ac:dyDescent="0.25">
      <c r="B112" s="489" t="s">
        <v>286</v>
      </c>
      <c r="C112" s="489" t="s">
        <v>541</v>
      </c>
      <c r="D112" s="489" t="s">
        <v>345</v>
      </c>
      <c r="E112" s="489" t="s">
        <v>491</v>
      </c>
      <c r="F112" s="490">
        <v>12984765</v>
      </c>
      <c r="G112" s="490">
        <v>0</v>
      </c>
      <c r="H112" s="562">
        <v>0</v>
      </c>
      <c r="I112" s="563"/>
      <c r="J112" s="490">
        <v>12984765</v>
      </c>
      <c r="K112" s="490">
        <v>11839585.01</v>
      </c>
      <c r="L112" s="490">
        <v>0</v>
      </c>
      <c r="M112" s="491">
        <v>0.91180587480789987</v>
      </c>
      <c r="N112" s="491">
        <v>0</v>
      </c>
      <c r="O112" s="564">
        <v>0</v>
      </c>
      <c r="P112" s="565"/>
      <c r="Q112" s="566"/>
      <c r="R112" s="489">
        <v>2</v>
      </c>
      <c r="S112" s="490">
        <v>11839585.01</v>
      </c>
      <c r="T112" s="490">
        <v>0</v>
      </c>
      <c r="U112" s="491">
        <v>0.91180587480789987</v>
      </c>
      <c r="V112" s="491">
        <v>0</v>
      </c>
      <c r="W112" s="491">
        <v>0</v>
      </c>
      <c r="X112" s="489">
        <v>2</v>
      </c>
      <c r="Y112" s="490">
        <v>11839585.01</v>
      </c>
      <c r="Z112" s="490">
        <v>0</v>
      </c>
      <c r="AB112" s="491">
        <v>0.91180587480789987</v>
      </c>
      <c r="AC112" s="491">
        <v>0</v>
      </c>
      <c r="AD112" s="491">
        <v>0</v>
      </c>
      <c r="AE112" s="489">
        <v>2</v>
      </c>
      <c r="AF112" s="490">
        <v>11839585.01</v>
      </c>
      <c r="AG112" s="490">
        <v>0</v>
      </c>
      <c r="AH112" s="491">
        <v>0.91180587480789987</v>
      </c>
      <c r="AI112" s="491">
        <v>0</v>
      </c>
      <c r="AJ112" s="491">
        <v>0</v>
      </c>
    </row>
    <row r="113" spans="2:36" ht="38.25" x14ac:dyDescent="0.25">
      <c r="B113" s="489" t="s">
        <v>440</v>
      </c>
      <c r="C113" s="489" t="s">
        <v>79</v>
      </c>
      <c r="D113" s="489" t="s">
        <v>345</v>
      </c>
      <c r="E113" s="489" t="s">
        <v>491</v>
      </c>
      <c r="F113" s="490">
        <v>106823313</v>
      </c>
      <c r="G113" s="490">
        <v>0</v>
      </c>
      <c r="H113" s="562">
        <v>0</v>
      </c>
      <c r="I113" s="563"/>
      <c r="J113" s="490">
        <v>106823313</v>
      </c>
      <c r="K113" s="490">
        <v>106807324.67</v>
      </c>
      <c r="L113" s="490">
        <v>0</v>
      </c>
      <c r="M113" s="491">
        <v>0.9998503292066967</v>
      </c>
      <c r="N113" s="491">
        <v>0</v>
      </c>
      <c r="O113" s="564">
        <v>0</v>
      </c>
      <c r="P113" s="565"/>
      <c r="Q113" s="566"/>
      <c r="R113" s="489">
        <v>5</v>
      </c>
      <c r="S113" s="490">
        <v>106807324.67</v>
      </c>
      <c r="T113" s="490">
        <v>0</v>
      </c>
      <c r="U113" s="491">
        <v>0.9998503292066967</v>
      </c>
      <c r="V113" s="491">
        <v>0</v>
      </c>
      <c r="W113" s="491">
        <v>0</v>
      </c>
      <c r="X113" s="489">
        <v>5</v>
      </c>
      <c r="Y113" s="490">
        <v>106807324.67</v>
      </c>
      <c r="Z113" s="490">
        <v>0</v>
      </c>
      <c r="AB113" s="491">
        <v>0.9998503292066967</v>
      </c>
      <c r="AC113" s="491">
        <v>0</v>
      </c>
      <c r="AD113" s="491">
        <v>0</v>
      </c>
      <c r="AE113" s="489">
        <v>5</v>
      </c>
      <c r="AF113" s="490">
        <v>106807324.67</v>
      </c>
      <c r="AG113" s="490">
        <v>0</v>
      </c>
      <c r="AH113" s="491">
        <v>0.9998503292066967</v>
      </c>
      <c r="AI113" s="491">
        <v>0</v>
      </c>
      <c r="AJ113" s="491">
        <v>0</v>
      </c>
    </row>
    <row r="114" spans="2:36" ht="25.5" x14ac:dyDescent="0.25">
      <c r="B114" s="489" t="s">
        <v>287</v>
      </c>
      <c r="C114" s="489" t="s">
        <v>542</v>
      </c>
      <c r="D114" s="489" t="s">
        <v>345</v>
      </c>
      <c r="E114" s="489" t="s">
        <v>491</v>
      </c>
      <c r="F114" s="490">
        <v>106823313</v>
      </c>
      <c r="G114" s="490">
        <v>0</v>
      </c>
      <c r="H114" s="562">
        <v>0</v>
      </c>
      <c r="I114" s="563"/>
      <c r="J114" s="490">
        <v>106823313</v>
      </c>
      <c r="K114" s="490">
        <v>106807324.67</v>
      </c>
      <c r="L114" s="490">
        <v>0</v>
      </c>
      <c r="M114" s="491">
        <v>0.9998503292066967</v>
      </c>
      <c r="N114" s="491">
        <v>0</v>
      </c>
      <c r="O114" s="564">
        <v>0</v>
      </c>
      <c r="P114" s="565"/>
      <c r="Q114" s="566"/>
      <c r="R114" s="489">
        <v>5</v>
      </c>
      <c r="S114" s="490">
        <v>106807324.67</v>
      </c>
      <c r="T114" s="490">
        <v>0</v>
      </c>
      <c r="U114" s="491">
        <v>0.9998503292066967</v>
      </c>
      <c r="V114" s="491">
        <v>0</v>
      </c>
      <c r="W114" s="491">
        <v>0</v>
      </c>
      <c r="X114" s="489">
        <v>5</v>
      </c>
      <c r="Y114" s="490">
        <v>106807324.67</v>
      </c>
      <c r="Z114" s="490">
        <v>0</v>
      </c>
      <c r="AB114" s="491">
        <v>0.9998503292066967</v>
      </c>
      <c r="AC114" s="491">
        <v>0</v>
      </c>
      <c r="AD114" s="491">
        <v>0</v>
      </c>
      <c r="AE114" s="489">
        <v>5</v>
      </c>
      <c r="AF114" s="490">
        <v>106807324.67</v>
      </c>
      <c r="AG114" s="490">
        <v>0</v>
      </c>
      <c r="AH114" s="491">
        <v>0.9998503292066967</v>
      </c>
      <c r="AI114" s="491">
        <v>0</v>
      </c>
      <c r="AJ114" s="491">
        <v>0</v>
      </c>
    </row>
    <row r="115" spans="2:36" ht="25.5" x14ac:dyDescent="0.25">
      <c r="B115" s="489" t="s">
        <v>288</v>
      </c>
      <c r="C115" s="489" t="s">
        <v>612</v>
      </c>
      <c r="D115" s="489"/>
      <c r="E115" s="489" t="s">
        <v>491</v>
      </c>
      <c r="F115" s="490">
        <v>0</v>
      </c>
      <c r="G115" s="490">
        <v>0</v>
      </c>
      <c r="H115" s="562">
        <v>0</v>
      </c>
      <c r="I115" s="563"/>
      <c r="J115" s="490">
        <v>0</v>
      </c>
      <c r="K115" s="490">
        <v>0</v>
      </c>
      <c r="L115" s="490">
        <v>0</v>
      </c>
      <c r="M115" s="491">
        <v>0</v>
      </c>
      <c r="N115" s="491">
        <v>0</v>
      </c>
      <c r="O115" s="564">
        <v>0</v>
      </c>
      <c r="P115" s="565"/>
      <c r="Q115" s="566"/>
      <c r="R115" s="489">
        <v>0</v>
      </c>
      <c r="S115" s="490">
        <v>0</v>
      </c>
      <c r="T115" s="490">
        <v>0</v>
      </c>
      <c r="U115" s="491">
        <v>0</v>
      </c>
      <c r="V115" s="491">
        <v>0</v>
      </c>
      <c r="W115" s="491">
        <v>0</v>
      </c>
      <c r="X115" s="489">
        <v>0</v>
      </c>
      <c r="Y115" s="490">
        <v>0</v>
      </c>
      <c r="Z115" s="490">
        <v>0</v>
      </c>
      <c r="AB115" s="491">
        <v>0</v>
      </c>
      <c r="AC115" s="491">
        <v>0</v>
      </c>
      <c r="AD115" s="491">
        <v>0</v>
      </c>
      <c r="AE115" s="489">
        <v>0</v>
      </c>
      <c r="AF115" s="490">
        <v>0</v>
      </c>
      <c r="AG115" s="490">
        <v>0</v>
      </c>
      <c r="AH115" s="491">
        <v>0</v>
      </c>
      <c r="AI115" s="491">
        <v>0</v>
      </c>
      <c r="AJ115" s="491">
        <v>0</v>
      </c>
    </row>
    <row r="116" spans="2:36" ht="25.5" x14ac:dyDescent="0.25">
      <c r="B116" s="489" t="s">
        <v>441</v>
      </c>
      <c r="C116" s="489" t="s">
        <v>543</v>
      </c>
      <c r="D116" s="489" t="s">
        <v>345</v>
      </c>
      <c r="E116" s="489" t="s">
        <v>491</v>
      </c>
      <c r="F116" s="490">
        <v>49756932</v>
      </c>
      <c r="G116" s="490">
        <v>0</v>
      </c>
      <c r="H116" s="562">
        <v>0</v>
      </c>
      <c r="I116" s="563"/>
      <c r="J116" s="490">
        <v>49756932</v>
      </c>
      <c r="K116" s="490">
        <v>44979146.530000001</v>
      </c>
      <c r="L116" s="490">
        <v>0</v>
      </c>
      <c r="M116" s="491">
        <v>0.9039774906137702</v>
      </c>
      <c r="N116" s="491">
        <v>0</v>
      </c>
      <c r="O116" s="564">
        <v>0</v>
      </c>
      <c r="P116" s="565"/>
      <c r="Q116" s="566"/>
      <c r="R116" s="489">
        <v>9</v>
      </c>
      <c r="S116" s="490">
        <v>44979146.530000001</v>
      </c>
      <c r="T116" s="490">
        <v>0</v>
      </c>
      <c r="U116" s="491">
        <v>0.9039774906137702</v>
      </c>
      <c r="V116" s="491">
        <v>0</v>
      </c>
      <c r="W116" s="491">
        <v>0</v>
      </c>
      <c r="X116" s="489">
        <v>9</v>
      </c>
      <c r="Y116" s="490">
        <v>44979146.530000001</v>
      </c>
      <c r="Z116" s="490">
        <v>0</v>
      </c>
      <c r="AB116" s="491">
        <v>0.9039774906137702</v>
      </c>
      <c r="AC116" s="491">
        <v>0</v>
      </c>
      <c r="AD116" s="491">
        <v>0</v>
      </c>
      <c r="AE116" s="489">
        <v>9</v>
      </c>
      <c r="AF116" s="490">
        <v>45578674.630000003</v>
      </c>
      <c r="AG116" s="490">
        <v>0</v>
      </c>
      <c r="AH116" s="491">
        <v>0.91602662780735755</v>
      </c>
      <c r="AI116" s="491">
        <v>0</v>
      </c>
      <c r="AJ116" s="491">
        <v>0</v>
      </c>
    </row>
    <row r="117" spans="2:36" ht="25.5" x14ac:dyDescent="0.25">
      <c r="B117" s="489" t="s">
        <v>289</v>
      </c>
      <c r="C117" s="489" t="s">
        <v>194</v>
      </c>
      <c r="D117" s="489"/>
      <c r="E117" s="489" t="s">
        <v>491</v>
      </c>
      <c r="F117" s="490">
        <v>0</v>
      </c>
      <c r="G117" s="490">
        <v>0</v>
      </c>
      <c r="H117" s="562">
        <v>0</v>
      </c>
      <c r="I117" s="563"/>
      <c r="J117" s="490">
        <v>0</v>
      </c>
      <c r="K117" s="490">
        <v>0</v>
      </c>
      <c r="L117" s="490">
        <v>0</v>
      </c>
      <c r="M117" s="491">
        <v>0</v>
      </c>
      <c r="N117" s="491">
        <v>0</v>
      </c>
      <c r="O117" s="564">
        <v>0</v>
      </c>
      <c r="P117" s="565"/>
      <c r="Q117" s="566"/>
      <c r="R117" s="489">
        <v>0</v>
      </c>
      <c r="S117" s="490">
        <v>0</v>
      </c>
      <c r="T117" s="490">
        <v>0</v>
      </c>
      <c r="U117" s="491">
        <v>0</v>
      </c>
      <c r="V117" s="491">
        <v>0</v>
      </c>
      <c r="W117" s="491">
        <v>0</v>
      </c>
      <c r="X117" s="489">
        <v>0</v>
      </c>
      <c r="Y117" s="490">
        <v>0</v>
      </c>
      <c r="Z117" s="490">
        <v>0</v>
      </c>
      <c r="AB117" s="491">
        <v>0</v>
      </c>
      <c r="AC117" s="491">
        <v>0</v>
      </c>
      <c r="AD117" s="491">
        <v>0</v>
      </c>
      <c r="AE117" s="489">
        <v>0</v>
      </c>
      <c r="AF117" s="490">
        <v>0</v>
      </c>
      <c r="AG117" s="490">
        <v>0</v>
      </c>
      <c r="AH117" s="491">
        <v>0</v>
      </c>
      <c r="AI117" s="491">
        <v>0</v>
      </c>
      <c r="AJ117" s="491">
        <v>0</v>
      </c>
    </row>
    <row r="118" spans="2:36" ht="25.5" x14ac:dyDescent="0.25">
      <c r="B118" s="489" t="s">
        <v>290</v>
      </c>
      <c r="C118" s="489" t="s">
        <v>195</v>
      </c>
      <c r="D118" s="489" t="s">
        <v>345</v>
      </c>
      <c r="E118" s="489" t="s">
        <v>491</v>
      </c>
      <c r="F118" s="490">
        <v>49756932</v>
      </c>
      <c r="G118" s="490">
        <v>0</v>
      </c>
      <c r="H118" s="562">
        <v>0</v>
      </c>
      <c r="I118" s="563"/>
      <c r="J118" s="490">
        <v>49756932</v>
      </c>
      <c r="K118" s="490">
        <v>44979146.530000001</v>
      </c>
      <c r="L118" s="490">
        <v>0</v>
      </c>
      <c r="M118" s="491">
        <v>0.9039774906137702</v>
      </c>
      <c r="N118" s="491">
        <v>0</v>
      </c>
      <c r="O118" s="564">
        <v>0</v>
      </c>
      <c r="P118" s="565"/>
      <c r="Q118" s="566"/>
      <c r="R118" s="489">
        <v>9</v>
      </c>
      <c r="S118" s="490">
        <v>44979146.530000001</v>
      </c>
      <c r="T118" s="490">
        <v>0</v>
      </c>
      <c r="U118" s="491">
        <v>0.9039774906137702</v>
      </c>
      <c r="V118" s="491">
        <v>0</v>
      </c>
      <c r="W118" s="491">
        <v>0</v>
      </c>
      <c r="X118" s="489">
        <v>9</v>
      </c>
      <c r="Y118" s="490">
        <v>44979146.530000001</v>
      </c>
      <c r="Z118" s="490">
        <v>0</v>
      </c>
      <c r="AB118" s="491">
        <v>0.9039774906137702</v>
      </c>
      <c r="AC118" s="491">
        <v>0</v>
      </c>
      <c r="AD118" s="491">
        <v>0</v>
      </c>
      <c r="AE118" s="489">
        <v>9</v>
      </c>
      <c r="AF118" s="490">
        <v>45578674.630000003</v>
      </c>
      <c r="AG118" s="490">
        <v>0</v>
      </c>
      <c r="AH118" s="491">
        <v>0.91602662780735755</v>
      </c>
      <c r="AI118" s="491">
        <v>0</v>
      </c>
      <c r="AJ118" s="491">
        <v>0</v>
      </c>
    </row>
    <row r="119" spans="2:36" ht="25.5" x14ac:dyDescent="0.25">
      <c r="B119" s="489" t="s">
        <v>291</v>
      </c>
      <c r="C119" s="489" t="s">
        <v>81</v>
      </c>
      <c r="D119" s="489" t="s">
        <v>345</v>
      </c>
      <c r="E119" s="489" t="s">
        <v>491</v>
      </c>
      <c r="F119" s="490">
        <v>257791486</v>
      </c>
      <c r="G119" s="490">
        <v>0</v>
      </c>
      <c r="H119" s="562">
        <v>0</v>
      </c>
      <c r="I119" s="563"/>
      <c r="J119" s="490">
        <v>257791486</v>
      </c>
      <c r="K119" s="490">
        <v>252454762.66999999</v>
      </c>
      <c r="L119" s="490">
        <v>0</v>
      </c>
      <c r="M119" s="491">
        <v>0.97929829486300413</v>
      </c>
      <c r="N119" s="491">
        <v>0</v>
      </c>
      <c r="O119" s="564">
        <v>0</v>
      </c>
      <c r="P119" s="565"/>
      <c r="Q119" s="566"/>
      <c r="R119" s="489">
        <v>24</v>
      </c>
      <c r="S119" s="490">
        <v>252454762.66999999</v>
      </c>
      <c r="T119" s="490">
        <v>0</v>
      </c>
      <c r="U119" s="491">
        <v>0.97929829486300413</v>
      </c>
      <c r="V119" s="491">
        <v>0</v>
      </c>
      <c r="W119" s="491">
        <v>0</v>
      </c>
      <c r="X119" s="489">
        <v>24</v>
      </c>
      <c r="Y119" s="490">
        <v>252454762.66999999</v>
      </c>
      <c r="Z119" s="490">
        <v>0</v>
      </c>
      <c r="AB119" s="491">
        <v>0.97929829486300413</v>
      </c>
      <c r="AC119" s="491">
        <v>0</v>
      </c>
      <c r="AD119" s="491">
        <v>0</v>
      </c>
      <c r="AE119" s="489">
        <v>24</v>
      </c>
      <c r="AF119" s="490">
        <v>251921771.31</v>
      </c>
      <c r="AG119" s="490">
        <v>0</v>
      </c>
      <c r="AH119" s="491">
        <v>0.9772307659144337</v>
      </c>
      <c r="AI119" s="491">
        <v>0</v>
      </c>
      <c r="AJ119" s="491">
        <v>0</v>
      </c>
    </row>
    <row r="120" spans="2:36" ht="25.5" x14ac:dyDescent="0.25">
      <c r="B120" s="489" t="s">
        <v>1295</v>
      </c>
      <c r="C120" s="489" t="s">
        <v>1296</v>
      </c>
      <c r="D120" s="489" t="s">
        <v>345</v>
      </c>
      <c r="E120" s="489" t="s">
        <v>491</v>
      </c>
      <c r="F120" s="490">
        <v>5000000</v>
      </c>
      <c r="G120" s="490">
        <v>0</v>
      </c>
      <c r="H120" s="562">
        <v>0</v>
      </c>
      <c r="I120" s="563"/>
      <c r="J120" s="490">
        <v>5000000</v>
      </c>
      <c r="K120" s="490">
        <v>4167215.19</v>
      </c>
      <c r="L120" s="490">
        <v>0</v>
      </c>
      <c r="M120" s="491">
        <v>0.83344303799999997</v>
      </c>
      <c r="N120" s="491">
        <v>0</v>
      </c>
      <c r="O120" s="564">
        <v>0</v>
      </c>
      <c r="P120" s="565"/>
      <c r="Q120" s="566"/>
      <c r="R120" s="489">
        <v>1</v>
      </c>
      <c r="S120" s="490">
        <v>4167215.19</v>
      </c>
      <c r="T120" s="490">
        <v>0</v>
      </c>
      <c r="U120" s="491">
        <v>0.83344303799999997</v>
      </c>
      <c r="V120" s="491">
        <v>0</v>
      </c>
      <c r="W120" s="491">
        <v>0</v>
      </c>
      <c r="X120" s="489">
        <v>1</v>
      </c>
      <c r="Y120" s="490">
        <v>4167215.19</v>
      </c>
      <c r="Z120" s="490">
        <v>0</v>
      </c>
      <c r="AB120" s="491">
        <v>0.83344303799999997</v>
      </c>
      <c r="AC120" s="491">
        <v>0</v>
      </c>
      <c r="AD120" s="491">
        <v>0</v>
      </c>
      <c r="AE120" s="489">
        <v>1</v>
      </c>
      <c r="AF120" s="490">
        <v>4167215.19</v>
      </c>
      <c r="AG120" s="490">
        <v>0</v>
      </c>
      <c r="AH120" s="491">
        <v>0.83344303799999997</v>
      </c>
      <c r="AI120" s="491">
        <v>0</v>
      </c>
      <c r="AJ120" s="491">
        <v>0</v>
      </c>
    </row>
    <row r="121" spans="2:36" ht="25.5" x14ac:dyDescent="0.25">
      <c r="B121" s="489" t="s">
        <v>1343</v>
      </c>
      <c r="C121" s="489" t="s">
        <v>1344</v>
      </c>
      <c r="D121" s="489" t="s">
        <v>345</v>
      </c>
      <c r="E121" s="489" t="s">
        <v>491</v>
      </c>
      <c r="F121" s="490">
        <v>24800000</v>
      </c>
      <c r="G121" s="490">
        <v>0</v>
      </c>
      <c r="H121" s="562">
        <v>0</v>
      </c>
      <c r="I121" s="563"/>
      <c r="J121" s="490">
        <v>24800000</v>
      </c>
      <c r="K121" s="490">
        <v>22454156.460000001</v>
      </c>
      <c r="L121" s="490">
        <v>0</v>
      </c>
      <c r="M121" s="491">
        <v>0.90540953467741936</v>
      </c>
      <c r="N121" s="491">
        <v>0</v>
      </c>
      <c r="O121" s="564">
        <v>0</v>
      </c>
      <c r="P121" s="565"/>
      <c r="Q121" s="566"/>
      <c r="R121" s="489">
        <v>2</v>
      </c>
      <c r="S121" s="490">
        <v>22454156.460000001</v>
      </c>
      <c r="T121" s="490">
        <v>0</v>
      </c>
      <c r="U121" s="491">
        <v>0.90540953467741936</v>
      </c>
      <c r="V121" s="491">
        <v>0</v>
      </c>
      <c r="W121" s="491">
        <v>0</v>
      </c>
      <c r="X121" s="489">
        <v>2</v>
      </c>
      <c r="Y121" s="490">
        <v>22454156.460000001</v>
      </c>
      <c r="Z121" s="490">
        <v>0</v>
      </c>
      <c r="AB121" s="491">
        <v>0.90540953467741936</v>
      </c>
      <c r="AC121" s="491">
        <v>0</v>
      </c>
      <c r="AD121" s="491">
        <v>0</v>
      </c>
      <c r="AE121" s="489">
        <v>2</v>
      </c>
      <c r="AF121" s="490">
        <v>22454156.460000001</v>
      </c>
      <c r="AG121" s="490">
        <v>0</v>
      </c>
      <c r="AH121" s="491">
        <v>0.90540953467741936</v>
      </c>
      <c r="AI121" s="491">
        <v>0</v>
      </c>
      <c r="AJ121" s="491">
        <v>0</v>
      </c>
    </row>
    <row r="122" spans="2:36" ht="25.5" x14ac:dyDescent="0.25">
      <c r="B122" s="489" t="s">
        <v>1338</v>
      </c>
      <c r="C122" s="489" t="s">
        <v>1341</v>
      </c>
      <c r="D122" s="489" t="s">
        <v>345</v>
      </c>
      <c r="E122" s="489" t="s">
        <v>491</v>
      </c>
      <c r="F122" s="490">
        <v>23800000</v>
      </c>
      <c r="G122" s="490">
        <v>0</v>
      </c>
      <c r="H122" s="562">
        <v>0</v>
      </c>
      <c r="I122" s="563"/>
      <c r="J122" s="490">
        <v>23800000</v>
      </c>
      <c r="K122" s="490">
        <v>21501368.760000002</v>
      </c>
      <c r="L122" s="490">
        <v>0</v>
      </c>
      <c r="M122" s="491">
        <v>0.90341885546218492</v>
      </c>
      <c r="N122" s="491">
        <v>0</v>
      </c>
      <c r="O122" s="564">
        <v>0</v>
      </c>
      <c r="P122" s="565"/>
      <c r="Q122" s="566"/>
      <c r="R122" s="489">
        <v>1</v>
      </c>
      <c r="S122" s="490">
        <v>21501368.760000002</v>
      </c>
      <c r="T122" s="490">
        <v>0</v>
      </c>
      <c r="U122" s="491">
        <v>0.90341885546218492</v>
      </c>
      <c r="V122" s="491">
        <v>0</v>
      </c>
      <c r="W122" s="491">
        <v>0</v>
      </c>
      <c r="X122" s="489">
        <v>1</v>
      </c>
      <c r="Y122" s="490">
        <v>21501368.760000002</v>
      </c>
      <c r="Z122" s="490">
        <v>0</v>
      </c>
      <c r="AB122" s="491">
        <v>0.90341885546218492</v>
      </c>
      <c r="AC122" s="491">
        <v>0</v>
      </c>
      <c r="AD122" s="491">
        <v>0</v>
      </c>
      <c r="AE122" s="489">
        <v>1</v>
      </c>
      <c r="AF122" s="490">
        <v>21501368.760000002</v>
      </c>
      <c r="AG122" s="490">
        <v>0</v>
      </c>
      <c r="AH122" s="491">
        <v>0.90341885546218492</v>
      </c>
      <c r="AI122" s="491">
        <v>0</v>
      </c>
      <c r="AJ122" s="491">
        <v>0</v>
      </c>
    </row>
    <row r="123" spans="2:36" ht="51" x14ac:dyDescent="0.25">
      <c r="B123" s="489" t="s">
        <v>1339</v>
      </c>
      <c r="C123" s="489" t="s">
        <v>1540</v>
      </c>
      <c r="D123" s="489" t="s">
        <v>345</v>
      </c>
      <c r="E123" s="489" t="s">
        <v>491</v>
      </c>
      <c r="F123" s="490">
        <v>1000000</v>
      </c>
      <c r="G123" s="490">
        <v>0</v>
      </c>
      <c r="H123" s="562">
        <v>0</v>
      </c>
      <c r="I123" s="563"/>
      <c r="J123" s="490">
        <v>1000000</v>
      </c>
      <c r="K123" s="490">
        <v>952787.7</v>
      </c>
      <c r="L123" s="490">
        <v>0</v>
      </c>
      <c r="M123" s="491">
        <v>0.95278770000000002</v>
      </c>
      <c r="N123" s="491">
        <v>0</v>
      </c>
      <c r="O123" s="564">
        <v>0</v>
      </c>
      <c r="P123" s="565"/>
      <c r="Q123" s="566"/>
      <c r="R123" s="489">
        <v>1</v>
      </c>
      <c r="S123" s="490">
        <v>952787.7</v>
      </c>
      <c r="T123" s="490">
        <v>0</v>
      </c>
      <c r="U123" s="491">
        <v>0.95278770000000002</v>
      </c>
      <c r="V123" s="491">
        <v>0</v>
      </c>
      <c r="W123" s="491">
        <v>0</v>
      </c>
      <c r="X123" s="489">
        <v>1</v>
      </c>
      <c r="Y123" s="490">
        <v>952787.7</v>
      </c>
      <c r="Z123" s="490">
        <v>0</v>
      </c>
      <c r="AB123" s="491">
        <v>0.95278770000000002</v>
      </c>
      <c r="AC123" s="491">
        <v>0</v>
      </c>
      <c r="AD123" s="491">
        <v>0</v>
      </c>
      <c r="AE123" s="489">
        <v>1</v>
      </c>
      <c r="AF123" s="490">
        <v>952787.7</v>
      </c>
      <c r="AG123" s="490">
        <v>0</v>
      </c>
      <c r="AH123" s="491">
        <v>0.95278770000000002</v>
      </c>
      <c r="AI123" s="491">
        <v>0</v>
      </c>
      <c r="AJ123" s="491">
        <v>0</v>
      </c>
    </row>
    <row r="124" spans="2:36" ht="38.25" x14ac:dyDescent="0.25">
      <c r="B124" s="489" t="s">
        <v>544</v>
      </c>
      <c r="C124" s="489" t="s">
        <v>545</v>
      </c>
      <c r="D124" s="489"/>
      <c r="E124" s="489"/>
      <c r="F124" s="490">
        <v>123087758</v>
      </c>
      <c r="G124" s="490">
        <v>0</v>
      </c>
      <c r="H124" s="562">
        <v>0</v>
      </c>
      <c r="I124" s="563"/>
      <c r="J124" s="490">
        <v>123087758</v>
      </c>
      <c r="K124" s="490">
        <v>61815726.850000001</v>
      </c>
      <c r="L124" s="490">
        <v>0</v>
      </c>
      <c r="M124" s="491">
        <v>0.50220856935260771</v>
      </c>
      <c r="N124" s="491">
        <v>0</v>
      </c>
      <c r="O124" s="564">
        <v>0</v>
      </c>
      <c r="P124" s="565"/>
      <c r="Q124" s="566"/>
      <c r="R124" s="489">
        <v>3</v>
      </c>
      <c r="S124" s="490">
        <v>61815726.850000001</v>
      </c>
      <c r="T124" s="490">
        <v>0</v>
      </c>
      <c r="U124" s="491">
        <v>0.50220856935260771</v>
      </c>
      <c r="V124" s="491">
        <v>0</v>
      </c>
      <c r="W124" s="491">
        <v>0</v>
      </c>
      <c r="X124" s="489">
        <v>3</v>
      </c>
      <c r="Y124" s="490">
        <v>61815726.850000001</v>
      </c>
      <c r="Z124" s="490">
        <v>0</v>
      </c>
      <c r="AB124" s="491">
        <v>0.50220856935260771</v>
      </c>
      <c r="AC124" s="491">
        <v>0</v>
      </c>
      <c r="AD124" s="491">
        <v>0</v>
      </c>
      <c r="AE124" s="489">
        <v>3</v>
      </c>
      <c r="AF124" s="490">
        <v>61815726.850000001</v>
      </c>
      <c r="AG124" s="490">
        <v>0</v>
      </c>
      <c r="AH124" s="491">
        <v>0.50220856935260771</v>
      </c>
      <c r="AI124" s="491">
        <v>0</v>
      </c>
      <c r="AJ124" s="491">
        <v>0</v>
      </c>
    </row>
    <row r="125" spans="2:36" ht="38.25" x14ac:dyDescent="0.25">
      <c r="B125" s="489" t="s">
        <v>442</v>
      </c>
      <c r="C125" s="489" t="s">
        <v>546</v>
      </c>
      <c r="D125" s="489" t="s">
        <v>345</v>
      </c>
      <c r="E125" s="489" t="s">
        <v>491</v>
      </c>
      <c r="F125" s="490">
        <v>123087758</v>
      </c>
      <c r="G125" s="490">
        <v>0</v>
      </c>
      <c r="H125" s="562">
        <v>0</v>
      </c>
      <c r="I125" s="563"/>
      <c r="J125" s="490">
        <v>123087758</v>
      </c>
      <c r="K125" s="490">
        <v>61815726.850000001</v>
      </c>
      <c r="L125" s="490">
        <v>0</v>
      </c>
      <c r="M125" s="491">
        <v>0.50220856935260771</v>
      </c>
      <c r="N125" s="491">
        <v>0</v>
      </c>
      <c r="O125" s="564">
        <v>0</v>
      </c>
      <c r="P125" s="565"/>
      <c r="Q125" s="566"/>
      <c r="R125" s="489">
        <v>3</v>
      </c>
      <c r="S125" s="490">
        <v>61815726.850000001</v>
      </c>
      <c r="T125" s="490">
        <v>0</v>
      </c>
      <c r="U125" s="491">
        <v>0.50220856935260771</v>
      </c>
      <c r="V125" s="491">
        <v>0</v>
      </c>
      <c r="W125" s="491">
        <v>0</v>
      </c>
      <c r="X125" s="489">
        <v>3</v>
      </c>
      <c r="Y125" s="490">
        <v>61815726.850000001</v>
      </c>
      <c r="Z125" s="490">
        <v>0</v>
      </c>
      <c r="AB125" s="491">
        <v>0.50220856935260771</v>
      </c>
      <c r="AC125" s="491">
        <v>0</v>
      </c>
      <c r="AD125" s="491">
        <v>0</v>
      </c>
      <c r="AE125" s="489">
        <v>3</v>
      </c>
      <c r="AF125" s="490">
        <v>61815726.850000001</v>
      </c>
      <c r="AG125" s="490">
        <v>0</v>
      </c>
      <c r="AH125" s="491">
        <v>0.50220856935260771</v>
      </c>
      <c r="AI125" s="491">
        <v>0</v>
      </c>
      <c r="AJ125" s="491">
        <v>0</v>
      </c>
    </row>
    <row r="126" spans="2:36" ht="25.5" x14ac:dyDescent="0.25">
      <c r="B126" s="489" t="s">
        <v>292</v>
      </c>
      <c r="C126" s="489" t="s">
        <v>196</v>
      </c>
      <c r="D126" s="489"/>
      <c r="E126" s="489" t="s">
        <v>491</v>
      </c>
      <c r="F126" s="490">
        <v>0</v>
      </c>
      <c r="G126" s="490">
        <v>0</v>
      </c>
      <c r="H126" s="562">
        <v>0</v>
      </c>
      <c r="I126" s="563"/>
      <c r="J126" s="490">
        <v>0</v>
      </c>
      <c r="K126" s="490">
        <v>0</v>
      </c>
      <c r="L126" s="490">
        <v>0</v>
      </c>
      <c r="M126" s="491">
        <v>0</v>
      </c>
      <c r="N126" s="491">
        <v>0</v>
      </c>
      <c r="O126" s="564">
        <v>0</v>
      </c>
      <c r="P126" s="565"/>
      <c r="Q126" s="566"/>
      <c r="R126" s="489">
        <v>0</v>
      </c>
      <c r="S126" s="490">
        <v>0</v>
      </c>
      <c r="T126" s="490">
        <v>0</v>
      </c>
      <c r="U126" s="491">
        <v>0</v>
      </c>
      <c r="V126" s="491">
        <v>0</v>
      </c>
      <c r="W126" s="491">
        <v>0</v>
      </c>
      <c r="X126" s="489">
        <v>0</v>
      </c>
      <c r="Y126" s="490">
        <v>0</v>
      </c>
      <c r="Z126" s="490">
        <v>0</v>
      </c>
      <c r="AB126" s="491">
        <v>0</v>
      </c>
      <c r="AC126" s="491">
        <v>0</v>
      </c>
      <c r="AD126" s="491">
        <v>0</v>
      </c>
      <c r="AE126" s="489">
        <v>0</v>
      </c>
      <c r="AF126" s="490">
        <v>0</v>
      </c>
      <c r="AG126" s="490">
        <v>0</v>
      </c>
      <c r="AH126" s="491">
        <v>0</v>
      </c>
      <c r="AI126" s="491">
        <v>0</v>
      </c>
      <c r="AJ126" s="491">
        <v>0</v>
      </c>
    </row>
    <row r="127" spans="2:36" ht="25.5" x14ac:dyDescent="0.25">
      <c r="B127" s="489" t="s">
        <v>293</v>
      </c>
      <c r="C127" s="489" t="s">
        <v>197</v>
      </c>
      <c r="D127" s="489" t="s">
        <v>345</v>
      </c>
      <c r="E127" s="489" t="s">
        <v>491</v>
      </c>
      <c r="F127" s="490">
        <v>123087758</v>
      </c>
      <c r="G127" s="490">
        <v>0</v>
      </c>
      <c r="H127" s="562">
        <v>0</v>
      </c>
      <c r="I127" s="563"/>
      <c r="J127" s="490">
        <v>123087758</v>
      </c>
      <c r="K127" s="490">
        <v>61815726.850000001</v>
      </c>
      <c r="L127" s="490">
        <v>0</v>
      </c>
      <c r="M127" s="491">
        <v>0.50220856935260771</v>
      </c>
      <c r="N127" s="491">
        <v>0</v>
      </c>
      <c r="O127" s="564">
        <v>0</v>
      </c>
      <c r="P127" s="565"/>
      <c r="Q127" s="566"/>
      <c r="R127" s="489">
        <v>3</v>
      </c>
      <c r="S127" s="490">
        <v>61815726.850000001</v>
      </c>
      <c r="T127" s="490">
        <v>0</v>
      </c>
      <c r="U127" s="491">
        <v>0.50220856935260771</v>
      </c>
      <c r="V127" s="491">
        <v>0</v>
      </c>
      <c r="W127" s="491">
        <v>0</v>
      </c>
      <c r="X127" s="489">
        <v>3</v>
      </c>
      <c r="Y127" s="490">
        <v>61815726.850000001</v>
      </c>
      <c r="Z127" s="490">
        <v>0</v>
      </c>
      <c r="AB127" s="491">
        <v>0.50220856935260771</v>
      </c>
      <c r="AC127" s="491">
        <v>0</v>
      </c>
      <c r="AD127" s="491">
        <v>0</v>
      </c>
      <c r="AE127" s="489">
        <v>3</v>
      </c>
      <c r="AF127" s="490">
        <v>61815726.850000001</v>
      </c>
      <c r="AG127" s="490">
        <v>0</v>
      </c>
      <c r="AH127" s="491">
        <v>0.50220856935260771</v>
      </c>
      <c r="AI127" s="491">
        <v>0</v>
      </c>
      <c r="AJ127" s="491">
        <v>0</v>
      </c>
    </row>
    <row r="128" spans="2:36" ht="38.25" x14ac:dyDescent="0.25">
      <c r="B128" s="489" t="s">
        <v>547</v>
      </c>
      <c r="C128" s="489" t="s">
        <v>548</v>
      </c>
      <c r="D128" s="489"/>
      <c r="E128" s="489"/>
      <c r="F128" s="490">
        <v>235477563</v>
      </c>
      <c r="G128" s="490">
        <v>0</v>
      </c>
      <c r="H128" s="562">
        <v>0</v>
      </c>
      <c r="I128" s="563"/>
      <c r="J128" s="490">
        <v>235477563</v>
      </c>
      <c r="K128" s="490">
        <v>229698412.16999999</v>
      </c>
      <c r="L128" s="490">
        <v>0</v>
      </c>
      <c r="M128" s="491">
        <v>0.97545774316510991</v>
      </c>
      <c r="N128" s="491">
        <v>0</v>
      </c>
      <c r="O128" s="564">
        <v>0</v>
      </c>
      <c r="P128" s="565"/>
      <c r="Q128" s="566"/>
      <c r="R128" s="489">
        <v>37</v>
      </c>
      <c r="S128" s="490">
        <v>229698412.16999999</v>
      </c>
      <c r="T128" s="490">
        <v>0</v>
      </c>
      <c r="U128" s="491">
        <v>0.97545774316510991</v>
      </c>
      <c r="V128" s="491">
        <v>0</v>
      </c>
      <c r="W128" s="491">
        <v>0</v>
      </c>
      <c r="X128" s="489">
        <v>37</v>
      </c>
      <c r="Y128" s="490">
        <v>229698412.16999999</v>
      </c>
      <c r="Z128" s="490">
        <v>0</v>
      </c>
      <c r="AB128" s="491">
        <v>0.97545774316510991</v>
      </c>
      <c r="AC128" s="491">
        <v>0</v>
      </c>
      <c r="AD128" s="491">
        <v>0</v>
      </c>
      <c r="AE128" s="489">
        <v>37</v>
      </c>
      <c r="AF128" s="490">
        <v>229360295.77000001</v>
      </c>
      <c r="AG128" s="490">
        <v>0</v>
      </c>
      <c r="AH128" s="491">
        <v>0.97402186793482315</v>
      </c>
      <c r="AI128" s="491">
        <v>0</v>
      </c>
      <c r="AJ128" s="491">
        <v>0</v>
      </c>
    </row>
    <row r="129" spans="2:36" ht="25.5" x14ac:dyDescent="0.25">
      <c r="B129" s="489" t="s">
        <v>294</v>
      </c>
      <c r="C129" s="489" t="s">
        <v>85</v>
      </c>
      <c r="D129" s="489" t="s">
        <v>344</v>
      </c>
      <c r="E129" s="489" t="s">
        <v>491</v>
      </c>
      <c r="F129" s="490">
        <v>235477563</v>
      </c>
      <c r="G129" s="490">
        <v>0</v>
      </c>
      <c r="H129" s="562">
        <v>0</v>
      </c>
      <c r="I129" s="563"/>
      <c r="J129" s="490">
        <v>235477563</v>
      </c>
      <c r="K129" s="490">
        <v>229698412.16999999</v>
      </c>
      <c r="L129" s="490">
        <v>0</v>
      </c>
      <c r="M129" s="491">
        <v>0.97545774316510991</v>
      </c>
      <c r="N129" s="491">
        <v>0</v>
      </c>
      <c r="O129" s="564">
        <v>0</v>
      </c>
      <c r="P129" s="565"/>
      <c r="Q129" s="566"/>
      <c r="R129" s="489">
        <v>37</v>
      </c>
      <c r="S129" s="490">
        <v>229698412.16999999</v>
      </c>
      <c r="T129" s="490">
        <v>0</v>
      </c>
      <c r="U129" s="491">
        <v>0.97545774316510991</v>
      </c>
      <c r="V129" s="491">
        <v>0</v>
      </c>
      <c r="W129" s="491">
        <v>0</v>
      </c>
      <c r="X129" s="489">
        <v>37</v>
      </c>
      <c r="Y129" s="490">
        <v>229698412.16999999</v>
      </c>
      <c r="Z129" s="490">
        <v>0</v>
      </c>
      <c r="AB129" s="491">
        <v>0.97545774316510991</v>
      </c>
      <c r="AC129" s="491">
        <v>0</v>
      </c>
      <c r="AD129" s="491">
        <v>0</v>
      </c>
      <c r="AE129" s="489">
        <v>37</v>
      </c>
      <c r="AF129" s="490">
        <v>229360295.77000001</v>
      </c>
      <c r="AG129" s="490">
        <v>0</v>
      </c>
      <c r="AH129" s="491">
        <v>0.97402186793482315</v>
      </c>
      <c r="AI129" s="491">
        <v>0</v>
      </c>
      <c r="AJ129" s="491">
        <v>0</v>
      </c>
    </row>
    <row r="130" spans="2:36" x14ac:dyDescent="0.25">
      <c r="B130" s="486" t="s">
        <v>295</v>
      </c>
      <c r="C130" s="486" t="s">
        <v>549</v>
      </c>
      <c r="D130" s="486"/>
      <c r="E130" s="486"/>
      <c r="F130" s="487">
        <v>159628901</v>
      </c>
      <c r="G130" s="487">
        <v>11527850</v>
      </c>
      <c r="H130" s="567">
        <v>0</v>
      </c>
      <c r="I130" s="568"/>
      <c r="J130" s="487">
        <v>159628901</v>
      </c>
      <c r="K130" s="487">
        <v>173380708.86000001</v>
      </c>
      <c r="L130" s="487">
        <v>11270840.49</v>
      </c>
      <c r="M130" s="488">
        <v>1.0861486095177715</v>
      </c>
      <c r="N130" s="488">
        <v>0</v>
      </c>
      <c r="O130" s="559">
        <v>0</v>
      </c>
      <c r="P130" s="560"/>
      <c r="Q130" s="561"/>
      <c r="R130" s="486">
        <v>7</v>
      </c>
      <c r="S130" s="487">
        <v>173380708.86000001</v>
      </c>
      <c r="T130" s="487">
        <v>11270840.49</v>
      </c>
      <c r="U130" s="488">
        <v>1.0861486095177715</v>
      </c>
      <c r="V130" s="488">
        <v>0</v>
      </c>
      <c r="W130" s="488">
        <v>0</v>
      </c>
      <c r="X130" s="486">
        <v>7</v>
      </c>
      <c r="Y130" s="487">
        <v>173380708.86000001</v>
      </c>
      <c r="Z130" s="487">
        <v>11270840.49</v>
      </c>
      <c r="AB130" s="488">
        <v>1.0861486095177715</v>
      </c>
      <c r="AC130" s="488">
        <v>0</v>
      </c>
      <c r="AD130" s="488">
        <v>0</v>
      </c>
      <c r="AE130" s="486">
        <v>7</v>
      </c>
      <c r="AF130" s="487">
        <v>173380708.86000001</v>
      </c>
      <c r="AG130" s="487">
        <v>11270840.49</v>
      </c>
      <c r="AH130" s="488">
        <v>1.0861486095177715</v>
      </c>
      <c r="AI130" s="488">
        <v>0</v>
      </c>
      <c r="AJ130" s="488">
        <v>0</v>
      </c>
    </row>
    <row r="131" spans="2:36" ht="76.5" x14ac:dyDescent="0.25">
      <c r="B131" s="489" t="s">
        <v>550</v>
      </c>
      <c r="C131" s="489" t="s">
        <v>551</v>
      </c>
      <c r="D131" s="489"/>
      <c r="E131" s="489"/>
      <c r="F131" s="490">
        <v>100768553</v>
      </c>
      <c r="G131" s="490">
        <v>11527850</v>
      </c>
      <c r="H131" s="562">
        <v>0</v>
      </c>
      <c r="I131" s="563"/>
      <c r="J131" s="490">
        <v>100768553</v>
      </c>
      <c r="K131" s="490">
        <v>100492132.20999999</v>
      </c>
      <c r="L131" s="490">
        <v>11270840.49</v>
      </c>
      <c r="M131" s="491">
        <v>0.99725687447352751</v>
      </c>
      <c r="N131" s="491">
        <v>0</v>
      </c>
      <c r="O131" s="564">
        <v>0</v>
      </c>
      <c r="P131" s="565"/>
      <c r="Q131" s="566"/>
      <c r="R131" s="489">
        <v>3</v>
      </c>
      <c r="S131" s="490">
        <v>100492132.20999999</v>
      </c>
      <c r="T131" s="490">
        <v>11270840.49</v>
      </c>
      <c r="U131" s="491">
        <v>0.99725687447352751</v>
      </c>
      <c r="V131" s="491">
        <v>0</v>
      </c>
      <c r="W131" s="491">
        <v>0</v>
      </c>
      <c r="X131" s="489">
        <v>3</v>
      </c>
      <c r="Y131" s="490">
        <v>100492132.20999999</v>
      </c>
      <c r="Z131" s="490">
        <v>11270840.49</v>
      </c>
      <c r="AB131" s="491">
        <v>0.99725687447352751</v>
      </c>
      <c r="AC131" s="491">
        <v>0</v>
      </c>
      <c r="AD131" s="491">
        <v>0</v>
      </c>
      <c r="AE131" s="489">
        <v>3</v>
      </c>
      <c r="AF131" s="490">
        <v>100492132.20999999</v>
      </c>
      <c r="AG131" s="490">
        <v>11270840.49</v>
      </c>
      <c r="AH131" s="491">
        <v>0.99725687447352751</v>
      </c>
      <c r="AI131" s="491">
        <v>0</v>
      </c>
      <c r="AJ131" s="491">
        <v>0</v>
      </c>
    </row>
    <row r="132" spans="2:36" ht="51" x14ac:dyDescent="0.25">
      <c r="B132" s="489" t="s">
        <v>296</v>
      </c>
      <c r="C132" s="489" t="s">
        <v>1547</v>
      </c>
      <c r="D132" s="489" t="s">
        <v>346</v>
      </c>
      <c r="E132" s="489" t="s">
        <v>553</v>
      </c>
      <c r="F132" s="490">
        <v>98866286</v>
      </c>
      <c r="G132" s="490">
        <v>11527850</v>
      </c>
      <c r="H132" s="562">
        <v>0</v>
      </c>
      <c r="I132" s="563"/>
      <c r="J132" s="490">
        <v>98866286</v>
      </c>
      <c r="K132" s="490">
        <v>98604641.989999995</v>
      </c>
      <c r="L132" s="490">
        <v>11270840.49</v>
      </c>
      <c r="M132" s="491">
        <v>0.99735355680297322</v>
      </c>
      <c r="N132" s="491">
        <v>0</v>
      </c>
      <c r="O132" s="564">
        <v>0</v>
      </c>
      <c r="P132" s="565"/>
      <c r="Q132" s="566"/>
      <c r="R132" s="489">
        <v>1</v>
      </c>
      <c r="S132" s="490">
        <v>98604641.989999995</v>
      </c>
      <c r="T132" s="490">
        <v>11270840.49</v>
      </c>
      <c r="U132" s="491">
        <v>0.99735355680297322</v>
      </c>
      <c r="V132" s="491">
        <v>0</v>
      </c>
      <c r="W132" s="491">
        <v>0</v>
      </c>
      <c r="X132" s="489">
        <v>1</v>
      </c>
      <c r="Y132" s="490">
        <v>98604641.989999995</v>
      </c>
      <c r="Z132" s="490">
        <v>11270840.49</v>
      </c>
      <c r="AB132" s="491">
        <v>0.99735355680297322</v>
      </c>
      <c r="AC132" s="491">
        <v>0</v>
      </c>
      <c r="AD132" s="491">
        <v>0</v>
      </c>
      <c r="AE132" s="489">
        <v>1</v>
      </c>
      <c r="AF132" s="490">
        <v>98604641.989999995</v>
      </c>
      <c r="AG132" s="490">
        <v>11270840.49</v>
      </c>
      <c r="AH132" s="491">
        <v>0.99735355680297322</v>
      </c>
      <c r="AI132" s="491">
        <v>0</v>
      </c>
      <c r="AJ132" s="491">
        <v>0</v>
      </c>
    </row>
    <row r="133" spans="2:36" ht="38.25" x14ac:dyDescent="0.25">
      <c r="B133" s="489" t="s">
        <v>443</v>
      </c>
      <c r="C133" s="489" t="s">
        <v>554</v>
      </c>
      <c r="D133" s="489" t="s">
        <v>346</v>
      </c>
      <c r="E133" s="489" t="s">
        <v>553</v>
      </c>
      <c r="F133" s="490">
        <v>1902267</v>
      </c>
      <c r="G133" s="490">
        <v>0</v>
      </c>
      <c r="H133" s="562">
        <v>0</v>
      </c>
      <c r="I133" s="563"/>
      <c r="J133" s="490">
        <v>1902267</v>
      </c>
      <c r="K133" s="490">
        <v>1887490.22</v>
      </c>
      <c r="L133" s="490">
        <v>0</v>
      </c>
      <c r="M133" s="491">
        <v>0.99223201580009535</v>
      </c>
      <c r="N133" s="491">
        <v>0</v>
      </c>
      <c r="O133" s="564">
        <v>0</v>
      </c>
      <c r="P133" s="565"/>
      <c r="Q133" s="566"/>
      <c r="R133" s="489">
        <v>2</v>
      </c>
      <c r="S133" s="490">
        <v>1887490.22</v>
      </c>
      <c r="T133" s="490">
        <v>0</v>
      </c>
      <c r="U133" s="491">
        <v>0.99223201580009535</v>
      </c>
      <c r="V133" s="491">
        <v>0</v>
      </c>
      <c r="W133" s="491">
        <v>0</v>
      </c>
      <c r="X133" s="489">
        <v>2</v>
      </c>
      <c r="Y133" s="490">
        <v>1887490.22</v>
      </c>
      <c r="Z133" s="490">
        <v>0</v>
      </c>
      <c r="AB133" s="491">
        <v>0.99223201580009535</v>
      </c>
      <c r="AC133" s="491">
        <v>0</v>
      </c>
      <c r="AD133" s="491">
        <v>0</v>
      </c>
      <c r="AE133" s="489">
        <v>2</v>
      </c>
      <c r="AF133" s="490">
        <v>1887490.22</v>
      </c>
      <c r="AG133" s="490">
        <v>0</v>
      </c>
      <c r="AH133" s="491">
        <v>0.99223201580009535</v>
      </c>
      <c r="AI133" s="491">
        <v>0</v>
      </c>
      <c r="AJ133" s="491">
        <v>0</v>
      </c>
    </row>
    <row r="134" spans="2:36" ht="25.5" x14ac:dyDescent="0.25">
      <c r="B134" s="489" t="s">
        <v>297</v>
      </c>
      <c r="C134" s="489" t="s">
        <v>198</v>
      </c>
      <c r="D134" s="489" t="s">
        <v>346</v>
      </c>
      <c r="E134" s="489" t="s">
        <v>553</v>
      </c>
      <c r="F134" s="490">
        <v>711612</v>
      </c>
      <c r="G134" s="490">
        <v>0</v>
      </c>
      <c r="H134" s="562">
        <v>0</v>
      </c>
      <c r="I134" s="563"/>
      <c r="J134" s="490">
        <v>711612</v>
      </c>
      <c r="K134" s="490">
        <v>703641.07</v>
      </c>
      <c r="L134" s="490">
        <v>0</v>
      </c>
      <c r="M134" s="491">
        <v>0.98879876955419521</v>
      </c>
      <c r="N134" s="491">
        <v>0</v>
      </c>
      <c r="O134" s="564">
        <v>0</v>
      </c>
      <c r="P134" s="565"/>
      <c r="Q134" s="566"/>
      <c r="R134" s="489">
        <v>1</v>
      </c>
      <c r="S134" s="490">
        <v>703641.07</v>
      </c>
      <c r="T134" s="490">
        <v>0</v>
      </c>
      <c r="U134" s="491">
        <v>0.98879876955419521</v>
      </c>
      <c r="V134" s="491">
        <v>0</v>
      </c>
      <c r="W134" s="491">
        <v>0</v>
      </c>
      <c r="X134" s="489">
        <v>1</v>
      </c>
      <c r="Y134" s="490">
        <v>703641.07</v>
      </c>
      <c r="Z134" s="490">
        <v>0</v>
      </c>
      <c r="AB134" s="491">
        <v>0.98879876955419521</v>
      </c>
      <c r="AC134" s="491">
        <v>0</v>
      </c>
      <c r="AD134" s="491">
        <v>0</v>
      </c>
      <c r="AE134" s="489">
        <v>1</v>
      </c>
      <c r="AF134" s="490">
        <v>703641.07</v>
      </c>
      <c r="AG134" s="490">
        <v>0</v>
      </c>
      <c r="AH134" s="491">
        <v>0.98879876955419521</v>
      </c>
      <c r="AI134" s="491">
        <v>0</v>
      </c>
      <c r="AJ134" s="491">
        <v>0</v>
      </c>
    </row>
    <row r="135" spans="2:36" ht="25.5" x14ac:dyDescent="0.25">
      <c r="B135" s="489" t="s">
        <v>298</v>
      </c>
      <c r="C135" s="489" t="s">
        <v>199</v>
      </c>
      <c r="D135" s="489" t="s">
        <v>346</v>
      </c>
      <c r="E135" s="489" t="s">
        <v>553</v>
      </c>
      <c r="F135" s="490">
        <v>1190655</v>
      </c>
      <c r="G135" s="490">
        <v>0</v>
      </c>
      <c r="H135" s="562">
        <v>0</v>
      </c>
      <c r="I135" s="563"/>
      <c r="J135" s="490">
        <v>1190655</v>
      </c>
      <c r="K135" s="490">
        <v>1183849.1499999999</v>
      </c>
      <c r="L135" s="490">
        <v>0</v>
      </c>
      <c r="M135" s="491">
        <v>0.99428394455152835</v>
      </c>
      <c r="N135" s="491">
        <v>0</v>
      </c>
      <c r="O135" s="564">
        <v>0</v>
      </c>
      <c r="P135" s="565"/>
      <c r="Q135" s="566"/>
      <c r="R135" s="489">
        <v>1</v>
      </c>
      <c r="S135" s="490">
        <v>1183849.1499999999</v>
      </c>
      <c r="T135" s="490">
        <v>0</v>
      </c>
      <c r="U135" s="491">
        <v>0.99428394455152835</v>
      </c>
      <c r="V135" s="491">
        <v>0</v>
      </c>
      <c r="W135" s="491">
        <v>0</v>
      </c>
      <c r="X135" s="489">
        <v>1</v>
      </c>
      <c r="Y135" s="490">
        <v>1183849.1499999999</v>
      </c>
      <c r="Z135" s="490">
        <v>0</v>
      </c>
      <c r="AB135" s="491">
        <v>0.99428394455152835</v>
      </c>
      <c r="AC135" s="491">
        <v>0</v>
      </c>
      <c r="AD135" s="491">
        <v>0</v>
      </c>
      <c r="AE135" s="489">
        <v>1</v>
      </c>
      <c r="AF135" s="490">
        <v>1183849.1499999999</v>
      </c>
      <c r="AG135" s="490">
        <v>0</v>
      </c>
      <c r="AH135" s="491">
        <v>0.99428394455152835</v>
      </c>
      <c r="AI135" s="491">
        <v>0</v>
      </c>
      <c r="AJ135" s="491">
        <v>0</v>
      </c>
    </row>
    <row r="136" spans="2:36" ht="76.5" x14ac:dyDescent="0.25">
      <c r="B136" s="489" t="s">
        <v>555</v>
      </c>
      <c r="C136" s="489" t="s">
        <v>556</v>
      </c>
      <c r="D136" s="489"/>
      <c r="E136" s="489"/>
      <c r="F136" s="490">
        <v>124839295</v>
      </c>
      <c r="G136" s="490">
        <v>0</v>
      </c>
      <c r="H136" s="562">
        <v>0</v>
      </c>
      <c r="I136" s="563"/>
      <c r="J136" s="490">
        <v>124839295</v>
      </c>
      <c r="K136" s="490">
        <v>65778420.219999999</v>
      </c>
      <c r="L136" s="490">
        <v>0</v>
      </c>
      <c r="M136" s="491">
        <v>0.52690477161057336</v>
      </c>
      <c r="N136" s="491">
        <v>0</v>
      </c>
      <c r="O136" s="564">
        <v>0</v>
      </c>
      <c r="P136" s="565"/>
      <c r="Q136" s="566"/>
      <c r="R136" s="489">
        <v>2</v>
      </c>
      <c r="S136" s="490">
        <v>65778420.219999999</v>
      </c>
      <c r="T136" s="490">
        <v>0</v>
      </c>
      <c r="U136" s="491">
        <v>0.52690477161057336</v>
      </c>
      <c r="V136" s="491">
        <v>0</v>
      </c>
      <c r="W136" s="491">
        <v>0</v>
      </c>
      <c r="X136" s="489">
        <v>2</v>
      </c>
      <c r="Y136" s="490">
        <v>65778420.219999999</v>
      </c>
      <c r="Z136" s="490">
        <v>0</v>
      </c>
      <c r="AB136" s="491">
        <v>0.52690477161057336</v>
      </c>
      <c r="AC136" s="491">
        <v>0</v>
      </c>
      <c r="AD136" s="491">
        <v>0</v>
      </c>
      <c r="AE136" s="489">
        <v>2</v>
      </c>
      <c r="AF136" s="490">
        <v>65778420.219999999</v>
      </c>
      <c r="AG136" s="490">
        <v>0</v>
      </c>
      <c r="AH136" s="491">
        <v>0.52690477161057336</v>
      </c>
      <c r="AI136" s="491">
        <v>0</v>
      </c>
      <c r="AJ136" s="491">
        <v>0</v>
      </c>
    </row>
    <row r="137" spans="2:36" ht="38.25" x14ac:dyDescent="0.25">
      <c r="B137" s="489" t="s">
        <v>444</v>
      </c>
      <c r="C137" s="489" t="s">
        <v>557</v>
      </c>
      <c r="D137" s="489" t="s">
        <v>1303</v>
      </c>
      <c r="E137" s="489" t="s">
        <v>553</v>
      </c>
      <c r="F137" s="490">
        <v>29010639</v>
      </c>
      <c r="G137" s="490">
        <v>0</v>
      </c>
      <c r="H137" s="562">
        <v>0</v>
      </c>
      <c r="I137" s="563"/>
      <c r="J137" s="490">
        <v>29010639</v>
      </c>
      <c r="K137" s="490">
        <v>65778420.219999999</v>
      </c>
      <c r="L137" s="490">
        <v>0</v>
      </c>
      <c r="M137" s="491">
        <v>2.267389567668606</v>
      </c>
      <c r="N137" s="491">
        <v>0</v>
      </c>
      <c r="O137" s="564">
        <v>0</v>
      </c>
      <c r="P137" s="565"/>
      <c r="Q137" s="566"/>
      <c r="R137" s="489">
        <v>2</v>
      </c>
      <c r="S137" s="490">
        <v>65778420.219999999</v>
      </c>
      <c r="T137" s="490">
        <v>0</v>
      </c>
      <c r="U137" s="491">
        <v>2.267389567668606</v>
      </c>
      <c r="V137" s="491">
        <v>0</v>
      </c>
      <c r="W137" s="491">
        <v>0</v>
      </c>
      <c r="X137" s="489">
        <v>2</v>
      </c>
      <c r="Y137" s="490">
        <v>65778420.219999999</v>
      </c>
      <c r="Z137" s="490">
        <v>0</v>
      </c>
      <c r="AB137" s="491">
        <v>2.267389567668606</v>
      </c>
      <c r="AC137" s="491">
        <v>0</v>
      </c>
      <c r="AD137" s="491">
        <v>0</v>
      </c>
      <c r="AE137" s="489">
        <v>2</v>
      </c>
      <c r="AF137" s="490">
        <v>65778420.219999999</v>
      </c>
      <c r="AG137" s="490">
        <v>0</v>
      </c>
      <c r="AH137" s="491">
        <v>2.267389567668606</v>
      </c>
      <c r="AI137" s="491">
        <v>0</v>
      </c>
      <c r="AJ137" s="491">
        <v>0</v>
      </c>
    </row>
    <row r="138" spans="2:36" ht="38.25" x14ac:dyDescent="0.25">
      <c r="B138" s="489" t="s">
        <v>444</v>
      </c>
      <c r="C138" s="489" t="s">
        <v>557</v>
      </c>
      <c r="D138" s="489" t="s">
        <v>558</v>
      </c>
      <c r="E138" s="489" t="s">
        <v>553</v>
      </c>
      <c r="F138" s="490">
        <v>66818017</v>
      </c>
      <c r="G138" s="490">
        <v>0</v>
      </c>
      <c r="H138" s="562">
        <v>0</v>
      </c>
      <c r="I138" s="563"/>
      <c r="J138" s="490">
        <v>66818017</v>
      </c>
      <c r="K138" s="490">
        <v>65778420.219999999</v>
      </c>
      <c r="L138" s="490">
        <v>0</v>
      </c>
      <c r="M138" s="491">
        <v>0.98444137035674073</v>
      </c>
      <c r="N138" s="491">
        <v>0</v>
      </c>
      <c r="O138" s="564">
        <v>0</v>
      </c>
      <c r="P138" s="565"/>
      <c r="Q138" s="566"/>
      <c r="R138" s="489">
        <v>2</v>
      </c>
      <c r="S138" s="490">
        <v>65778420.219999999</v>
      </c>
      <c r="T138" s="490">
        <v>0</v>
      </c>
      <c r="U138" s="491">
        <v>0.98444137035674073</v>
      </c>
      <c r="V138" s="491">
        <v>0</v>
      </c>
      <c r="W138" s="491">
        <v>0</v>
      </c>
      <c r="X138" s="489">
        <v>2</v>
      </c>
      <c r="Y138" s="490">
        <v>65778420.219999999</v>
      </c>
      <c r="Z138" s="490">
        <v>0</v>
      </c>
      <c r="AB138" s="491">
        <v>0.98444137035674073</v>
      </c>
      <c r="AC138" s="491">
        <v>0</v>
      </c>
      <c r="AD138" s="491">
        <v>0</v>
      </c>
      <c r="AE138" s="489">
        <v>2</v>
      </c>
      <c r="AF138" s="490">
        <v>65778420.219999999</v>
      </c>
      <c r="AG138" s="490">
        <v>0</v>
      </c>
      <c r="AH138" s="491">
        <v>0.98444137035674073</v>
      </c>
      <c r="AI138" s="491">
        <v>0</v>
      </c>
      <c r="AJ138" s="491">
        <v>0</v>
      </c>
    </row>
    <row r="139" spans="2:36" ht="38.25" x14ac:dyDescent="0.25">
      <c r="B139" s="489" t="s">
        <v>444</v>
      </c>
      <c r="C139" s="489" t="s">
        <v>557</v>
      </c>
      <c r="D139" s="489" t="s">
        <v>1304</v>
      </c>
      <c r="E139" s="489" t="s">
        <v>553</v>
      </c>
      <c r="F139" s="490">
        <v>29010639</v>
      </c>
      <c r="G139" s="490">
        <v>0</v>
      </c>
      <c r="H139" s="562">
        <v>0</v>
      </c>
      <c r="I139" s="563"/>
      <c r="J139" s="490">
        <v>29010639</v>
      </c>
      <c r="K139" s="490">
        <v>65778420.219999999</v>
      </c>
      <c r="L139" s="490">
        <v>0</v>
      </c>
      <c r="M139" s="491">
        <v>2.267389567668606</v>
      </c>
      <c r="N139" s="491">
        <v>0</v>
      </c>
      <c r="O139" s="564">
        <v>0</v>
      </c>
      <c r="P139" s="565"/>
      <c r="Q139" s="566"/>
      <c r="R139" s="489">
        <v>2</v>
      </c>
      <c r="S139" s="490">
        <v>65778420.219999999</v>
      </c>
      <c r="T139" s="490">
        <v>0</v>
      </c>
      <c r="U139" s="491">
        <v>2.267389567668606</v>
      </c>
      <c r="V139" s="491">
        <v>0</v>
      </c>
      <c r="W139" s="491">
        <v>0</v>
      </c>
      <c r="X139" s="489">
        <v>2</v>
      </c>
      <c r="Y139" s="490">
        <v>65778420.219999999</v>
      </c>
      <c r="Z139" s="490">
        <v>0</v>
      </c>
      <c r="AB139" s="491">
        <v>2.267389567668606</v>
      </c>
      <c r="AC139" s="491">
        <v>0</v>
      </c>
      <c r="AD139" s="491">
        <v>0</v>
      </c>
      <c r="AE139" s="489">
        <v>2</v>
      </c>
      <c r="AF139" s="490">
        <v>65778420.219999999</v>
      </c>
      <c r="AG139" s="490">
        <v>0</v>
      </c>
      <c r="AH139" s="491">
        <v>2.267389567668606</v>
      </c>
      <c r="AI139" s="491">
        <v>0</v>
      </c>
      <c r="AJ139" s="491">
        <v>0</v>
      </c>
    </row>
    <row r="140" spans="2:36" ht="25.5" x14ac:dyDescent="0.25">
      <c r="B140" s="489" t="s">
        <v>299</v>
      </c>
      <c r="C140" s="489" t="s">
        <v>559</v>
      </c>
      <c r="D140" s="489" t="s">
        <v>346</v>
      </c>
      <c r="E140" s="489" t="s">
        <v>553</v>
      </c>
      <c r="F140" s="490">
        <v>16606100</v>
      </c>
      <c r="G140" s="490">
        <v>0</v>
      </c>
      <c r="H140" s="562">
        <v>0</v>
      </c>
      <c r="I140" s="563"/>
      <c r="J140" s="490">
        <v>16606100</v>
      </c>
      <c r="K140" s="490">
        <v>15996371.41</v>
      </c>
      <c r="L140" s="490">
        <v>0</v>
      </c>
      <c r="M140" s="491">
        <v>0.96328285449322837</v>
      </c>
      <c r="N140" s="491">
        <v>0</v>
      </c>
      <c r="O140" s="564">
        <v>0</v>
      </c>
      <c r="P140" s="565"/>
      <c r="Q140" s="566"/>
      <c r="R140" s="489">
        <v>0</v>
      </c>
      <c r="S140" s="490">
        <v>15996371.41</v>
      </c>
      <c r="T140" s="490">
        <v>0</v>
      </c>
      <c r="U140" s="491">
        <v>0.96328285449322837</v>
      </c>
      <c r="V140" s="491">
        <v>0</v>
      </c>
      <c r="W140" s="491">
        <v>0</v>
      </c>
      <c r="X140" s="489">
        <v>0</v>
      </c>
      <c r="Y140" s="490">
        <v>15996371.41</v>
      </c>
      <c r="Z140" s="490">
        <v>0</v>
      </c>
      <c r="AB140" s="491">
        <v>0.96328285449322837</v>
      </c>
      <c r="AC140" s="491">
        <v>0</v>
      </c>
      <c r="AD140" s="491">
        <v>0</v>
      </c>
      <c r="AE140" s="489">
        <v>0</v>
      </c>
      <c r="AF140" s="490">
        <v>15996371.41</v>
      </c>
      <c r="AG140" s="490">
        <v>0</v>
      </c>
      <c r="AH140" s="491">
        <v>0.96328285449322837</v>
      </c>
      <c r="AI140" s="491">
        <v>0</v>
      </c>
      <c r="AJ140" s="491">
        <v>0</v>
      </c>
    </row>
    <row r="141" spans="2:36" ht="25.5" x14ac:dyDescent="0.25">
      <c r="B141" s="489" t="s">
        <v>299</v>
      </c>
      <c r="C141" s="489" t="s">
        <v>559</v>
      </c>
      <c r="D141" s="489" t="s">
        <v>358</v>
      </c>
      <c r="E141" s="489" t="s">
        <v>553</v>
      </c>
      <c r="F141" s="490">
        <v>15186315</v>
      </c>
      <c r="G141" s="490">
        <v>0</v>
      </c>
      <c r="H141" s="562">
        <v>0</v>
      </c>
      <c r="I141" s="563"/>
      <c r="J141" s="490">
        <v>15186315</v>
      </c>
      <c r="K141" s="490">
        <v>15796042.16</v>
      </c>
      <c r="L141" s="490">
        <v>0</v>
      </c>
      <c r="M141" s="491">
        <v>1.0401497769537904</v>
      </c>
      <c r="N141" s="491">
        <v>0</v>
      </c>
      <c r="O141" s="564">
        <v>0</v>
      </c>
      <c r="P141" s="565"/>
      <c r="Q141" s="566"/>
      <c r="R141" s="489">
        <v>1</v>
      </c>
      <c r="S141" s="490">
        <v>15796042.16</v>
      </c>
      <c r="T141" s="490">
        <v>0</v>
      </c>
      <c r="U141" s="491">
        <v>1.0401497769537904</v>
      </c>
      <c r="V141" s="491">
        <v>0</v>
      </c>
      <c r="W141" s="491">
        <v>0</v>
      </c>
      <c r="X141" s="489">
        <v>1</v>
      </c>
      <c r="Y141" s="490">
        <v>15796042.16</v>
      </c>
      <c r="Z141" s="490">
        <v>0</v>
      </c>
      <c r="AB141" s="491">
        <v>1.0401497769537904</v>
      </c>
      <c r="AC141" s="491">
        <v>0</v>
      </c>
      <c r="AD141" s="491">
        <v>0</v>
      </c>
      <c r="AE141" s="489">
        <v>1</v>
      </c>
      <c r="AF141" s="490">
        <v>15796042.16</v>
      </c>
      <c r="AG141" s="490">
        <v>0</v>
      </c>
      <c r="AH141" s="491">
        <v>1.0401497769537904</v>
      </c>
      <c r="AI141" s="491">
        <v>0</v>
      </c>
      <c r="AJ141" s="491">
        <v>0</v>
      </c>
    </row>
    <row r="142" spans="2:36" ht="25.5" x14ac:dyDescent="0.25">
      <c r="B142" s="489" t="s">
        <v>300</v>
      </c>
      <c r="C142" s="489" t="s">
        <v>560</v>
      </c>
      <c r="D142" s="489" t="s">
        <v>346</v>
      </c>
      <c r="E142" s="489" t="s">
        <v>553</v>
      </c>
      <c r="F142" s="490">
        <v>21201278</v>
      </c>
      <c r="G142" s="490">
        <v>0</v>
      </c>
      <c r="H142" s="562">
        <v>0</v>
      </c>
      <c r="I142" s="563"/>
      <c r="J142" s="490">
        <v>21201278</v>
      </c>
      <c r="K142" s="490">
        <v>20971645.190000001</v>
      </c>
      <c r="L142" s="490">
        <v>0</v>
      </c>
      <c r="M142" s="491">
        <v>0.98916891660964967</v>
      </c>
      <c r="N142" s="491">
        <v>0</v>
      </c>
      <c r="O142" s="564">
        <v>0</v>
      </c>
      <c r="P142" s="565"/>
      <c r="Q142" s="566"/>
      <c r="R142" s="489">
        <v>0</v>
      </c>
      <c r="S142" s="490">
        <v>20971645.190000001</v>
      </c>
      <c r="T142" s="490">
        <v>0</v>
      </c>
      <c r="U142" s="491">
        <v>0.98916891660964967</v>
      </c>
      <c r="V142" s="491">
        <v>0</v>
      </c>
      <c r="W142" s="491">
        <v>0</v>
      </c>
      <c r="X142" s="489">
        <v>0</v>
      </c>
      <c r="Y142" s="490">
        <v>20971645.190000001</v>
      </c>
      <c r="Z142" s="490">
        <v>0</v>
      </c>
      <c r="AB142" s="491">
        <v>0.98916891660964967</v>
      </c>
      <c r="AC142" s="491">
        <v>0</v>
      </c>
      <c r="AD142" s="491">
        <v>0</v>
      </c>
      <c r="AE142" s="489">
        <v>0</v>
      </c>
      <c r="AF142" s="490">
        <v>20971645.190000001</v>
      </c>
      <c r="AG142" s="490">
        <v>0</v>
      </c>
      <c r="AH142" s="491">
        <v>0.98916891660964967</v>
      </c>
      <c r="AI142" s="491">
        <v>0</v>
      </c>
      <c r="AJ142" s="491">
        <v>0</v>
      </c>
    </row>
    <row r="143" spans="2:36" ht="25.5" x14ac:dyDescent="0.25">
      <c r="B143" s="489" t="s">
        <v>300</v>
      </c>
      <c r="C143" s="489" t="s">
        <v>560</v>
      </c>
      <c r="D143" s="489" t="s">
        <v>358</v>
      </c>
      <c r="E143" s="489" t="s">
        <v>553</v>
      </c>
      <c r="F143" s="490">
        <v>13824324</v>
      </c>
      <c r="G143" s="490">
        <v>0</v>
      </c>
      <c r="H143" s="562">
        <v>0</v>
      </c>
      <c r="I143" s="563"/>
      <c r="J143" s="490">
        <v>13824324</v>
      </c>
      <c r="K143" s="490">
        <v>13014361.460000001</v>
      </c>
      <c r="L143" s="490">
        <v>0</v>
      </c>
      <c r="M143" s="491">
        <v>0.94141033297541343</v>
      </c>
      <c r="N143" s="491">
        <v>0</v>
      </c>
      <c r="O143" s="564">
        <v>0</v>
      </c>
      <c r="P143" s="565"/>
      <c r="Q143" s="566"/>
      <c r="R143" s="489">
        <v>1</v>
      </c>
      <c r="S143" s="490">
        <v>13014361.460000001</v>
      </c>
      <c r="T143" s="490">
        <v>0</v>
      </c>
      <c r="U143" s="491">
        <v>0.94141033297541343</v>
      </c>
      <c r="V143" s="491">
        <v>0</v>
      </c>
      <c r="W143" s="491">
        <v>0</v>
      </c>
      <c r="X143" s="489">
        <v>1</v>
      </c>
      <c r="Y143" s="490">
        <v>13014361.460000001</v>
      </c>
      <c r="Z143" s="490">
        <v>0</v>
      </c>
      <c r="AB143" s="491">
        <v>0.94141033297541343</v>
      </c>
      <c r="AC143" s="491">
        <v>0</v>
      </c>
      <c r="AD143" s="491">
        <v>0</v>
      </c>
      <c r="AE143" s="489">
        <v>1</v>
      </c>
      <c r="AF143" s="490">
        <v>13014361.460000001</v>
      </c>
      <c r="AG143" s="490">
        <v>0</v>
      </c>
      <c r="AH143" s="491">
        <v>0.94141033297541343</v>
      </c>
      <c r="AI143" s="491">
        <v>0</v>
      </c>
      <c r="AJ143" s="491">
        <v>0</v>
      </c>
    </row>
    <row r="144" spans="2:36" ht="25.5" x14ac:dyDescent="0.25">
      <c r="B144" s="489" t="s">
        <v>301</v>
      </c>
      <c r="C144" s="489" t="s">
        <v>202</v>
      </c>
      <c r="D144" s="489"/>
      <c r="E144" s="489" t="s">
        <v>553</v>
      </c>
      <c r="F144" s="490">
        <v>0</v>
      </c>
      <c r="G144" s="490">
        <v>0</v>
      </c>
      <c r="H144" s="562">
        <v>0</v>
      </c>
      <c r="I144" s="563"/>
      <c r="J144" s="490">
        <v>0</v>
      </c>
      <c r="K144" s="490">
        <v>0</v>
      </c>
      <c r="L144" s="490">
        <v>0</v>
      </c>
      <c r="M144" s="491">
        <v>0</v>
      </c>
      <c r="N144" s="491">
        <v>0</v>
      </c>
      <c r="O144" s="564">
        <v>0</v>
      </c>
      <c r="P144" s="565"/>
      <c r="Q144" s="566"/>
      <c r="R144" s="489">
        <v>0</v>
      </c>
      <c r="S144" s="490">
        <v>0</v>
      </c>
      <c r="T144" s="490">
        <v>0</v>
      </c>
      <c r="U144" s="491">
        <v>0</v>
      </c>
      <c r="V144" s="491">
        <v>0</v>
      </c>
      <c r="W144" s="491">
        <v>0</v>
      </c>
      <c r="X144" s="489">
        <v>0</v>
      </c>
      <c r="Y144" s="490">
        <v>0</v>
      </c>
      <c r="Z144" s="490">
        <v>0</v>
      </c>
      <c r="AB144" s="491">
        <v>0</v>
      </c>
      <c r="AC144" s="491">
        <v>0</v>
      </c>
      <c r="AD144" s="491">
        <v>0</v>
      </c>
      <c r="AE144" s="489">
        <v>0</v>
      </c>
      <c r="AF144" s="490">
        <v>0</v>
      </c>
      <c r="AG144" s="490">
        <v>0</v>
      </c>
      <c r="AH144" s="491">
        <v>0</v>
      </c>
      <c r="AI144" s="491">
        <v>0</v>
      </c>
      <c r="AJ144" s="491">
        <v>0</v>
      </c>
    </row>
    <row r="145" spans="2:36" ht="25.5" x14ac:dyDescent="0.25">
      <c r="B145" s="489" t="s">
        <v>561</v>
      </c>
      <c r="C145" s="489" t="s">
        <v>562</v>
      </c>
      <c r="D145" s="489"/>
      <c r="E145" s="489"/>
      <c r="F145" s="490">
        <v>7422751</v>
      </c>
      <c r="G145" s="490">
        <v>0</v>
      </c>
      <c r="H145" s="562">
        <v>0</v>
      </c>
      <c r="I145" s="563"/>
      <c r="J145" s="490">
        <v>7422751</v>
      </c>
      <c r="K145" s="490">
        <v>7110156.4299999997</v>
      </c>
      <c r="L145" s="490">
        <v>0</v>
      </c>
      <c r="M145" s="491">
        <v>0.95788696535826134</v>
      </c>
      <c r="N145" s="491">
        <v>0</v>
      </c>
      <c r="O145" s="564">
        <v>0</v>
      </c>
      <c r="P145" s="565"/>
      <c r="Q145" s="566"/>
      <c r="R145" s="489">
        <v>2</v>
      </c>
      <c r="S145" s="490">
        <v>7110156.4299999997</v>
      </c>
      <c r="T145" s="490">
        <v>0</v>
      </c>
      <c r="U145" s="491">
        <v>0.95788696535826134</v>
      </c>
      <c r="V145" s="491">
        <v>0</v>
      </c>
      <c r="W145" s="491">
        <v>0</v>
      </c>
      <c r="X145" s="489">
        <v>2</v>
      </c>
      <c r="Y145" s="490">
        <v>7110156.4299999997</v>
      </c>
      <c r="Z145" s="490">
        <v>0</v>
      </c>
      <c r="AB145" s="491">
        <v>0.95788696535826134</v>
      </c>
      <c r="AC145" s="491">
        <v>0</v>
      </c>
      <c r="AD145" s="491">
        <v>0</v>
      </c>
      <c r="AE145" s="489">
        <v>2</v>
      </c>
      <c r="AF145" s="490">
        <v>7110156.4299999997</v>
      </c>
      <c r="AG145" s="490">
        <v>0</v>
      </c>
      <c r="AH145" s="491">
        <v>0.95788696535826134</v>
      </c>
      <c r="AI145" s="491">
        <v>0</v>
      </c>
      <c r="AJ145" s="491">
        <v>0</v>
      </c>
    </row>
    <row r="146" spans="2:36" ht="25.5" x14ac:dyDescent="0.25">
      <c r="B146" s="489" t="s">
        <v>302</v>
      </c>
      <c r="C146" s="489" t="s">
        <v>563</v>
      </c>
      <c r="D146" s="489" t="s">
        <v>346</v>
      </c>
      <c r="E146" s="489" t="s">
        <v>553</v>
      </c>
      <c r="F146" s="490">
        <v>5856035</v>
      </c>
      <c r="G146" s="490">
        <v>0</v>
      </c>
      <c r="H146" s="562">
        <v>0</v>
      </c>
      <c r="I146" s="563"/>
      <c r="J146" s="490">
        <v>5856035</v>
      </c>
      <c r="K146" s="490">
        <v>5543441.2199999997</v>
      </c>
      <c r="L146" s="490">
        <v>0</v>
      </c>
      <c r="M146" s="491">
        <v>0.94662023365639036</v>
      </c>
      <c r="N146" s="491">
        <v>0</v>
      </c>
      <c r="O146" s="564">
        <v>0</v>
      </c>
      <c r="P146" s="565"/>
      <c r="Q146" s="566"/>
      <c r="R146" s="489">
        <v>1</v>
      </c>
      <c r="S146" s="490">
        <v>5543441.2199999997</v>
      </c>
      <c r="T146" s="490">
        <v>0</v>
      </c>
      <c r="U146" s="491">
        <v>0.94662023365639036</v>
      </c>
      <c r="V146" s="491">
        <v>0</v>
      </c>
      <c r="W146" s="491">
        <v>0</v>
      </c>
      <c r="X146" s="489">
        <v>1</v>
      </c>
      <c r="Y146" s="490">
        <v>5543441.2199999997</v>
      </c>
      <c r="Z146" s="490">
        <v>0</v>
      </c>
      <c r="AB146" s="491">
        <v>0.94662023365639036</v>
      </c>
      <c r="AC146" s="491">
        <v>0</v>
      </c>
      <c r="AD146" s="491">
        <v>0</v>
      </c>
      <c r="AE146" s="489">
        <v>1</v>
      </c>
      <c r="AF146" s="490">
        <v>5543441.2199999997</v>
      </c>
      <c r="AG146" s="490">
        <v>0</v>
      </c>
      <c r="AH146" s="491">
        <v>0.94662023365639036</v>
      </c>
      <c r="AI146" s="491">
        <v>0</v>
      </c>
      <c r="AJ146" s="491">
        <v>0</v>
      </c>
    </row>
    <row r="147" spans="2:36" ht="25.5" x14ac:dyDescent="0.25">
      <c r="B147" s="489" t="s">
        <v>303</v>
      </c>
      <c r="C147" s="489" t="s">
        <v>564</v>
      </c>
      <c r="D147" s="489" t="s">
        <v>346</v>
      </c>
      <c r="E147" s="489" t="s">
        <v>553</v>
      </c>
      <c r="F147" s="490">
        <v>1566716</v>
      </c>
      <c r="G147" s="490">
        <v>0</v>
      </c>
      <c r="H147" s="562">
        <v>0</v>
      </c>
      <c r="I147" s="563"/>
      <c r="J147" s="490">
        <v>1566716</v>
      </c>
      <c r="K147" s="490">
        <v>1566715.21</v>
      </c>
      <c r="L147" s="490">
        <v>0</v>
      </c>
      <c r="M147" s="491">
        <v>0.99999949576055902</v>
      </c>
      <c r="N147" s="491">
        <v>0</v>
      </c>
      <c r="O147" s="564">
        <v>0</v>
      </c>
      <c r="P147" s="565"/>
      <c r="Q147" s="566"/>
      <c r="R147" s="489">
        <v>1</v>
      </c>
      <c r="S147" s="490">
        <v>1566715.21</v>
      </c>
      <c r="T147" s="490">
        <v>0</v>
      </c>
      <c r="U147" s="491">
        <v>0.99999949576055902</v>
      </c>
      <c r="V147" s="491">
        <v>0</v>
      </c>
      <c r="W147" s="491">
        <v>0</v>
      </c>
      <c r="X147" s="489">
        <v>1</v>
      </c>
      <c r="Y147" s="490">
        <v>1566715.21</v>
      </c>
      <c r="Z147" s="490">
        <v>0</v>
      </c>
      <c r="AB147" s="491">
        <v>0.99999949576055902</v>
      </c>
      <c r="AC147" s="491">
        <v>0</v>
      </c>
      <c r="AD147" s="491">
        <v>0</v>
      </c>
      <c r="AE147" s="489">
        <v>1</v>
      </c>
      <c r="AF147" s="490">
        <v>1566715.21</v>
      </c>
      <c r="AG147" s="490">
        <v>0</v>
      </c>
      <c r="AH147" s="491">
        <v>0.99999949576055902</v>
      </c>
      <c r="AI147" s="491">
        <v>0</v>
      </c>
      <c r="AJ147" s="491">
        <v>0</v>
      </c>
    </row>
    <row r="148" spans="2:36" x14ac:dyDescent="0.25">
      <c r="B148" s="486" t="s">
        <v>304</v>
      </c>
      <c r="C148" s="486" t="s">
        <v>98</v>
      </c>
      <c r="D148" s="486"/>
      <c r="E148" s="486"/>
      <c r="F148" s="487">
        <v>510213088</v>
      </c>
      <c r="G148" s="487">
        <v>15597347</v>
      </c>
      <c r="H148" s="567">
        <v>5607771</v>
      </c>
      <c r="I148" s="568"/>
      <c r="J148" s="487">
        <v>515820859</v>
      </c>
      <c r="K148" s="487">
        <v>534571766.51999998</v>
      </c>
      <c r="L148" s="487">
        <v>14833103.73</v>
      </c>
      <c r="M148" s="488">
        <v>1.0477421671315497</v>
      </c>
      <c r="N148" s="488">
        <v>0</v>
      </c>
      <c r="O148" s="559">
        <v>0</v>
      </c>
      <c r="P148" s="560"/>
      <c r="Q148" s="561"/>
      <c r="R148" s="486">
        <v>192</v>
      </c>
      <c r="S148" s="487">
        <v>534571766.51999998</v>
      </c>
      <c r="T148" s="487">
        <v>14833103.73</v>
      </c>
      <c r="U148" s="488">
        <v>1.0477421671315497</v>
      </c>
      <c r="V148" s="488">
        <v>0</v>
      </c>
      <c r="W148" s="488">
        <v>0</v>
      </c>
      <c r="X148" s="486">
        <v>192</v>
      </c>
      <c r="Y148" s="487">
        <v>534571766.51999998</v>
      </c>
      <c r="Z148" s="487">
        <v>14833103.73</v>
      </c>
      <c r="AB148" s="488">
        <v>1.0477421671315497</v>
      </c>
      <c r="AC148" s="488">
        <v>0</v>
      </c>
      <c r="AD148" s="488">
        <v>0</v>
      </c>
      <c r="AE148" s="486">
        <v>192</v>
      </c>
      <c r="AF148" s="487">
        <v>530805167.63</v>
      </c>
      <c r="AG148" s="487">
        <v>14494139.029999999</v>
      </c>
      <c r="AH148" s="488">
        <v>1.0403597636248798</v>
      </c>
      <c r="AI148" s="488">
        <v>0</v>
      </c>
      <c r="AJ148" s="488">
        <v>0</v>
      </c>
    </row>
    <row r="149" spans="2:36" ht="51" x14ac:dyDescent="0.25">
      <c r="B149" s="489" t="s">
        <v>565</v>
      </c>
      <c r="C149" s="489" t="s">
        <v>566</v>
      </c>
      <c r="D149" s="489"/>
      <c r="E149" s="489"/>
      <c r="F149" s="490">
        <v>281460881</v>
      </c>
      <c r="G149" s="490">
        <v>8895441</v>
      </c>
      <c r="H149" s="562">
        <v>5607771</v>
      </c>
      <c r="I149" s="563"/>
      <c r="J149" s="490">
        <v>287068652</v>
      </c>
      <c r="K149" s="490">
        <v>282000967.44999999</v>
      </c>
      <c r="L149" s="490">
        <v>8895441</v>
      </c>
      <c r="M149" s="491">
        <v>1.0019188686117984</v>
      </c>
      <c r="N149" s="491">
        <v>0</v>
      </c>
      <c r="O149" s="564">
        <v>0</v>
      </c>
      <c r="P149" s="565"/>
      <c r="Q149" s="566"/>
      <c r="R149" s="489">
        <v>94</v>
      </c>
      <c r="S149" s="490">
        <v>282000967.44999999</v>
      </c>
      <c r="T149" s="490">
        <v>8895441</v>
      </c>
      <c r="U149" s="491">
        <v>1.0019188686117984</v>
      </c>
      <c r="V149" s="491">
        <v>0</v>
      </c>
      <c r="W149" s="491">
        <v>0</v>
      </c>
      <c r="X149" s="489">
        <v>94</v>
      </c>
      <c r="Y149" s="490">
        <v>282000967.44999999</v>
      </c>
      <c r="Z149" s="490">
        <v>8895441</v>
      </c>
      <c r="AB149" s="491">
        <v>1.0019188686117984</v>
      </c>
      <c r="AC149" s="491">
        <v>0</v>
      </c>
      <c r="AD149" s="491">
        <v>0</v>
      </c>
      <c r="AE149" s="489">
        <v>94</v>
      </c>
      <c r="AF149" s="490">
        <v>278583702.45999998</v>
      </c>
      <c r="AG149" s="490">
        <v>8895441</v>
      </c>
      <c r="AH149" s="491">
        <v>0.98977769653183167</v>
      </c>
      <c r="AI149" s="491">
        <v>0</v>
      </c>
      <c r="AJ149" s="491">
        <v>0</v>
      </c>
    </row>
    <row r="150" spans="2:36" ht="38.25" x14ac:dyDescent="0.25">
      <c r="B150" s="489" t="s">
        <v>305</v>
      </c>
      <c r="C150" s="489" t="s">
        <v>567</v>
      </c>
      <c r="D150" s="489" t="s">
        <v>344</v>
      </c>
      <c r="E150" s="489" t="s">
        <v>483</v>
      </c>
      <c r="F150" s="490">
        <v>38009447</v>
      </c>
      <c r="G150" s="490">
        <v>0</v>
      </c>
      <c r="H150" s="562">
        <v>0</v>
      </c>
      <c r="I150" s="563"/>
      <c r="J150" s="490">
        <v>38009447</v>
      </c>
      <c r="K150" s="490">
        <v>37742128.32</v>
      </c>
      <c r="L150" s="490">
        <v>0</v>
      </c>
      <c r="M150" s="491">
        <v>0.99296704632403621</v>
      </c>
      <c r="N150" s="491">
        <v>0</v>
      </c>
      <c r="O150" s="564">
        <v>0</v>
      </c>
      <c r="P150" s="565"/>
      <c r="Q150" s="566"/>
      <c r="R150" s="489">
        <v>15</v>
      </c>
      <c r="S150" s="490">
        <v>37742128.32</v>
      </c>
      <c r="T150" s="490">
        <v>0</v>
      </c>
      <c r="U150" s="491">
        <v>0.99296704632403621</v>
      </c>
      <c r="V150" s="491">
        <v>0</v>
      </c>
      <c r="W150" s="491">
        <v>0</v>
      </c>
      <c r="X150" s="489">
        <v>15</v>
      </c>
      <c r="Y150" s="490">
        <v>37742128.32</v>
      </c>
      <c r="Z150" s="490">
        <v>0</v>
      </c>
      <c r="AB150" s="491">
        <v>0.99296704632403621</v>
      </c>
      <c r="AC150" s="491">
        <v>0</v>
      </c>
      <c r="AD150" s="491">
        <v>0</v>
      </c>
      <c r="AE150" s="489">
        <v>15</v>
      </c>
      <c r="AF150" s="490">
        <v>37045829.759999998</v>
      </c>
      <c r="AG150" s="490">
        <v>0</v>
      </c>
      <c r="AH150" s="491">
        <v>0.9746479542309574</v>
      </c>
      <c r="AI150" s="491">
        <v>0</v>
      </c>
      <c r="AJ150" s="491">
        <v>0</v>
      </c>
    </row>
    <row r="151" spans="2:36" ht="38.25" x14ac:dyDescent="0.25">
      <c r="B151" s="489" t="s">
        <v>445</v>
      </c>
      <c r="C151" s="489" t="s">
        <v>102</v>
      </c>
      <c r="D151" s="489" t="s">
        <v>344</v>
      </c>
      <c r="E151" s="489" t="s">
        <v>483</v>
      </c>
      <c r="F151" s="490">
        <v>142593410</v>
      </c>
      <c r="G151" s="490">
        <v>8895441</v>
      </c>
      <c r="H151" s="562">
        <v>4095434</v>
      </c>
      <c r="I151" s="563"/>
      <c r="J151" s="490">
        <v>146688844</v>
      </c>
      <c r="K151" s="490">
        <v>142755165.88999999</v>
      </c>
      <c r="L151" s="490">
        <v>8895441</v>
      </c>
      <c r="M151" s="491">
        <v>1.0011343854530164</v>
      </c>
      <c r="N151" s="491">
        <v>0</v>
      </c>
      <c r="O151" s="564">
        <v>0</v>
      </c>
      <c r="P151" s="565"/>
      <c r="Q151" s="566"/>
      <c r="R151" s="489">
        <v>46</v>
      </c>
      <c r="S151" s="490">
        <v>142755165.88999999</v>
      </c>
      <c r="T151" s="490">
        <v>8895441</v>
      </c>
      <c r="U151" s="491">
        <v>1.0011343854530164</v>
      </c>
      <c r="V151" s="491">
        <v>0</v>
      </c>
      <c r="W151" s="491">
        <v>0</v>
      </c>
      <c r="X151" s="489">
        <v>46</v>
      </c>
      <c r="Y151" s="490">
        <v>142755165.88999999</v>
      </c>
      <c r="Z151" s="490">
        <v>8895441</v>
      </c>
      <c r="AB151" s="491">
        <v>1.0011343854530164</v>
      </c>
      <c r="AC151" s="491">
        <v>0</v>
      </c>
      <c r="AD151" s="491">
        <v>0</v>
      </c>
      <c r="AE151" s="489">
        <v>46</v>
      </c>
      <c r="AF151" s="490">
        <v>142013817.91999999</v>
      </c>
      <c r="AG151" s="490">
        <v>8895441</v>
      </c>
      <c r="AH151" s="491">
        <v>0.99593535157059498</v>
      </c>
      <c r="AI151" s="491">
        <v>0</v>
      </c>
      <c r="AJ151" s="491">
        <v>0</v>
      </c>
    </row>
    <row r="152" spans="2:36" ht="38.25" x14ac:dyDescent="0.25">
      <c r="B152" s="489" t="s">
        <v>306</v>
      </c>
      <c r="C152" s="489" t="s">
        <v>363</v>
      </c>
      <c r="D152" s="489" t="s">
        <v>344</v>
      </c>
      <c r="E152" s="489" t="s">
        <v>483</v>
      </c>
      <c r="F152" s="490">
        <v>88864646</v>
      </c>
      <c r="G152" s="490">
        <v>0</v>
      </c>
      <c r="H152" s="562">
        <v>1512337</v>
      </c>
      <c r="I152" s="563"/>
      <c r="J152" s="490">
        <v>90376983</v>
      </c>
      <c r="K152" s="490">
        <v>89515294.299999997</v>
      </c>
      <c r="L152" s="490">
        <v>0</v>
      </c>
      <c r="M152" s="491">
        <v>1.0073217902651634</v>
      </c>
      <c r="N152" s="491">
        <v>0</v>
      </c>
      <c r="O152" s="564">
        <v>0</v>
      </c>
      <c r="P152" s="565"/>
      <c r="Q152" s="566"/>
      <c r="R152" s="489">
        <v>24</v>
      </c>
      <c r="S152" s="490">
        <v>89515294.299999997</v>
      </c>
      <c r="T152" s="490">
        <v>0</v>
      </c>
      <c r="U152" s="491">
        <v>1.0073217902651634</v>
      </c>
      <c r="V152" s="491">
        <v>0</v>
      </c>
      <c r="W152" s="491">
        <v>0</v>
      </c>
      <c r="X152" s="489">
        <v>24</v>
      </c>
      <c r="Y152" s="490">
        <v>89515294.299999997</v>
      </c>
      <c r="Z152" s="490">
        <v>0</v>
      </c>
      <c r="AB152" s="491">
        <v>1.0073217902651634</v>
      </c>
      <c r="AC152" s="491">
        <v>0</v>
      </c>
      <c r="AD152" s="491">
        <v>0</v>
      </c>
      <c r="AE152" s="489">
        <v>24</v>
      </c>
      <c r="AF152" s="490">
        <v>87993777.900000006</v>
      </c>
      <c r="AG152" s="490">
        <v>0</v>
      </c>
      <c r="AH152" s="491">
        <v>0.9902000611131675</v>
      </c>
      <c r="AI152" s="491">
        <v>0</v>
      </c>
      <c r="AJ152" s="491">
        <v>0</v>
      </c>
    </row>
    <row r="153" spans="2:36" ht="38.25" x14ac:dyDescent="0.25">
      <c r="B153" s="489" t="s">
        <v>307</v>
      </c>
      <c r="C153" s="489" t="s">
        <v>568</v>
      </c>
      <c r="D153" s="489" t="s">
        <v>344</v>
      </c>
      <c r="E153" s="489" t="s">
        <v>483</v>
      </c>
      <c r="F153" s="490">
        <v>11993378</v>
      </c>
      <c r="G153" s="490">
        <v>0</v>
      </c>
      <c r="H153" s="562">
        <v>0</v>
      </c>
      <c r="I153" s="563"/>
      <c r="J153" s="490">
        <v>11993378</v>
      </c>
      <c r="K153" s="490">
        <v>11988378.939999999</v>
      </c>
      <c r="L153" s="490">
        <v>0</v>
      </c>
      <c r="M153" s="491">
        <v>0.99958318165240856</v>
      </c>
      <c r="N153" s="491">
        <v>0</v>
      </c>
      <c r="O153" s="564">
        <v>0</v>
      </c>
      <c r="P153" s="565"/>
      <c r="Q153" s="566"/>
      <c r="R153" s="489">
        <v>9</v>
      </c>
      <c r="S153" s="490">
        <v>11988378.939999999</v>
      </c>
      <c r="T153" s="490">
        <v>0</v>
      </c>
      <c r="U153" s="491">
        <v>0.99958318165240856</v>
      </c>
      <c r="V153" s="491">
        <v>0</v>
      </c>
      <c r="W153" s="491">
        <v>0</v>
      </c>
      <c r="X153" s="489">
        <v>9</v>
      </c>
      <c r="Y153" s="490">
        <v>11988378.939999999</v>
      </c>
      <c r="Z153" s="490">
        <v>0</v>
      </c>
      <c r="AB153" s="491">
        <v>0.99958318165240856</v>
      </c>
      <c r="AC153" s="491">
        <v>0</v>
      </c>
      <c r="AD153" s="491">
        <v>0</v>
      </c>
      <c r="AE153" s="489">
        <v>9</v>
      </c>
      <c r="AF153" s="490">
        <v>11530276.880000001</v>
      </c>
      <c r="AG153" s="490">
        <v>0</v>
      </c>
      <c r="AH153" s="491">
        <v>0.96138693202198744</v>
      </c>
      <c r="AI153" s="491">
        <v>0</v>
      </c>
      <c r="AJ153" s="491">
        <v>0</v>
      </c>
    </row>
    <row r="154" spans="2:36" ht="51" x14ac:dyDescent="0.25">
      <c r="B154" s="489" t="s">
        <v>569</v>
      </c>
      <c r="C154" s="489" t="s">
        <v>570</v>
      </c>
      <c r="D154" s="489"/>
      <c r="E154" s="489"/>
      <c r="F154" s="490">
        <v>60453520</v>
      </c>
      <c r="G154" s="490">
        <v>5627882</v>
      </c>
      <c r="H154" s="562">
        <v>0</v>
      </c>
      <c r="I154" s="563"/>
      <c r="J154" s="490">
        <v>60453520</v>
      </c>
      <c r="K154" s="490">
        <v>56640006.549999997</v>
      </c>
      <c r="L154" s="490">
        <v>4874489.05</v>
      </c>
      <c r="M154" s="491">
        <v>0.93691825637282988</v>
      </c>
      <c r="N154" s="491">
        <v>0</v>
      </c>
      <c r="O154" s="564">
        <v>0</v>
      </c>
      <c r="P154" s="565"/>
      <c r="Q154" s="566"/>
      <c r="R154" s="489">
        <v>75</v>
      </c>
      <c r="S154" s="490">
        <v>56640006.549999997</v>
      </c>
      <c r="T154" s="490">
        <v>4874489.05</v>
      </c>
      <c r="U154" s="491">
        <v>0.93691825637282988</v>
      </c>
      <c r="V154" s="491">
        <v>0</v>
      </c>
      <c r="W154" s="491">
        <v>0</v>
      </c>
      <c r="X154" s="489">
        <v>75</v>
      </c>
      <c r="Y154" s="490">
        <v>56640006.549999997</v>
      </c>
      <c r="Z154" s="490">
        <v>4874489.05</v>
      </c>
      <c r="AB154" s="491">
        <v>0.93691825637282988</v>
      </c>
      <c r="AC154" s="491">
        <v>0</v>
      </c>
      <c r="AD154" s="491">
        <v>0</v>
      </c>
      <c r="AE154" s="489">
        <v>75</v>
      </c>
      <c r="AF154" s="490">
        <v>56290672.649999999</v>
      </c>
      <c r="AG154" s="490">
        <v>4535524.3499999996</v>
      </c>
      <c r="AH154" s="491">
        <v>0.93113970286593728</v>
      </c>
      <c r="AI154" s="491">
        <v>0</v>
      </c>
      <c r="AJ154" s="491">
        <v>0</v>
      </c>
    </row>
    <row r="155" spans="2:36" ht="38.25" x14ac:dyDescent="0.25">
      <c r="B155" s="489" t="s">
        <v>308</v>
      </c>
      <c r="C155" s="489" t="s">
        <v>571</v>
      </c>
      <c r="D155" s="489" t="s">
        <v>346</v>
      </c>
      <c r="E155" s="489" t="s">
        <v>483</v>
      </c>
      <c r="F155" s="490">
        <v>10757181</v>
      </c>
      <c r="G155" s="490">
        <v>0</v>
      </c>
      <c r="H155" s="562">
        <v>0</v>
      </c>
      <c r="I155" s="563"/>
      <c r="J155" s="490">
        <v>10757181</v>
      </c>
      <c r="K155" s="490">
        <v>10362191.369999999</v>
      </c>
      <c r="L155" s="490">
        <v>0</v>
      </c>
      <c r="M155" s="491">
        <v>0.96328130669178103</v>
      </c>
      <c r="N155" s="491">
        <v>0</v>
      </c>
      <c r="O155" s="564">
        <v>0</v>
      </c>
      <c r="P155" s="565"/>
      <c r="Q155" s="566"/>
      <c r="R155" s="489">
        <v>20</v>
      </c>
      <c r="S155" s="490">
        <v>10362191.369999999</v>
      </c>
      <c r="T155" s="490">
        <v>0</v>
      </c>
      <c r="U155" s="491">
        <v>0.96328130669178103</v>
      </c>
      <c r="V155" s="491">
        <v>0</v>
      </c>
      <c r="W155" s="491">
        <v>0</v>
      </c>
      <c r="X155" s="489">
        <v>20</v>
      </c>
      <c r="Y155" s="490">
        <v>10362191.369999999</v>
      </c>
      <c r="Z155" s="490">
        <v>0</v>
      </c>
      <c r="AB155" s="491">
        <v>0.96328130669178103</v>
      </c>
      <c r="AC155" s="491">
        <v>0</v>
      </c>
      <c r="AD155" s="491">
        <v>0</v>
      </c>
      <c r="AE155" s="489">
        <v>20</v>
      </c>
      <c r="AF155" s="490">
        <v>10362191.369999999</v>
      </c>
      <c r="AG155" s="490">
        <v>0</v>
      </c>
      <c r="AH155" s="491">
        <v>0.96328130669178103</v>
      </c>
      <c r="AI155" s="491">
        <v>0</v>
      </c>
      <c r="AJ155" s="491">
        <v>0</v>
      </c>
    </row>
    <row r="156" spans="2:36" ht="38.25" x14ac:dyDescent="0.25">
      <c r="B156" s="489" t="s">
        <v>309</v>
      </c>
      <c r="C156" s="489" t="s">
        <v>109</v>
      </c>
      <c r="D156" s="489" t="s">
        <v>346</v>
      </c>
      <c r="E156" s="489" t="s">
        <v>483</v>
      </c>
      <c r="F156" s="490">
        <v>27199264</v>
      </c>
      <c r="G156" s="490">
        <v>0</v>
      </c>
      <c r="H156" s="562">
        <v>0</v>
      </c>
      <c r="I156" s="563"/>
      <c r="J156" s="490">
        <v>27199264</v>
      </c>
      <c r="K156" s="490">
        <v>24667982.48</v>
      </c>
      <c r="L156" s="490">
        <v>0</v>
      </c>
      <c r="M156" s="491">
        <v>0.90693566120024427</v>
      </c>
      <c r="N156" s="491">
        <v>0</v>
      </c>
      <c r="O156" s="564">
        <v>0</v>
      </c>
      <c r="P156" s="565"/>
      <c r="Q156" s="566"/>
      <c r="R156" s="489">
        <v>32</v>
      </c>
      <c r="S156" s="490">
        <v>24667982.48</v>
      </c>
      <c r="T156" s="490">
        <v>0</v>
      </c>
      <c r="U156" s="491">
        <v>0.90693566120024427</v>
      </c>
      <c r="V156" s="491">
        <v>0</v>
      </c>
      <c r="W156" s="491">
        <v>0</v>
      </c>
      <c r="X156" s="489">
        <v>32</v>
      </c>
      <c r="Y156" s="490">
        <v>24667982.48</v>
      </c>
      <c r="Z156" s="490">
        <v>0</v>
      </c>
      <c r="AB156" s="491">
        <v>0.90693566120024427</v>
      </c>
      <c r="AC156" s="491">
        <v>0</v>
      </c>
      <c r="AD156" s="491">
        <v>0</v>
      </c>
      <c r="AE156" s="489">
        <v>32</v>
      </c>
      <c r="AF156" s="490">
        <v>24398504.649999999</v>
      </c>
      <c r="AG156" s="490">
        <v>0</v>
      </c>
      <c r="AH156" s="491">
        <v>0.89702811995206932</v>
      </c>
      <c r="AI156" s="491">
        <v>0</v>
      </c>
      <c r="AJ156" s="491">
        <v>0</v>
      </c>
    </row>
    <row r="157" spans="2:36" ht="38.25" x14ac:dyDescent="0.25">
      <c r="B157" s="489" t="s">
        <v>310</v>
      </c>
      <c r="C157" s="489" t="s">
        <v>572</v>
      </c>
      <c r="D157" s="489" t="s">
        <v>346</v>
      </c>
      <c r="E157" s="489" t="s">
        <v>483</v>
      </c>
      <c r="F157" s="490">
        <v>21448148</v>
      </c>
      <c r="G157" s="490">
        <v>5627882</v>
      </c>
      <c r="H157" s="562">
        <v>0</v>
      </c>
      <c r="I157" s="563"/>
      <c r="J157" s="490">
        <v>21448148</v>
      </c>
      <c r="K157" s="490">
        <v>20560906.02</v>
      </c>
      <c r="L157" s="490">
        <v>4874489.05</v>
      </c>
      <c r="M157" s="491">
        <v>0.95863316590318193</v>
      </c>
      <c r="N157" s="491">
        <v>0</v>
      </c>
      <c r="O157" s="564">
        <v>0</v>
      </c>
      <c r="P157" s="565"/>
      <c r="Q157" s="566"/>
      <c r="R157" s="489">
        <v>22</v>
      </c>
      <c r="S157" s="490">
        <v>20560906.02</v>
      </c>
      <c r="T157" s="490">
        <v>4874489.05</v>
      </c>
      <c r="U157" s="491">
        <v>0.95863316590318193</v>
      </c>
      <c r="V157" s="491">
        <v>0</v>
      </c>
      <c r="W157" s="491">
        <v>0</v>
      </c>
      <c r="X157" s="489">
        <v>22</v>
      </c>
      <c r="Y157" s="490">
        <v>20560906.02</v>
      </c>
      <c r="Z157" s="490">
        <v>4874489.05</v>
      </c>
      <c r="AB157" s="491">
        <v>0.95863316590318193</v>
      </c>
      <c r="AC157" s="491">
        <v>0</v>
      </c>
      <c r="AD157" s="491">
        <v>0</v>
      </c>
      <c r="AE157" s="489">
        <v>22</v>
      </c>
      <c r="AF157" s="490">
        <v>20481049.949999999</v>
      </c>
      <c r="AG157" s="490">
        <v>4535524.3499999996</v>
      </c>
      <c r="AH157" s="491">
        <v>0.95490995073327545</v>
      </c>
      <c r="AI157" s="491">
        <v>0</v>
      </c>
      <c r="AJ157" s="491">
        <v>0</v>
      </c>
    </row>
    <row r="158" spans="2:36" ht="38.25" x14ac:dyDescent="0.25">
      <c r="B158" s="489" t="s">
        <v>311</v>
      </c>
      <c r="C158" s="489" t="s">
        <v>111</v>
      </c>
      <c r="D158" s="489" t="s">
        <v>346</v>
      </c>
      <c r="E158" s="489" t="s">
        <v>483</v>
      </c>
      <c r="F158" s="490">
        <v>1048927</v>
      </c>
      <c r="G158" s="490">
        <v>0</v>
      </c>
      <c r="H158" s="562">
        <v>0</v>
      </c>
      <c r="I158" s="563"/>
      <c r="J158" s="490">
        <v>1048927</v>
      </c>
      <c r="K158" s="490">
        <v>1048926.68</v>
      </c>
      <c r="L158" s="490">
        <v>0</v>
      </c>
      <c r="M158" s="491">
        <v>0.999999694926339</v>
      </c>
      <c r="N158" s="491">
        <v>0</v>
      </c>
      <c r="O158" s="564">
        <v>0</v>
      </c>
      <c r="P158" s="565"/>
      <c r="Q158" s="566"/>
      <c r="R158" s="489">
        <v>1</v>
      </c>
      <c r="S158" s="490">
        <v>1048926.68</v>
      </c>
      <c r="T158" s="490">
        <v>0</v>
      </c>
      <c r="U158" s="491">
        <v>0.999999694926339</v>
      </c>
      <c r="V158" s="491">
        <v>0</v>
      </c>
      <c r="W158" s="491">
        <v>0</v>
      </c>
      <c r="X158" s="489">
        <v>1</v>
      </c>
      <c r="Y158" s="490">
        <v>1048926.68</v>
      </c>
      <c r="Z158" s="490">
        <v>0</v>
      </c>
      <c r="AB158" s="491">
        <v>0.999999694926339</v>
      </c>
      <c r="AC158" s="491">
        <v>0</v>
      </c>
      <c r="AD158" s="491">
        <v>0</v>
      </c>
      <c r="AE158" s="489">
        <v>1</v>
      </c>
      <c r="AF158" s="490">
        <v>1048926.68</v>
      </c>
      <c r="AG158" s="490">
        <v>0</v>
      </c>
      <c r="AH158" s="491">
        <v>0.999999694926339</v>
      </c>
      <c r="AI158" s="491">
        <v>0</v>
      </c>
      <c r="AJ158" s="491">
        <v>0</v>
      </c>
    </row>
    <row r="159" spans="2:36" ht="76.5" x14ac:dyDescent="0.25">
      <c r="B159" s="489" t="s">
        <v>573</v>
      </c>
      <c r="C159" s="489" t="s">
        <v>574</v>
      </c>
      <c r="D159" s="489"/>
      <c r="E159" s="489"/>
      <c r="F159" s="490">
        <v>130865340</v>
      </c>
      <c r="G159" s="490">
        <v>1074024</v>
      </c>
      <c r="H159" s="562">
        <v>0</v>
      </c>
      <c r="I159" s="563"/>
      <c r="J159" s="490">
        <v>130865340</v>
      </c>
      <c r="K159" s="490">
        <v>129444598.92</v>
      </c>
      <c r="L159" s="490">
        <v>1063173.68</v>
      </c>
      <c r="M159" s="491">
        <v>0.98914348841335686</v>
      </c>
      <c r="N159" s="491">
        <v>0</v>
      </c>
      <c r="O159" s="564">
        <v>0</v>
      </c>
      <c r="P159" s="565"/>
      <c r="Q159" s="566"/>
      <c r="R159" s="489">
        <v>19</v>
      </c>
      <c r="S159" s="490">
        <v>129444598.92</v>
      </c>
      <c r="T159" s="490">
        <v>1063173.68</v>
      </c>
      <c r="U159" s="491">
        <v>0.98914348841335686</v>
      </c>
      <c r="V159" s="491">
        <v>0</v>
      </c>
      <c r="W159" s="491">
        <v>0</v>
      </c>
      <c r="X159" s="489">
        <v>19</v>
      </c>
      <c r="Y159" s="490">
        <v>129444598.92</v>
      </c>
      <c r="Z159" s="490">
        <v>1063173.68</v>
      </c>
      <c r="AB159" s="491">
        <v>0.98914348841335686</v>
      </c>
      <c r="AC159" s="491">
        <v>0</v>
      </c>
      <c r="AD159" s="491">
        <v>0</v>
      </c>
      <c r="AE159" s="489">
        <v>19</v>
      </c>
      <c r="AF159" s="490">
        <v>129444598.92</v>
      </c>
      <c r="AG159" s="490">
        <v>1063173.68</v>
      </c>
      <c r="AH159" s="491">
        <v>0.98914348841335686</v>
      </c>
      <c r="AI159" s="491">
        <v>0</v>
      </c>
      <c r="AJ159" s="491">
        <v>0</v>
      </c>
    </row>
    <row r="160" spans="2:36" ht="38.25" x14ac:dyDescent="0.25">
      <c r="B160" s="489" t="s">
        <v>446</v>
      </c>
      <c r="C160" s="489" t="s">
        <v>113</v>
      </c>
      <c r="D160" s="489" t="s">
        <v>346</v>
      </c>
      <c r="E160" s="489" t="s">
        <v>483</v>
      </c>
      <c r="F160" s="490">
        <v>27873911</v>
      </c>
      <c r="G160" s="490">
        <v>0</v>
      </c>
      <c r="H160" s="562">
        <v>0</v>
      </c>
      <c r="I160" s="563"/>
      <c r="J160" s="490">
        <v>27873911</v>
      </c>
      <c r="K160" s="490">
        <v>27675456.140000001</v>
      </c>
      <c r="L160" s="490">
        <v>0</v>
      </c>
      <c r="M160" s="491">
        <v>0.99288026499044213</v>
      </c>
      <c r="N160" s="491">
        <v>0</v>
      </c>
      <c r="O160" s="564">
        <v>0</v>
      </c>
      <c r="P160" s="565"/>
      <c r="Q160" s="566"/>
      <c r="R160" s="489">
        <v>12</v>
      </c>
      <c r="S160" s="490">
        <v>27675456.140000001</v>
      </c>
      <c r="T160" s="490">
        <v>0</v>
      </c>
      <c r="U160" s="491">
        <v>0.99288026499044213</v>
      </c>
      <c r="V160" s="491">
        <v>0</v>
      </c>
      <c r="W160" s="491">
        <v>0</v>
      </c>
      <c r="X160" s="489">
        <v>12</v>
      </c>
      <c r="Y160" s="490">
        <v>27675456.140000001</v>
      </c>
      <c r="Z160" s="490">
        <v>0</v>
      </c>
      <c r="AB160" s="491">
        <v>0.99288026499044213</v>
      </c>
      <c r="AC160" s="491">
        <v>0</v>
      </c>
      <c r="AD160" s="491">
        <v>0</v>
      </c>
      <c r="AE160" s="489">
        <v>12</v>
      </c>
      <c r="AF160" s="490">
        <v>27675456.140000001</v>
      </c>
      <c r="AG160" s="490">
        <v>0</v>
      </c>
      <c r="AH160" s="491">
        <v>0.99288026499044213</v>
      </c>
      <c r="AI160" s="491">
        <v>0</v>
      </c>
      <c r="AJ160" s="491">
        <v>0</v>
      </c>
    </row>
    <row r="161" spans="2:36" ht="38.25" x14ac:dyDescent="0.25">
      <c r="B161" s="489" t="s">
        <v>447</v>
      </c>
      <c r="C161" s="489" t="s">
        <v>575</v>
      </c>
      <c r="D161" s="489" t="s">
        <v>346</v>
      </c>
      <c r="E161" s="489" t="s">
        <v>483</v>
      </c>
      <c r="F161" s="490">
        <v>26768000</v>
      </c>
      <c r="G161" s="490">
        <v>0</v>
      </c>
      <c r="H161" s="562">
        <v>0</v>
      </c>
      <c r="I161" s="563"/>
      <c r="J161" s="490">
        <v>26768000</v>
      </c>
      <c r="K161" s="490">
        <v>26615060.350000001</v>
      </c>
      <c r="L161" s="490">
        <v>0</v>
      </c>
      <c r="M161" s="491">
        <v>0.99428647452181707</v>
      </c>
      <c r="N161" s="491">
        <v>0</v>
      </c>
      <c r="O161" s="564">
        <v>0</v>
      </c>
      <c r="P161" s="565"/>
      <c r="Q161" s="566"/>
      <c r="R161" s="489">
        <v>1</v>
      </c>
      <c r="S161" s="490">
        <v>26615060.350000001</v>
      </c>
      <c r="T161" s="490">
        <v>0</v>
      </c>
      <c r="U161" s="491">
        <v>0.99428647452181707</v>
      </c>
      <c r="V161" s="491">
        <v>0</v>
      </c>
      <c r="W161" s="491">
        <v>0</v>
      </c>
      <c r="X161" s="489">
        <v>1</v>
      </c>
      <c r="Y161" s="490">
        <v>26615060.350000001</v>
      </c>
      <c r="Z161" s="490">
        <v>0</v>
      </c>
      <c r="AB161" s="491">
        <v>0.99428647452181707</v>
      </c>
      <c r="AC161" s="491">
        <v>0</v>
      </c>
      <c r="AD161" s="491">
        <v>0</v>
      </c>
      <c r="AE161" s="489">
        <v>1</v>
      </c>
      <c r="AF161" s="490">
        <v>26615060.350000001</v>
      </c>
      <c r="AG161" s="490">
        <v>0</v>
      </c>
      <c r="AH161" s="491">
        <v>0.99428647452181707</v>
      </c>
      <c r="AI161" s="491">
        <v>0</v>
      </c>
      <c r="AJ161" s="491">
        <v>0</v>
      </c>
    </row>
    <row r="162" spans="2:36" ht="38.25" x14ac:dyDescent="0.25">
      <c r="B162" s="489" t="s">
        <v>312</v>
      </c>
      <c r="C162" s="489" t="s">
        <v>204</v>
      </c>
      <c r="D162" s="489" t="s">
        <v>346</v>
      </c>
      <c r="E162" s="489" t="s">
        <v>483</v>
      </c>
      <c r="F162" s="490">
        <v>1105911</v>
      </c>
      <c r="G162" s="490">
        <v>0</v>
      </c>
      <c r="H162" s="562">
        <v>0</v>
      </c>
      <c r="I162" s="563"/>
      <c r="J162" s="490">
        <v>1105911</v>
      </c>
      <c r="K162" s="490">
        <v>1060395.79</v>
      </c>
      <c r="L162" s="490">
        <v>0</v>
      </c>
      <c r="M162" s="491">
        <v>0.95884369537874203</v>
      </c>
      <c r="N162" s="491">
        <v>0</v>
      </c>
      <c r="O162" s="564">
        <v>0</v>
      </c>
      <c r="P162" s="565"/>
      <c r="Q162" s="566"/>
      <c r="R162" s="489">
        <v>11</v>
      </c>
      <c r="S162" s="490">
        <v>1060395.79</v>
      </c>
      <c r="T162" s="490">
        <v>0</v>
      </c>
      <c r="U162" s="491">
        <v>0.95884369537874203</v>
      </c>
      <c r="V162" s="491">
        <v>0</v>
      </c>
      <c r="W162" s="491">
        <v>0</v>
      </c>
      <c r="X162" s="489">
        <v>11</v>
      </c>
      <c r="Y162" s="490">
        <v>1060395.79</v>
      </c>
      <c r="Z162" s="490">
        <v>0</v>
      </c>
      <c r="AB162" s="491">
        <v>0.95884369537874203</v>
      </c>
      <c r="AC162" s="491">
        <v>0</v>
      </c>
      <c r="AD162" s="491">
        <v>0</v>
      </c>
      <c r="AE162" s="489">
        <v>11</v>
      </c>
      <c r="AF162" s="490">
        <v>1060395.79</v>
      </c>
      <c r="AG162" s="490">
        <v>0</v>
      </c>
      <c r="AH162" s="491">
        <v>0.95884369537874203</v>
      </c>
      <c r="AI162" s="491">
        <v>0</v>
      </c>
      <c r="AJ162" s="491">
        <v>0</v>
      </c>
    </row>
    <row r="163" spans="2:36" ht="38.25" x14ac:dyDescent="0.25">
      <c r="B163" s="489" t="s">
        <v>448</v>
      </c>
      <c r="C163" s="489" t="s">
        <v>576</v>
      </c>
      <c r="D163" s="489" t="s">
        <v>346</v>
      </c>
      <c r="E163" s="489" t="s">
        <v>483</v>
      </c>
      <c r="F163" s="490">
        <v>34361700</v>
      </c>
      <c r="G163" s="490">
        <v>0</v>
      </c>
      <c r="H163" s="562">
        <v>0</v>
      </c>
      <c r="I163" s="563"/>
      <c r="J163" s="490">
        <v>34361700</v>
      </c>
      <c r="K163" s="490">
        <v>33985944.43</v>
      </c>
      <c r="L163" s="490">
        <v>0</v>
      </c>
      <c r="M163" s="491">
        <v>0.9890646979049349</v>
      </c>
      <c r="N163" s="491">
        <v>0</v>
      </c>
      <c r="O163" s="564">
        <v>0</v>
      </c>
      <c r="P163" s="565"/>
      <c r="Q163" s="566"/>
      <c r="R163" s="489">
        <v>2</v>
      </c>
      <c r="S163" s="490">
        <v>33985944.43</v>
      </c>
      <c r="T163" s="490">
        <v>0</v>
      </c>
      <c r="U163" s="491">
        <v>0.9890646979049349</v>
      </c>
      <c r="V163" s="491">
        <v>0</v>
      </c>
      <c r="W163" s="491">
        <v>0</v>
      </c>
      <c r="X163" s="489">
        <v>2</v>
      </c>
      <c r="Y163" s="490">
        <v>33985944.43</v>
      </c>
      <c r="Z163" s="490">
        <v>0</v>
      </c>
      <c r="AB163" s="491">
        <v>0.9890646979049349</v>
      </c>
      <c r="AC163" s="491">
        <v>0</v>
      </c>
      <c r="AD163" s="491">
        <v>0</v>
      </c>
      <c r="AE163" s="489">
        <v>2</v>
      </c>
      <c r="AF163" s="490">
        <v>33985944.43</v>
      </c>
      <c r="AG163" s="490">
        <v>0</v>
      </c>
      <c r="AH163" s="491">
        <v>0.9890646979049349</v>
      </c>
      <c r="AI163" s="491">
        <v>0</v>
      </c>
      <c r="AJ163" s="491">
        <v>0</v>
      </c>
    </row>
    <row r="164" spans="2:36" ht="38.25" x14ac:dyDescent="0.25">
      <c r="B164" s="489" t="s">
        <v>313</v>
      </c>
      <c r="C164" s="489" t="s">
        <v>577</v>
      </c>
      <c r="D164" s="489" t="s">
        <v>346</v>
      </c>
      <c r="E164" s="489" t="s">
        <v>483</v>
      </c>
      <c r="F164" s="490">
        <v>3585597</v>
      </c>
      <c r="G164" s="490">
        <v>0</v>
      </c>
      <c r="H164" s="562">
        <v>0</v>
      </c>
      <c r="I164" s="563"/>
      <c r="J164" s="490">
        <v>3585597</v>
      </c>
      <c r="K164" s="490">
        <v>3555368.62</v>
      </c>
      <c r="L164" s="490">
        <v>0</v>
      </c>
      <c r="M164" s="491">
        <v>0.99156949874734945</v>
      </c>
      <c r="N164" s="491">
        <v>0</v>
      </c>
      <c r="O164" s="564">
        <v>0</v>
      </c>
      <c r="P164" s="565"/>
      <c r="Q164" s="566"/>
      <c r="R164" s="489">
        <v>1</v>
      </c>
      <c r="S164" s="490">
        <v>3555368.62</v>
      </c>
      <c r="T164" s="490">
        <v>0</v>
      </c>
      <c r="U164" s="491">
        <v>0.99156949874734945</v>
      </c>
      <c r="V164" s="491">
        <v>0</v>
      </c>
      <c r="W164" s="491">
        <v>0</v>
      </c>
      <c r="X164" s="489">
        <v>1</v>
      </c>
      <c r="Y164" s="490">
        <v>3555368.62</v>
      </c>
      <c r="Z164" s="490">
        <v>0</v>
      </c>
      <c r="AB164" s="491">
        <v>0.99156949874734945</v>
      </c>
      <c r="AC164" s="491">
        <v>0</v>
      </c>
      <c r="AD164" s="491">
        <v>0</v>
      </c>
      <c r="AE164" s="489">
        <v>1</v>
      </c>
      <c r="AF164" s="490">
        <v>3555368.62</v>
      </c>
      <c r="AG164" s="490">
        <v>0</v>
      </c>
      <c r="AH164" s="491">
        <v>0.99156949874734945</v>
      </c>
      <c r="AI164" s="491">
        <v>0</v>
      </c>
      <c r="AJ164" s="491">
        <v>0</v>
      </c>
    </row>
    <row r="165" spans="2:36" ht="38.25" x14ac:dyDescent="0.25">
      <c r="B165" s="489" t="s">
        <v>314</v>
      </c>
      <c r="C165" s="489" t="s">
        <v>206</v>
      </c>
      <c r="D165" s="489" t="s">
        <v>346</v>
      </c>
      <c r="E165" s="489" t="s">
        <v>483</v>
      </c>
      <c r="F165" s="490">
        <v>30776103</v>
      </c>
      <c r="G165" s="490">
        <v>0</v>
      </c>
      <c r="H165" s="562">
        <v>0</v>
      </c>
      <c r="I165" s="563"/>
      <c r="J165" s="490">
        <v>30776103</v>
      </c>
      <c r="K165" s="490">
        <v>30430575.809999999</v>
      </c>
      <c r="L165" s="490">
        <v>0</v>
      </c>
      <c r="M165" s="491">
        <v>0.98877287387555213</v>
      </c>
      <c r="N165" s="491">
        <v>0</v>
      </c>
      <c r="O165" s="564">
        <v>0</v>
      </c>
      <c r="P165" s="565"/>
      <c r="Q165" s="566"/>
      <c r="R165" s="489">
        <v>1</v>
      </c>
      <c r="S165" s="490">
        <v>30430575.809999999</v>
      </c>
      <c r="T165" s="490">
        <v>0</v>
      </c>
      <c r="U165" s="491">
        <v>0.98877287387555213</v>
      </c>
      <c r="V165" s="491">
        <v>0</v>
      </c>
      <c r="W165" s="491">
        <v>0</v>
      </c>
      <c r="X165" s="489">
        <v>1</v>
      </c>
      <c r="Y165" s="490">
        <v>30430575.809999999</v>
      </c>
      <c r="Z165" s="490">
        <v>0</v>
      </c>
      <c r="AB165" s="491">
        <v>0.98877287387555213</v>
      </c>
      <c r="AC165" s="491">
        <v>0</v>
      </c>
      <c r="AD165" s="491">
        <v>0</v>
      </c>
      <c r="AE165" s="489">
        <v>1</v>
      </c>
      <c r="AF165" s="490">
        <v>30430575.809999999</v>
      </c>
      <c r="AG165" s="490">
        <v>0</v>
      </c>
      <c r="AH165" s="491">
        <v>0.98877287387555213</v>
      </c>
      <c r="AI165" s="491">
        <v>0</v>
      </c>
      <c r="AJ165" s="491">
        <v>0</v>
      </c>
    </row>
    <row r="166" spans="2:36" ht="63.75" x14ac:dyDescent="0.25">
      <c r="B166" s="489" t="s">
        <v>315</v>
      </c>
      <c r="C166" s="489" t="s">
        <v>1533</v>
      </c>
      <c r="D166" s="489" t="s">
        <v>346</v>
      </c>
      <c r="E166" s="489" t="s">
        <v>483</v>
      </c>
      <c r="F166" s="490">
        <v>8265304</v>
      </c>
      <c r="G166" s="490">
        <v>1074024</v>
      </c>
      <c r="H166" s="562">
        <v>0</v>
      </c>
      <c r="I166" s="563"/>
      <c r="J166" s="490">
        <v>8265304</v>
      </c>
      <c r="K166" s="490">
        <v>8235260.0999999996</v>
      </c>
      <c r="L166" s="490">
        <v>1063173.68</v>
      </c>
      <c r="M166" s="491">
        <v>0.9963650580789285</v>
      </c>
      <c r="N166" s="491">
        <v>0</v>
      </c>
      <c r="O166" s="564">
        <v>0</v>
      </c>
      <c r="P166" s="565"/>
      <c r="Q166" s="566"/>
      <c r="R166" s="489">
        <v>1</v>
      </c>
      <c r="S166" s="490">
        <v>8235260.0999999996</v>
      </c>
      <c r="T166" s="490">
        <v>1063173.68</v>
      </c>
      <c r="U166" s="491">
        <v>0.9963650580789285</v>
      </c>
      <c r="V166" s="491">
        <v>0</v>
      </c>
      <c r="W166" s="491">
        <v>0</v>
      </c>
      <c r="X166" s="489">
        <v>1</v>
      </c>
      <c r="Y166" s="490">
        <v>8235260.0999999996</v>
      </c>
      <c r="Z166" s="490">
        <v>1063173.68</v>
      </c>
      <c r="AB166" s="491">
        <v>0.9963650580789285</v>
      </c>
      <c r="AC166" s="491">
        <v>0</v>
      </c>
      <c r="AD166" s="491">
        <v>0</v>
      </c>
      <c r="AE166" s="489">
        <v>1</v>
      </c>
      <c r="AF166" s="490">
        <v>8235260.0999999996</v>
      </c>
      <c r="AG166" s="490">
        <v>1063173.68</v>
      </c>
      <c r="AH166" s="491">
        <v>0.9963650580789285</v>
      </c>
      <c r="AI166" s="491">
        <v>0</v>
      </c>
      <c r="AJ166" s="491">
        <v>0</v>
      </c>
    </row>
    <row r="167" spans="2:36" ht="38.25" x14ac:dyDescent="0.25">
      <c r="B167" s="489" t="s">
        <v>316</v>
      </c>
      <c r="C167" s="489" t="s">
        <v>116</v>
      </c>
      <c r="D167" s="489" t="s">
        <v>346</v>
      </c>
      <c r="E167" s="489" t="s">
        <v>483</v>
      </c>
      <c r="F167" s="490">
        <v>30727948</v>
      </c>
      <c r="G167" s="490">
        <v>0</v>
      </c>
      <c r="H167" s="562">
        <v>0</v>
      </c>
      <c r="I167" s="563"/>
      <c r="J167" s="490">
        <v>30727948</v>
      </c>
      <c r="K167" s="490">
        <v>30166486.23</v>
      </c>
      <c r="L167" s="490">
        <v>0</v>
      </c>
      <c r="M167" s="491">
        <v>0.9817279770845746</v>
      </c>
      <c r="N167" s="491">
        <v>0</v>
      </c>
      <c r="O167" s="564">
        <v>0</v>
      </c>
      <c r="P167" s="565"/>
      <c r="Q167" s="566"/>
      <c r="R167" s="489">
        <v>1</v>
      </c>
      <c r="S167" s="490">
        <v>30166486.23</v>
      </c>
      <c r="T167" s="490">
        <v>0</v>
      </c>
      <c r="U167" s="491">
        <v>0.9817279770845746</v>
      </c>
      <c r="V167" s="491">
        <v>0</v>
      </c>
      <c r="W167" s="491">
        <v>0</v>
      </c>
      <c r="X167" s="489">
        <v>1</v>
      </c>
      <c r="Y167" s="490">
        <v>30166486.23</v>
      </c>
      <c r="Z167" s="490">
        <v>0</v>
      </c>
      <c r="AB167" s="491">
        <v>0.9817279770845746</v>
      </c>
      <c r="AC167" s="491">
        <v>0</v>
      </c>
      <c r="AD167" s="491">
        <v>0</v>
      </c>
      <c r="AE167" s="489">
        <v>1</v>
      </c>
      <c r="AF167" s="490">
        <v>30166486.23</v>
      </c>
      <c r="AG167" s="490">
        <v>0</v>
      </c>
      <c r="AH167" s="491">
        <v>0.9817279770845746</v>
      </c>
      <c r="AI167" s="491">
        <v>0</v>
      </c>
      <c r="AJ167" s="491">
        <v>0</v>
      </c>
    </row>
    <row r="168" spans="2:36" ht="38.25" x14ac:dyDescent="0.25">
      <c r="B168" s="489" t="s">
        <v>317</v>
      </c>
      <c r="C168" s="489" t="s">
        <v>117</v>
      </c>
      <c r="D168" s="489" t="s">
        <v>346</v>
      </c>
      <c r="E168" s="489" t="s">
        <v>483</v>
      </c>
      <c r="F168" s="490">
        <v>20075865</v>
      </c>
      <c r="G168" s="490">
        <v>0</v>
      </c>
      <c r="H168" s="562">
        <v>0</v>
      </c>
      <c r="I168" s="563"/>
      <c r="J168" s="490">
        <v>20075865</v>
      </c>
      <c r="K168" s="490">
        <v>19942396.420000002</v>
      </c>
      <c r="L168" s="490">
        <v>0</v>
      </c>
      <c r="M168" s="491">
        <v>0.99335178932514245</v>
      </c>
      <c r="N168" s="491">
        <v>0</v>
      </c>
      <c r="O168" s="564">
        <v>0</v>
      </c>
      <c r="P168" s="565"/>
      <c r="Q168" s="566"/>
      <c r="R168" s="489">
        <v>1</v>
      </c>
      <c r="S168" s="490">
        <v>19942396.420000002</v>
      </c>
      <c r="T168" s="490">
        <v>0</v>
      </c>
      <c r="U168" s="491">
        <v>0.99335178932514245</v>
      </c>
      <c r="V168" s="491">
        <v>0</v>
      </c>
      <c r="W168" s="491">
        <v>0</v>
      </c>
      <c r="X168" s="489">
        <v>1</v>
      </c>
      <c r="Y168" s="490">
        <v>19942396.420000002</v>
      </c>
      <c r="Z168" s="490">
        <v>0</v>
      </c>
      <c r="AB168" s="491">
        <v>0.99335178932514245</v>
      </c>
      <c r="AC168" s="491">
        <v>0</v>
      </c>
      <c r="AD168" s="491">
        <v>0</v>
      </c>
      <c r="AE168" s="489">
        <v>1</v>
      </c>
      <c r="AF168" s="490">
        <v>19942396.420000002</v>
      </c>
      <c r="AG168" s="490">
        <v>0</v>
      </c>
      <c r="AH168" s="491">
        <v>0.99335178932514245</v>
      </c>
      <c r="AI168" s="491">
        <v>0</v>
      </c>
      <c r="AJ168" s="491">
        <v>0</v>
      </c>
    </row>
    <row r="169" spans="2:36" ht="38.25" x14ac:dyDescent="0.25">
      <c r="B169" s="489" t="s">
        <v>449</v>
      </c>
      <c r="C169" s="489" t="s">
        <v>118</v>
      </c>
      <c r="D169" s="489" t="s">
        <v>346</v>
      </c>
      <c r="E169" s="489" t="s">
        <v>483</v>
      </c>
      <c r="F169" s="490">
        <v>9560612</v>
      </c>
      <c r="G169" s="490">
        <v>0</v>
      </c>
      <c r="H169" s="562">
        <v>0</v>
      </c>
      <c r="I169" s="563"/>
      <c r="J169" s="490">
        <v>9560612</v>
      </c>
      <c r="K169" s="490">
        <v>9439055.5999999996</v>
      </c>
      <c r="L169" s="490">
        <v>0</v>
      </c>
      <c r="M169" s="491">
        <v>0.98728570932488424</v>
      </c>
      <c r="N169" s="491">
        <v>0</v>
      </c>
      <c r="O169" s="564">
        <v>0</v>
      </c>
      <c r="P169" s="565"/>
      <c r="Q169" s="566"/>
      <c r="R169" s="489">
        <v>2</v>
      </c>
      <c r="S169" s="490">
        <v>9439055.5999999996</v>
      </c>
      <c r="T169" s="490">
        <v>0</v>
      </c>
      <c r="U169" s="491">
        <v>0.98728570932488424</v>
      </c>
      <c r="V169" s="491">
        <v>0</v>
      </c>
      <c r="W169" s="491">
        <v>0</v>
      </c>
      <c r="X169" s="489">
        <v>2</v>
      </c>
      <c r="Y169" s="490">
        <v>9439055.5999999996</v>
      </c>
      <c r="Z169" s="490">
        <v>0</v>
      </c>
      <c r="AB169" s="491">
        <v>0.98728570932488424</v>
      </c>
      <c r="AC169" s="491">
        <v>0</v>
      </c>
      <c r="AD169" s="491">
        <v>0</v>
      </c>
      <c r="AE169" s="489">
        <v>2</v>
      </c>
      <c r="AF169" s="490">
        <v>9439055.5999999996</v>
      </c>
      <c r="AG169" s="490">
        <v>0</v>
      </c>
      <c r="AH169" s="491">
        <v>0.98728570932488424</v>
      </c>
      <c r="AI169" s="491">
        <v>0</v>
      </c>
      <c r="AJ169" s="491">
        <v>0</v>
      </c>
    </row>
    <row r="170" spans="2:36" ht="38.25" x14ac:dyDescent="0.25">
      <c r="B170" s="489" t="s">
        <v>318</v>
      </c>
      <c r="C170" s="489" t="s">
        <v>578</v>
      </c>
      <c r="D170" s="489" t="s">
        <v>346</v>
      </c>
      <c r="E170" s="489" t="s">
        <v>483</v>
      </c>
      <c r="F170" s="490">
        <v>5765907</v>
      </c>
      <c r="G170" s="490">
        <v>0</v>
      </c>
      <c r="H170" s="562">
        <v>0</v>
      </c>
      <c r="I170" s="563"/>
      <c r="J170" s="490">
        <v>5765907</v>
      </c>
      <c r="K170" s="490">
        <v>5732007.0999999996</v>
      </c>
      <c r="L170" s="490">
        <v>0</v>
      </c>
      <c r="M170" s="491">
        <v>0.99412063011075269</v>
      </c>
      <c r="N170" s="491">
        <v>0</v>
      </c>
      <c r="O170" s="564">
        <v>0</v>
      </c>
      <c r="P170" s="565"/>
      <c r="Q170" s="566"/>
      <c r="R170" s="489">
        <v>1</v>
      </c>
      <c r="S170" s="490">
        <v>5732007.0999999996</v>
      </c>
      <c r="T170" s="490">
        <v>0</v>
      </c>
      <c r="U170" s="491">
        <v>0.99412063011075269</v>
      </c>
      <c r="V170" s="491">
        <v>0</v>
      </c>
      <c r="W170" s="491">
        <v>0</v>
      </c>
      <c r="X170" s="489">
        <v>1</v>
      </c>
      <c r="Y170" s="490">
        <v>5732007.0999999996</v>
      </c>
      <c r="Z170" s="490">
        <v>0</v>
      </c>
      <c r="AB170" s="491">
        <v>0.99412063011075269</v>
      </c>
      <c r="AC170" s="491">
        <v>0</v>
      </c>
      <c r="AD170" s="491">
        <v>0</v>
      </c>
      <c r="AE170" s="489">
        <v>1</v>
      </c>
      <c r="AF170" s="490">
        <v>5732007.0999999996</v>
      </c>
      <c r="AG170" s="490">
        <v>0</v>
      </c>
      <c r="AH170" s="491">
        <v>0.99412063011075269</v>
      </c>
      <c r="AI170" s="491">
        <v>0</v>
      </c>
      <c r="AJ170" s="491">
        <v>0</v>
      </c>
    </row>
    <row r="171" spans="2:36" ht="38.25" x14ac:dyDescent="0.25">
      <c r="B171" s="489" t="s">
        <v>319</v>
      </c>
      <c r="C171" s="489" t="s">
        <v>208</v>
      </c>
      <c r="D171" s="489" t="s">
        <v>346</v>
      </c>
      <c r="E171" s="489" t="s">
        <v>483</v>
      </c>
      <c r="F171" s="490">
        <v>3794705</v>
      </c>
      <c r="G171" s="490">
        <v>0</v>
      </c>
      <c r="H171" s="562">
        <v>0</v>
      </c>
      <c r="I171" s="563"/>
      <c r="J171" s="490">
        <v>3794705</v>
      </c>
      <c r="K171" s="490">
        <v>3707048.5</v>
      </c>
      <c r="L171" s="490">
        <v>0</v>
      </c>
      <c r="M171" s="491">
        <v>0.97690031240900144</v>
      </c>
      <c r="N171" s="491">
        <v>0</v>
      </c>
      <c r="O171" s="564">
        <v>0</v>
      </c>
      <c r="P171" s="565"/>
      <c r="Q171" s="566"/>
      <c r="R171" s="489">
        <v>1</v>
      </c>
      <c r="S171" s="490">
        <v>3707048.5</v>
      </c>
      <c r="T171" s="490">
        <v>0</v>
      </c>
      <c r="U171" s="491">
        <v>0.97690031240900144</v>
      </c>
      <c r="V171" s="491">
        <v>0</v>
      </c>
      <c r="W171" s="491">
        <v>0</v>
      </c>
      <c r="X171" s="489">
        <v>1</v>
      </c>
      <c r="Y171" s="490">
        <v>3707048.5</v>
      </c>
      <c r="Z171" s="490">
        <v>0</v>
      </c>
      <c r="AB171" s="491">
        <v>0.97690031240900144</v>
      </c>
      <c r="AC171" s="491">
        <v>0</v>
      </c>
      <c r="AD171" s="491">
        <v>0</v>
      </c>
      <c r="AE171" s="489">
        <v>1</v>
      </c>
      <c r="AF171" s="490">
        <v>3707048.5</v>
      </c>
      <c r="AG171" s="490">
        <v>0</v>
      </c>
      <c r="AH171" s="491">
        <v>0.97690031240900144</v>
      </c>
      <c r="AI171" s="491">
        <v>0</v>
      </c>
      <c r="AJ171" s="491">
        <v>0</v>
      </c>
    </row>
    <row r="172" spans="2:36" ht="76.5" x14ac:dyDescent="0.25">
      <c r="B172" s="489" t="s">
        <v>579</v>
      </c>
      <c r="C172" s="489" t="s">
        <v>580</v>
      </c>
      <c r="D172" s="489"/>
      <c r="E172" s="489"/>
      <c r="F172" s="490">
        <v>37406057</v>
      </c>
      <c r="G172" s="490">
        <v>0</v>
      </c>
      <c r="H172" s="562">
        <v>0</v>
      </c>
      <c r="I172" s="563"/>
      <c r="J172" s="490">
        <v>37406057</v>
      </c>
      <c r="K172" s="490">
        <v>36926055.189999998</v>
      </c>
      <c r="L172" s="490">
        <v>0</v>
      </c>
      <c r="M172" s="491">
        <v>0.98716780520331238</v>
      </c>
      <c r="N172" s="491">
        <v>0</v>
      </c>
      <c r="O172" s="564">
        <v>0</v>
      </c>
      <c r="P172" s="565"/>
      <c r="Q172" s="566"/>
      <c r="R172" s="489">
        <v>1</v>
      </c>
      <c r="S172" s="490">
        <v>36926055.189999998</v>
      </c>
      <c r="T172" s="490">
        <v>0</v>
      </c>
      <c r="U172" s="491">
        <v>0.98716780520331238</v>
      </c>
      <c r="V172" s="491">
        <v>0</v>
      </c>
      <c r="W172" s="491">
        <v>0</v>
      </c>
      <c r="X172" s="489">
        <v>1</v>
      </c>
      <c r="Y172" s="490">
        <v>36926055.189999998</v>
      </c>
      <c r="Z172" s="490">
        <v>0</v>
      </c>
      <c r="AB172" s="491">
        <v>0.98716780520331238</v>
      </c>
      <c r="AC172" s="491">
        <v>0</v>
      </c>
      <c r="AD172" s="491">
        <v>0</v>
      </c>
      <c r="AE172" s="489">
        <v>1</v>
      </c>
      <c r="AF172" s="490">
        <v>36926055.189999998</v>
      </c>
      <c r="AG172" s="490">
        <v>0</v>
      </c>
      <c r="AH172" s="491">
        <v>0.98716780520331238</v>
      </c>
      <c r="AI172" s="491">
        <v>0</v>
      </c>
      <c r="AJ172" s="491">
        <v>0</v>
      </c>
    </row>
    <row r="173" spans="2:36" ht="38.25" x14ac:dyDescent="0.25">
      <c r="B173" s="489" t="s">
        <v>450</v>
      </c>
      <c r="C173" s="489" t="s">
        <v>415</v>
      </c>
      <c r="D173" s="489" t="s">
        <v>346</v>
      </c>
      <c r="E173" s="489" t="s">
        <v>483</v>
      </c>
      <c r="F173" s="490">
        <v>37406057</v>
      </c>
      <c r="G173" s="490">
        <v>0</v>
      </c>
      <c r="H173" s="562">
        <v>0</v>
      </c>
      <c r="I173" s="563"/>
      <c r="J173" s="490">
        <v>37406057</v>
      </c>
      <c r="K173" s="490">
        <v>36926055.189999998</v>
      </c>
      <c r="L173" s="490">
        <v>0</v>
      </c>
      <c r="M173" s="491">
        <v>0.98716780520331238</v>
      </c>
      <c r="N173" s="491">
        <v>0</v>
      </c>
      <c r="O173" s="564">
        <v>0</v>
      </c>
      <c r="P173" s="565"/>
      <c r="Q173" s="566"/>
      <c r="R173" s="489">
        <v>1</v>
      </c>
      <c r="S173" s="490">
        <v>36926055.189999998</v>
      </c>
      <c r="T173" s="490">
        <v>0</v>
      </c>
      <c r="U173" s="491">
        <v>0.98716780520331238</v>
      </c>
      <c r="V173" s="491">
        <v>0</v>
      </c>
      <c r="W173" s="491">
        <v>0</v>
      </c>
      <c r="X173" s="489">
        <v>1</v>
      </c>
      <c r="Y173" s="490">
        <v>36926055.189999998</v>
      </c>
      <c r="Z173" s="490">
        <v>0</v>
      </c>
      <c r="AB173" s="491">
        <v>0.98716780520331238</v>
      </c>
      <c r="AC173" s="491">
        <v>0</v>
      </c>
      <c r="AD173" s="491">
        <v>0</v>
      </c>
      <c r="AE173" s="489">
        <v>1</v>
      </c>
      <c r="AF173" s="490">
        <v>36926055.189999998</v>
      </c>
      <c r="AG173" s="490">
        <v>0</v>
      </c>
      <c r="AH173" s="491">
        <v>0.98716780520331238</v>
      </c>
      <c r="AI173" s="491">
        <v>0</v>
      </c>
      <c r="AJ173" s="491">
        <v>0</v>
      </c>
    </row>
    <row r="174" spans="2:36" ht="102" x14ac:dyDescent="0.25">
      <c r="B174" s="489" t="s">
        <v>581</v>
      </c>
      <c r="C174" s="489" t="s">
        <v>582</v>
      </c>
      <c r="D174" s="489"/>
      <c r="E174" s="489"/>
      <c r="F174" s="490">
        <v>29845423</v>
      </c>
      <c r="G174" s="490">
        <v>0</v>
      </c>
      <c r="H174" s="562">
        <v>0</v>
      </c>
      <c r="I174" s="563"/>
      <c r="J174" s="490">
        <v>29845423</v>
      </c>
      <c r="K174" s="490">
        <v>29560138.41</v>
      </c>
      <c r="L174" s="490">
        <v>0</v>
      </c>
      <c r="M174" s="491">
        <v>0.99044126162996582</v>
      </c>
      <c r="N174" s="491">
        <v>0</v>
      </c>
      <c r="O174" s="564">
        <v>0</v>
      </c>
      <c r="P174" s="565"/>
      <c r="Q174" s="566"/>
      <c r="R174" s="489">
        <v>3</v>
      </c>
      <c r="S174" s="490">
        <v>29560138.41</v>
      </c>
      <c r="T174" s="490">
        <v>0</v>
      </c>
      <c r="U174" s="491">
        <v>0.99044126162996582</v>
      </c>
      <c r="V174" s="491">
        <v>0</v>
      </c>
      <c r="W174" s="491">
        <v>0</v>
      </c>
      <c r="X174" s="489">
        <v>3</v>
      </c>
      <c r="Y174" s="490">
        <v>29560138.41</v>
      </c>
      <c r="Z174" s="490">
        <v>0</v>
      </c>
      <c r="AB174" s="491">
        <v>0.99044126162996582</v>
      </c>
      <c r="AC174" s="491">
        <v>0</v>
      </c>
      <c r="AD174" s="491">
        <v>0</v>
      </c>
      <c r="AE174" s="489">
        <v>3</v>
      </c>
      <c r="AF174" s="490">
        <v>29560138.41</v>
      </c>
      <c r="AG174" s="490">
        <v>0</v>
      </c>
      <c r="AH174" s="491">
        <v>0.99044126162996582</v>
      </c>
      <c r="AI174" s="491">
        <v>0</v>
      </c>
      <c r="AJ174" s="491">
        <v>0</v>
      </c>
    </row>
    <row r="175" spans="2:36" ht="38.25" x14ac:dyDescent="0.25">
      <c r="B175" s="489" t="s">
        <v>320</v>
      </c>
      <c r="C175" s="489" t="s">
        <v>124</v>
      </c>
      <c r="D175" s="489" t="s">
        <v>346</v>
      </c>
      <c r="E175" s="489" t="s">
        <v>483</v>
      </c>
      <c r="F175" s="490">
        <v>13642147</v>
      </c>
      <c r="G175" s="490">
        <v>0</v>
      </c>
      <c r="H175" s="562">
        <v>0</v>
      </c>
      <c r="I175" s="563"/>
      <c r="J175" s="490">
        <v>13642147</v>
      </c>
      <c r="K175" s="490">
        <v>13622344.84</v>
      </c>
      <c r="L175" s="490">
        <v>0</v>
      </c>
      <c r="M175" s="491">
        <v>0.99854845721864749</v>
      </c>
      <c r="N175" s="491">
        <v>0</v>
      </c>
      <c r="O175" s="564">
        <v>0</v>
      </c>
      <c r="P175" s="565"/>
      <c r="Q175" s="566"/>
      <c r="R175" s="489">
        <v>1</v>
      </c>
      <c r="S175" s="490">
        <v>13622344.84</v>
      </c>
      <c r="T175" s="490">
        <v>0</v>
      </c>
      <c r="U175" s="491">
        <v>0.99854845721864749</v>
      </c>
      <c r="V175" s="491">
        <v>0</v>
      </c>
      <c r="W175" s="491">
        <v>0</v>
      </c>
      <c r="X175" s="489">
        <v>1</v>
      </c>
      <c r="Y175" s="490">
        <v>13622344.84</v>
      </c>
      <c r="Z175" s="490">
        <v>0</v>
      </c>
      <c r="AB175" s="491">
        <v>0.99854845721864749</v>
      </c>
      <c r="AC175" s="491">
        <v>0</v>
      </c>
      <c r="AD175" s="491">
        <v>0</v>
      </c>
      <c r="AE175" s="489">
        <v>1</v>
      </c>
      <c r="AF175" s="490">
        <v>13622344.84</v>
      </c>
      <c r="AG175" s="490">
        <v>0</v>
      </c>
      <c r="AH175" s="491">
        <v>0.99854845721864749</v>
      </c>
      <c r="AI175" s="491">
        <v>0</v>
      </c>
      <c r="AJ175" s="491">
        <v>0</v>
      </c>
    </row>
    <row r="176" spans="2:36" ht="38.25" x14ac:dyDescent="0.25">
      <c r="B176" s="489" t="s">
        <v>321</v>
      </c>
      <c r="C176" s="489" t="s">
        <v>125</v>
      </c>
      <c r="D176" s="489" t="s">
        <v>346</v>
      </c>
      <c r="E176" s="489" t="s">
        <v>483</v>
      </c>
      <c r="F176" s="490">
        <v>10686696</v>
      </c>
      <c r="G176" s="490">
        <v>0</v>
      </c>
      <c r="H176" s="562">
        <v>0</v>
      </c>
      <c r="I176" s="563"/>
      <c r="J176" s="490">
        <v>10686696</v>
      </c>
      <c r="K176" s="490">
        <v>10615913.76</v>
      </c>
      <c r="L176" s="490">
        <v>0</v>
      </c>
      <c r="M176" s="491">
        <v>0.9933766020854341</v>
      </c>
      <c r="N176" s="491">
        <v>0</v>
      </c>
      <c r="O176" s="564">
        <v>0</v>
      </c>
      <c r="P176" s="565"/>
      <c r="Q176" s="566"/>
      <c r="R176" s="489">
        <v>1</v>
      </c>
      <c r="S176" s="490">
        <v>10615913.76</v>
      </c>
      <c r="T176" s="490">
        <v>0</v>
      </c>
      <c r="U176" s="491">
        <v>0.9933766020854341</v>
      </c>
      <c r="V176" s="491">
        <v>0</v>
      </c>
      <c r="W176" s="491">
        <v>0</v>
      </c>
      <c r="X176" s="489">
        <v>1</v>
      </c>
      <c r="Y176" s="490">
        <v>10615913.76</v>
      </c>
      <c r="Z176" s="490">
        <v>0</v>
      </c>
      <c r="AB176" s="491">
        <v>0.9933766020854341</v>
      </c>
      <c r="AC176" s="491">
        <v>0</v>
      </c>
      <c r="AD176" s="491">
        <v>0</v>
      </c>
      <c r="AE176" s="489">
        <v>1</v>
      </c>
      <c r="AF176" s="490">
        <v>10615913.76</v>
      </c>
      <c r="AG176" s="490">
        <v>0</v>
      </c>
      <c r="AH176" s="491">
        <v>0.9933766020854341</v>
      </c>
      <c r="AI176" s="491">
        <v>0</v>
      </c>
      <c r="AJ176" s="491">
        <v>0</v>
      </c>
    </row>
    <row r="177" spans="2:36" ht="38.25" x14ac:dyDescent="0.25">
      <c r="B177" s="489" t="s">
        <v>322</v>
      </c>
      <c r="C177" s="489" t="s">
        <v>126</v>
      </c>
      <c r="D177" s="489" t="s">
        <v>346</v>
      </c>
      <c r="E177" s="489" t="s">
        <v>483</v>
      </c>
      <c r="F177" s="490">
        <v>5516580</v>
      </c>
      <c r="G177" s="490">
        <v>0</v>
      </c>
      <c r="H177" s="562">
        <v>0</v>
      </c>
      <c r="I177" s="563"/>
      <c r="J177" s="490">
        <v>5516580</v>
      </c>
      <c r="K177" s="490">
        <v>5321879.8099999996</v>
      </c>
      <c r="L177" s="490">
        <v>0</v>
      </c>
      <c r="M177" s="491">
        <v>0.96470635973737351</v>
      </c>
      <c r="N177" s="491">
        <v>0</v>
      </c>
      <c r="O177" s="564">
        <v>0</v>
      </c>
      <c r="P177" s="565"/>
      <c r="Q177" s="566"/>
      <c r="R177" s="489">
        <v>1</v>
      </c>
      <c r="S177" s="490">
        <v>5321879.8099999996</v>
      </c>
      <c r="T177" s="490">
        <v>0</v>
      </c>
      <c r="U177" s="491">
        <v>0.96470635973737351</v>
      </c>
      <c r="V177" s="491">
        <v>0</v>
      </c>
      <c r="W177" s="491">
        <v>0</v>
      </c>
      <c r="X177" s="489">
        <v>1</v>
      </c>
      <c r="Y177" s="490">
        <v>5321879.8099999996</v>
      </c>
      <c r="Z177" s="490">
        <v>0</v>
      </c>
      <c r="AB177" s="491">
        <v>0.96470635973737351</v>
      </c>
      <c r="AC177" s="491">
        <v>0</v>
      </c>
      <c r="AD177" s="491">
        <v>0</v>
      </c>
      <c r="AE177" s="489">
        <v>1</v>
      </c>
      <c r="AF177" s="490">
        <v>5321879.8099999996</v>
      </c>
      <c r="AG177" s="490">
        <v>0</v>
      </c>
      <c r="AH177" s="491">
        <v>0.96470635973737351</v>
      </c>
      <c r="AI177" s="491">
        <v>0</v>
      </c>
      <c r="AJ177" s="491">
        <v>0</v>
      </c>
    </row>
    <row r="178" spans="2:36" x14ac:dyDescent="0.25">
      <c r="B178" s="486" t="s">
        <v>323</v>
      </c>
      <c r="C178" s="486" t="s">
        <v>130</v>
      </c>
      <c r="D178" s="486"/>
      <c r="E178" s="486"/>
      <c r="F178" s="487">
        <v>498622904</v>
      </c>
      <c r="G178" s="487">
        <v>55833116</v>
      </c>
      <c r="H178" s="567">
        <v>14530393</v>
      </c>
      <c r="I178" s="568"/>
      <c r="J178" s="487">
        <v>513153297</v>
      </c>
      <c r="K178" s="487">
        <v>550329878.26999998</v>
      </c>
      <c r="L178" s="487">
        <v>53938091.5</v>
      </c>
      <c r="M178" s="488">
        <v>1.1036995570303767</v>
      </c>
      <c r="N178" s="488">
        <v>-5.2128438287704491E-2</v>
      </c>
      <c r="O178" s="559">
        <v>-4.5100515387117672E-2</v>
      </c>
      <c r="P178" s="560"/>
      <c r="Q178" s="561"/>
      <c r="R178" s="486">
        <v>612</v>
      </c>
      <c r="S178" s="487">
        <v>550329878.26999998</v>
      </c>
      <c r="T178" s="487">
        <v>53938091.5</v>
      </c>
      <c r="U178" s="488">
        <v>1.1036995570303767</v>
      </c>
      <c r="V178" s="488">
        <v>-5.2128438287704491E-2</v>
      </c>
      <c r="W178" s="488">
        <v>-4.5100515387117672E-2</v>
      </c>
      <c r="X178" s="486">
        <v>612</v>
      </c>
      <c r="Y178" s="487">
        <v>550329878.26999998</v>
      </c>
      <c r="Z178" s="487">
        <v>53938091.5</v>
      </c>
      <c r="AB178" s="488">
        <v>1.1036995570303767</v>
      </c>
      <c r="AC178" s="488">
        <v>-5.2128438287704491E-2</v>
      </c>
      <c r="AD178" s="488">
        <v>-4.5100515387117672E-2</v>
      </c>
      <c r="AE178" s="486">
        <v>612</v>
      </c>
      <c r="AF178" s="487">
        <v>548577026.16999996</v>
      </c>
      <c r="AG178" s="487">
        <v>50659182.5</v>
      </c>
      <c r="AH178" s="488">
        <v>1.1001841707816935</v>
      </c>
      <c r="AI178" s="488">
        <v>0</v>
      </c>
      <c r="AJ178" s="488">
        <v>0</v>
      </c>
    </row>
    <row r="179" spans="2:36" ht="38.25" x14ac:dyDescent="0.25">
      <c r="B179" s="489" t="s">
        <v>583</v>
      </c>
      <c r="C179" s="489" t="s">
        <v>584</v>
      </c>
      <c r="D179" s="489"/>
      <c r="E179" s="489"/>
      <c r="F179" s="490">
        <v>113318823</v>
      </c>
      <c r="G179" s="490">
        <v>0</v>
      </c>
      <c r="H179" s="562">
        <v>0</v>
      </c>
      <c r="I179" s="563"/>
      <c r="J179" s="490">
        <v>113318823</v>
      </c>
      <c r="K179" s="490">
        <v>111734903.26000001</v>
      </c>
      <c r="L179" s="490">
        <v>0</v>
      </c>
      <c r="M179" s="491">
        <v>0.98602244800936556</v>
      </c>
      <c r="N179" s="491">
        <v>0</v>
      </c>
      <c r="O179" s="564">
        <v>0</v>
      </c>
      <c r="P179" s="565"/>
      <c r="Q179" s="566"/>
      <c r="R179" s="489">
        <v>9</v>
      </c>
      <c r="S179" s="490">
        <v>111734903.26000001</v>
      </c>
      <c r="T179" s="490">
        <v>0</v>
      </c>
      <c r="U179" s="491">
        <v>0.98602244800936556</v>
      </c>
      <c r="V179" s="491">
        <v>0</v>
      </c>
      <c r="W179" s="491">
        <v>0</v>
      </c>
      <c r="X179" s="489">
        <v>9</v>
      </c>
      <c r="Y179" s="490">
        <v>111734903.26000001</v>
      </c>
      <c r="Z179" s="490">
        <v>0</v>
      </c>
      <c r="AB179" s="491">
        <v>0.98602244800936556</v>
      </c>
      <c r="AC179" s="491">
        <v>0</v>
      </c>
      <c r="AD179" s="491">
        <v>0</v>
      </c>
      <c r="AE179" s="489">
        <v>9</v>
      </c>
      <c r="AF179" s="490">
        <v>110927947.76000001</v>
      </c>
      <c r="AG179" s="490">
        <v>0</v>
      </c>
      <c r="AH179" s="491">
        <v>0.97890134068900447</v>
      </c>
      <c r="AI179" s="491">
        <v>0</v>
      </c>
      <c r="AJ179" s="491">
        <v>0</v>
      </c>
    </row>
    <row r="180" spans="2:36" ht="38.25" x14ac:dyDescent="0.25">
      <c r="B180" s="489" t="s">
        <v>451</v>
      </c>
      <c r="C180" s="489" t="s">
        <v>1541</v>
      </c>
      <c r="D180" s="489" t="s">
        <v>346</v>
      </c>
      <c r="E180" s="489" t="s">
        <v>553</v>
      </c>
      <c r="F180" s="490">
        <v>95567990</v>
      </c>
      <c r="G180" s="490">
        <v>0</v>
      </c>
      <c r="H180" s="562">
        <v>0</v>
      </c>
      <c r="I180" s="563"/>
      <c r="J180" s="490">
        <v>95567990</v>
      </c>
      <c r="K180" s="490">
        <v>94245200.739999995</v>
      </c>
      <c r="L180" s="490">
        <v>0</v>
      </c>
      <c r="M180" s="491">
        <v>0.98615865772629518</v>
      </c>
      <c r="N180" s="491">
        <v>0</v>
      </c>
      <c r="O180" s="564">
        <v>0</v>
      </c>
      <c r="P180" s="565"/>
      <c r="Q180" s="566"/>
      <c r="R180" s="489">
        <v>3</v>
      </c>
      <c r="S180" s="490">
        <v>94245200.739999995</v>
      </c>
      <c r="T180" s="490">
        <v>0</v>
      </c>
      <c r="U180" s="491">
        <v>0.98615865772629518</v>
      </c>
      <c r="V180" s="491">
        <v>0</v>
      </c>
      <c r="W180" s="491">
        <v>0</v>
      </c>
      <c r="X180" s="489">
        <v>3</v>
      </c>
      <c r="Y180" s="490">
        <v>94245200.739999995</v>
      </c>
      <c r="Z180" s="490">
        <v>0</v>
      </c>
      <c r="AB180" s="491">
        <v>0.98615865772629518</v>
      </c>
      <c r="AC180" s="491">
        <v>0</v>
      </c>
      <c r="AD180" s="491">
        <v>0</v>
      </c>
      <c r="AE180" s="489">
        <v>3</v>
      </c>
      <c r="AF180" s="490">
        <v>93438245.239999995</v>
      </c>
      <c r="AG180" s="490">
        <v>0</v>
      </c>
      <c r="AH180" s="491">
        <v>0.97771487335874696</v>
      </c>
      <c r="AI180" s="491">
        <v>0</v>
      </c>
      <c r="AJ180" s="491">
        <v>0</v>
      </c>
    </row>
    <row r="181" spans="2:36" ht="25.5" x14ac:dyDescent="0.25">
      <c r="B181" s="489" t="s">
        <v>324</v>
      </c>
      <c r="C181" s="489" t="s">
        <v>585</v>
      </c>
      <c r="D181" s="489" t="s">
        <v>346</v>
      </c>
      <c r="E181" s="489" t="s">
        <v>553</v>
      </c>
      <c r="F181" s="490">
        <v>65931882</v>
      </c>
      <c r="G181" s="490">
        <v>0</v>
      </c>
      <c r="H181" s="562">
        <v>0</v>
      </c>
      <c r="I181" s="563"/>
      <c r="J181" s="490">
        <v>65931882</v>
      </c>
      <c r="K181" s="490">
        <v>65086757.420000002</v>
      </c>
      <c r="L181" s="490">
        <v>0</v>
      </c>
      <c r="M181" s="491">
        <v>0.98718185262783797</v>
      </c>
      <c r="N181" s="491">
        <v>0</v>
      </c>
      <c r="O181" s="564">
        <v>0</v>
      </c>
      <c r="P181" s="565"/>
      <c r="Q181" s="566"/>
      <c r="R181" s="489">
        <v>1</v>
      </c>
      <c r="S181" s="490">
        <v>65086757.420000002</v>
      </c>
      <c r="T181" s="490">
        <v>0</v>
      </c>
      <c r="U181" s="491">
        <v>0.98718185262783797</v>
      </c>
      <c r="V181" s="491">
        <v>0</v>
      </c>
      <c r="W181" s="491">
        <v>0</v>
      </c>
      <c r="X181" s="489">
        <v>1</v>
      </c>
      <c r="Y181" s="490">
        <v>65086757.420000002</v>
      </c>
      <c r="Z181" s="490">
        <v>0</v>
      </c>
      <c r="AB181" s="491">
        <v>0.98718185262783797</v>
      </c>
      <c r="AC181" s="491">
        <v>0</v>
      </c>
      <c r="AD181" s="491">
        <v>0</v>
      </c>
      <c r="AE181" s="489">
        <v>1</v>
      </c>
      <c r="AF181" s="490">
        <v>65060354.759999998</v>
      </c>
      <c r="AG181" s="490">
        <v>0</v>
      </c>
      <c r="AH181" s="491">
        <v>0.98678139902027973</v>
      </c>
      <c r="AI181" s="491">
        <v>0</v>
      </c>
      <c r="AJ181" s="491">
        <v>0</v>
      </c>
    </row>
    <row r="182" spans="2:36" ht="25.5" x14ac:dyDescent="0.25">
      <c r="B182" s="489" t="s">
        <v>325</v>
      </c>
      <c r="C182" s="489" t="s">
        <v>613</v>
      </c>
      <c r="D182" s="489" t="s">
        <v>346</v>
      </c>
      <c r="E182" s="489" t="s">
        <v>553</v>
      </c>
      <c r="F182" s="490">
        <v>15114906</v>
      </c>
      <c r="G182" s="490">
        <v>0</v>
      </c>
      <c r="H182" s="562">
        <v>0</v>
      </c>
      <c r="I182" s="563"/>
      <c r="J182" s="490">
        <v>15114906</v>
      </c>
      <c r="K182" s="490">
        <v>15109732.189999999</v>
      </c>
      <c r="L182" s="490">
        <v>0</v>
      </c>
      <c r="M182" s="491">
        <v>0.99965770147693944</v>
      </c>
      <c r="N182" s="491">
        <v>0</v>
      </c>
      <c r="O182" s="564">
        <v>0</v>
      </c>
      <c r="P182" s="565"/>
      <c r="Q182" s="566"/>
      <c r="R182" s="489">
        <v>1</v>
      </c>
      <c r="S182" s="490">
        <v>15109732.189999999</v>
      </c>
      <c r="T182" s="490">
        <v>0</v>
      </c>
      <c r="U182" s="491">
        <v>0.99965770147693944</v>
      </c>
      <c r="V182" s="491">
        <v>0</v>
      </c>
      <c r="W182" s="491">
        <v>0</v>
      </c>
      <c r="X182" s="489">
        <v>1</v>
      </c>
      <c r="Y182" s="490">
        <v>15109732.189999999</v>
      </c>
      <c r="Z182" s="490">
        <v>0</v>
      </c>
      <c r="AB182" s="491">
        <v>0.99965770147693944</v>
      </c>
      <c r="AC182" s="491">
        <v>0</v>
      </c>
      <c r="AD182" s="491">
        <v>0</v>
      </c>
      <c r="AE182" s="489">
        <v>1</v>
      </c>
      <c r="AF182" s="490">
        <v>15065475.98</v>
      </c>
      <c r="AG182" s="490">
        <v>0</v>
      </c>
      <c r="AH182" s="491">
        <v>0.99672971700915636</v>
      </c>
      <c r="AI182" s="491">
        <v>0</v>
      </c>
      <c r="AJ182" s="491">
        <v>0</v>
      </c>
    </row>
    <row r="183" spans="2:36" ht="25.5" x14ac:dyDescent="0.25">
      <c r="B183" s="489" t="s">
        <v>326</v>
      </c>
      <c r="C183" s="489" t="s">
        <v>366</v>
      </c>
      <c r="D183" s="489" t="s">
        <v>346</v>
      </c>
      <c r="E183" s="489" t="s">
        <v>553</v>
      </c>
      <c r="F183" s="490">
        <v>14521202</v>
      </c>
      <c r="G183" s="490">
        <v>0</v>
      </c>
      <c r="H183" s="562">
        <v>0</v>
      </c>
      <c r="I183" s="563"/>
      <c r="J183" s="490">
        <v>14521202</v>
      </c>
      <c r="K183" s="490">
        <v>14048711.130000001</v>
      </c>
      <c r="L183" s="490">
        <v>0</v>
      </c>
      <c r="M183" s="491">
        <v>0.96746200004655258</v>
      </c>
      <c r="N183" s="491">
        <v>0</v>
      </c>
      <c r="O183" s="564">
        <v>0</v>
      </c>
      <c r="P183" s="565"/>
      <c r="Q183" s="566"/>
      <c r="R183" s="489">
        <v>1</v>
      </c>
      <c r="S183" s="490">
        <v>14048711.130000001</v>
      </c>
      <c r="T183" s="490">
        <v>0</v>
      </c>
      <c r="U183" s="491">
        <v>0.96746200004655258</v>
      </c>
      <c r="V183" s="491">
        <v>0</v>
      </c>
      <c r="W183" s="491">
        <v>0</v>
      </c>
      <c r="X183" s="489">
        <v>1</v>
      </c>
      <c r="Y183" s="490">
        <v>14048711.130000001</v>
      </c>
      <c r="Z183" s="490">
        <v>0</v>
      </c>
      <c r="AB183" s="491">
        <v>0.96746200004655258</v>
      </c>
      <c r="AC183" s="491">
        <v>0</v>
      </c>
      <c r="AD183" s="491">
        <v>0</v>
      </c>
      <c r="AE183" s="489">
        <v>1</v>
      </c>
      <c r="AF183" s="490">
        <v>13312414.5</v>
      </c>
      <c r="AG183" s="490">
        <v>0</v>
      </c>
      <c r="AH183" s="491">
        <v>0.91675706322382955</v>
      </c>
      <c r="AI183" s="491">
        <v>0</v>
      </c>
      <c r="AJ183" s="491">
        <v>0</v>
      </c>
    </row>
    <row r="184" spans="2:36" ht="25.5" x14ac:dyDescent="0.25">
      <c r="B184" s="489" t="s">
        <v>327</v>
      </c>
      <c r="C184" s="489" t="s">
        <v>133</v>
      </c>
      <c r="D184" s="489" t="s">
        <v>346</v>
      </c>
      <c r="E184" s="489" t="s">
        <v>505</v>
      </c>
      <c r="F184" s="490">
        <v>3813642</v>
      </c>
      <c r="G184" s="490">
        <v>0</v>
      </c>
      <c r="H184" s="562">
        <v>0</v>
      </c>
      <c r="I184" s="563"/>
      <c r="J184" s="490">
        <v>3813642</v>
      </c>
      <c r="K184" s="490">
        <v>3813625.6</v>
      </c>
      <c r="L184" s="490">
        <v>0</v>
      </c>
      <c r="M184" s="491">
        <v>0.99999569964878721</v>
      </c>
      <c r="N184" s="491">
        <v>0</v>
      </c>
      <c r="O184" s="564">
        <v>0</v>
      </c>
      <c r="P184" s="565"/>
      <c r="Q184" s="566"/>
      <c r="R184" s="489">
        <v>1</v>
      </c>
      <c r="S184" s="490">
        <v>3813625.6</v>
      </c>
      <c r="T184" s="490">
        <v>0</v>
      </c>
      <c r="U184" s="491">
        <v>0.99999569964878721</v>
      </c>
      <c r="V184" s="491">
        <v>0</v>
      </c>
      <c r="W184" s="491">
        <v>0</v>
      </c>
      <c r="X184" s="489">
        <v>1</v>
      </c>
      <c r="Y184" s="490">
        <v>3813625.6</v>
      </c>
      <c r="Z184" s="490">
        <v>0</v>
      </c>
      <c r="AB184" s="491">
        <v>0.99999569964878721</v>
      </c>
      <c r="AC184" s="491">
        <v>0</v>
      </c>
      <c r="AD184" s="491">
        <v>0</v>
      </c>
      <c r="AE184" s="489">
        <v>1</v>
      </c>
      <c r="AF184" s="490">
        <v>3813625.6</v>
      </c>
      <c r="AG184" s="490">
        <v>0</v>
      </c>
      <c r="AH184" s="491">
        <v>0.99999569964878721</v>
      </c>
      <c r="AI184" s="491">
        <v>0</v>
      </c>
      <c r="AJ184" s="491">
        <v>0</v>
      </c>
    </row>
    <row r="185" spans="2:36" x14ac:dyDescent="0.25">
      <c r="B185" s="489" t="s">
        <v>328</v>
      </c>
      <c r="C185" s="489" t="s">
        <v>134</v>
      </c>
      <c r="D185" s="489" t="s">
        <v>346</v>
      </c>
      <c r="E185" s="489" t="s">
        <v>505</v>
      </c>
      <c r="F185" s="490">
        <v>4446397</v>
      </c>
      <c r="G185" s="490">
        <v>0</v>
      </c>
      <c r="H185" s="562">
        <v>0</v>
      </c>
      <c r="I185" s="563"/>
      <c r="J185" s="490">
        <v>4446397</v>
      </c>
      <c r="K185" s="490">
        <v>4446397</v>
      </c>
      <c r="L185" s="490">
        <v>0</v>
      </c>
      <c r="M185" s="491">
        <v>1</v>
      </c>
      <c r="N185" s="491">
        <v>0</v>
      </c>
      <c r="O185" s="564">
        <v>0</v>
      </c>
      <c r="P185" s="565"/>
      <c r="Q185" s="566"/>
      <c r="R185" s="489">
        <v>1</v>
      </c>
      <c r="S185" s="490">
        <v>4446397</v>
      </c>
      <c r="T185" s="490">
        <v>0</v>
      </c>
      <c r="U185" s="491">
        <v>1</v>
      </c>
      <c r="V185" s="491">
        <v>0</v>
      </c>
      <c r="W185" s="491">
        <v>0</v>
      </c>
      <c r="X185" s="489">
        <v>1</v>
      </c>
      <c r="Y185" s="490">
        <v>4446397</v>
      </c>
      <c r="Z185" s="490">
        <v>0</v>
      </c>
      <c r="AB185" s="491">
        <v>1</v>
      </c>
      <c r="AC185" s="491">
        <v>0</v>
      </c>
      <c r="AD185" s="491">
        <v>0</v>
      </c>
      <c r="AE185" s="489">
        <v>1</v>
      </c>
      <c r="AF185" s="490">
        <v>4446397</v>
      </c>
      <c r="AG185" s="490">
        <v>0</v>
      </c>
      <c r="AH185" s="491">
        <v>1</v>
      </c>
      <c r="AI185" s="491">
        <v>0</v>
      </c>
      <c r="AJ185" s="491">
        <v>0</v>
      </c>
    </row>
    <row r="186" spans="2:36" ht="25.5" x14ac:dyDescent="0.25">
      <c r="B186" s="489" t="s">
        <v>452</v>
      </c>
      <c r="C186" s="489" t="s">
        <v>135</v>
      </c>
      <c r="D186" s="489" t="s">
        <v>346</v>
      </c>
      <c r="E186" s="489" t="s">
        <v>553</v>
      </c>
      <c r="F186" s="490">
        <v>9490794</v>
      </c>
      <c r="G186" s="490">
        <v>0</v>
      </c>
      <c r="H186" s="562">
        <v>0</v>
      </c>
      <c r="I186" s="563"/>
      <c r="J186" s="490">
        <v>9490794</v>
      </c>
      <c r="K186" s="490">
        <v>9229679.9199999999</v>
      </c>
      <c r="L186" s="490">
        <v>0</v>
      </c>
      <c r="M186" s="491">
        <v>0.97248764644981234</v>
      </c>
      <c r="N186" s="491">
        <v>0</v>
      </c>
      <c r="O186" s="564">
        <v>0</v>
      </c>
      <c r="P186" s="565"/>
      <c r="Q186" s="566"/>
      <c r="R186" s="489">
        <v>4</v>
      </c>
      <c r="S186" s="490">
        <v>9229679.9199999999</v>
      </c>
      <c r="T186" s="490">
        <v>0</v>
      </c>
      <c r="U186" s="491">
        <v>0.97248764644981234</v>
      </c>
      <c r="V186" s="491">
        <v>0</v>
      </c>
      <c r="W186" s="491">
        <v>0</v>
      </c>
      <c r="X186" s="489">
        <v>4</v>
      </c>
      <c r="Y186" s="490">
        <v>9229679.9199999999</v>
      </c>
      <c r="Z186" s="490">
        <v>0</v>
      </c>
      <c r="AB186" s="491">
        <v>0.97248764644981234</v>
      </c>
      <c r="AC186" s="491">
        <v>0</v>
      </c>
      <c r="AD186" s="491">
        <v>0</v>
      </c>
      <c r="AE186" s="489">
        <v>4</v>
      </c>
      <c r="AF186" s="490">
        <v>9229679.9199999999</v>
      </c>
      <c r="AG186" s="490">
        <v>0</v>
      </c>
      <c r="AH186" s="491">
        <v>0.97248764644981234</v>
      </c>
      <c r="AI186" s="491">
        <v>0</v>
      </c>
      <c r="AJ186" s="491">
        <v>0</v>
      </c>
    </row>
    <row r="187" spans="2:36" ht="25.5" x14ac:dyDescent="0.25">
      <c r="B187" s="489" t="s">
        <v>329</v>
      </c>
      <c r="C187" s="489" t="s">
        <v>209</v>
      </c>
      <c r="D187" s="489" t="s">
        <v>346</v>
      </c>
      <c r="E187" s="489" t="s">
        <v>553</v>
      </c>
      <c r="F187" s="490">
        <v>1486320</v>
      </c>
      <c r="G187" s="490">
        <v>0</v>
      </c>
      <c r="H187" s="562">
        <v>0</v>
      </c>
      <c r="I187" s="563"/>
      <c r="J187" s="490">
        <v>1486320</v>
      </c>
      <c r="K187" s="490">
        <v>1486319.49</v>
      </c>
      <c r="L187" s="490">
        <v>0</v>
      </c>
      <c r="M187" s="491">
        <v>0.99999965687066039</v>
      </c>
      <c r="N187" s="491">
        <v>0</v>
      </c>
      <c r="O187" s="564">
        <v>0</v>
      </c>
      <c r="P187" s="565"/>
      <c r="Q187" s="566"/>
      <c r="R187" s="489">
        <v>1</v>
      </c>
      <c r="S187" s="490">
        <v>1486319.49</v>
      </c>
      <c r="T187" s="490">
        <v>0</v>
      </c>
      <c r="U187" s="491">
        <v>0.99999965687066039</v>
      </c>
      <c r="V187" s="491">
        <v>0</v>
      </c>
      <c r="W187" s="491">
        <v>0</v>
      </c>
      <c r="X187" s="489">
        <v>1</v>
      </c>
      <c r="Y187" s="490">
        <v>1486319.49</v>
      </c>
      <c r="Z187" s="490">
        <v>0</v>
      </c>
      <c r="AB187" s="491">
        <v>0.99999965687066039</v>
      </c>
      <c r="AC187" s="491">
        <v>0</v>
      </c>
      <c r="AD187" s="491">
        <v>0</v>
      </c>
      <c r="AE187" s="489">
        <v>1</v>
      </c>
      <c r="AF187" s="490">
        <v>1486319.49</v>
      </c>
      <c r="AG187" s="490">
        <v>0</v>
      </c>
      <c r="AH187" s="491">
        <v>0.99999965687066039</v>
      </c>
      <c r="AI187" s="491">
        <v>0</v>
      </c>
      <c r="AJ187" s="491">
        <v>0</v>
      </c>
    </row>
    <row r="188" spans="2:36" ht="51" x14ac:dyDescent="0.25">
      <c r="B188" s="489" t="s">
        <v>330</v>
      </c>
      <c r="C188" s="489" t="s">
        <v>1285</v>
      </c>
      <c r="D188" s="489" t="s">
        <v>346</v>
      </c>
      <c r="E188" s="489" t="s">
        <v>553</v>
      </c>
      <c r="F188" s="490">
        <v>974708</v>
      </c>
      <c r="G188" s="490">
        <v>0</v>
      </c>
      <c r="H188" s="562">
        <v>0</v>
      </c>
      <c r="I188" s="563"/>
      <c r="J188" s="490">
        <v>974708</v>
      </c>
      <c r="K188" s="490">
        <v>974635.41</v>
      </c>
      <c r="L188" s="490">
        <v>0</v>
      </c>
      <c r="M188" s="491">
        <v>0.99992552641406451</v>
      </c>
      <c r="N188" s="491">
        <v>0</v>
      </c>
      <c r="O188" s="564">
        <v>0</v>
      </c>
      <c r="P188" s="565"/>
      <c r="Q188" s="566"/>
      <c r="R188" s="489">
        <v>1</v>
      </c>
      <c r="S188" s="490">
        <v>974635.41</v>
      </c>
      <c r="T188" s="490">
        <v>0</v>
      </c>
      <c r="U188" s="491">
        <v>0.99992552641406451</v>
      </c>
      <c r="V188" s="491">
        <v>0</v>
      </c>
      <c r="W188" s="491">
        <v>0</v>
      </c>
      <c r="X188" s="489">
        <v>1</v>
      </c>
      <c r="Y188" s="490">
        <v>974635.41</v>
      </c>
      <c r="Z188" s="490">
        <v>0</v>
      </c>
      <c r="AB188" s="491">
        <v>0.99992552641406451</v>
      </c>
      <c r="AC188" s="491">
        <v>0</v>
      </c>
      <c r="AD188" s="491">
        <v>0</v>
      </c>
      <c r="AE188" s="489">
        <v>1</v>
      </c>
      <c r="AF188" s="490">
        <v>974635.41</v>
      </c>
      <c r="AG188" s="490">
        <v>0</v>
      </c>
      <c r="AH188" s="491">
        <v>0.99992552641406451</v>
      </c>
      <c r="AI188" s="491">
        <v>0</v>
      </c>
      <c r="AJ188" s="491">
        <v>0</v>
      </c>
    </row>
    <row r="189" spans="2:36" ht="25.5" x14ac:dyDescent="0.25">
      <c r="B189" s="489" t="s">
        <v>331</v>
      </c>
      <c r="C189" s="489" t="s">
        <v>211</v>
      </c>
      <c r="D189" s="489" t="s">
        <v>346</v>
      </c>
      <c r="E189" s="489" t="s">
        <v>553</v>
      </c>
      <c r="F189" s="490">
        <v>259298</v>
      </c>
      <c r="G189" s="490">
        <v>0</v>
      </c>
      <c r="H189" s="562">
        <v>0</v>
      </c>
      <c r="I189" s="563"/>
      <c r="J189" s="490">
        <v>259298</v>
      </c>
      <c r="K189" s="490">
        <v>259297.52</v>
      </c>
      <c r="L189" s="490">
        <v>0</v>
      </c>
      <c r="M189" s="491">
        <v>0.99999814884804361</v>
      </c>
      <c r="N189" s="491">
        <v>0</v>
      </c>
      <c r="O189" s="564">
        <v>0</v>
      </c>
      <c r="P189" s="565"/>
      <c r="Q189" s="566"/>
      <c r="R189" s="489">
        <v>1</v>
      </c>
      <c r="S189" s="490">
        <v>259297.52</v>
      </c>
      <c r="T189" s="490">
        <v>0</v>
      </c>
      <c r="U189" s="491">
        <v>0.99999814884804361</v>
      </c>
      <c r="V189" s="491">
        <v>0</v>
      </c>
      <c r="W189" s="491">
        <v>0</v>
      </c>
      <c r="X189" s="489">
        <v>1</v>
      </c>
      <c r="Y189" s="490">
        <v>259297.52</v>
      </c>
      <c r="Z189" s="490">
        <v>0</v>
      </c>
      <c r="AB189" s="491">
        <v>0.99999814884804361</v>
      </c>
      <c r="AC189" s="491">
        <v>0</v>
      </c>
      <c r="AD189" s="491">
        <v>0</v>
      </c>
      <c r="AE189" s="489">
        <v>1</v>
      </c>
      <c r="AF189" s="490">
        <v>259297.52</v>
      </c>
      <c r="AG189" s="490">
        <v>0</v>
      </c>
      <c r="AH189" s="491">
        <v>0.99999814884804361</v>
      </c>
      <c r="AI189" s="491">
        <v>0</v>
      </c>
      <c r="AJ189" s="491">
        <v>0</v>
      </c>
    </row>
    <row r="190" spans="2:36" ht="25.5" x14ac:dyDescent="0.25">
      <c r="B190" s="489" t="s">
        <v>332</v>
      </c>
      <c r="C190" s="489" t="s">
        <v>212</v>
      </c>
      <c r="D190" s="489" t="s">
        <v>346</v>
      </c>
      <c r="E190" s="489" t="s">
        <v>553</v>
      </c>
      <c r="F190" s="490">
        <v>6770468</v>
      </c>
      <c r="G190" s="490">
        <v>0</v>
      </c>
      <c r="H190" s="562">
        <v>0</v>
      </c>
      <c r="I190" s="563"/>
      <c r="J190" s="490">
        <v>6770468</v>
      </c>
      <c r="K190" s="490">
        <v>6509427.5</v>
      </c>
      <c r="L190" s="490">
        <v>0</v>
      </c>
      <c r="M190" s="491">
        <v>0.9614442458039828</v>
      </c>
      <c r="N190" s="491">
        <v>0</v>
      </c>
      <c r="O190" s="564">
        <v>0</v>
      </c>
      <c r="P190" s="565"/>
      <c r="Q190" s="566"/>
      <c r="R190" s="489">
        <v>1</v>
      </c>
      <c r="S190" s="490">
        <v>6509427.5</v>
      </c>
      <c r="T190" s="490">
        <v>0</v>
      </c>
      <c r="U190" s="491">
        <v>0.9614442458039828</v>
      </c>
      <c r="V190" s="491">
        <v>0</v>
      </c>
      <c r="W190" s="491">
        <v>0</v>
      </c>
      <c r="X190" s="489">
        <v>1</v>
      </c>
      <c r="Y190" s="490">
        <v>6509427.5</v>
      </c>
      <c r="Z190" s="490">
        <v>0</v>
      </c>
      <c r="AB190" s="491">
        <v>0.9614442458039828</v>
      </c>
      <c r="AC190" s="491">
        <v>0</v>
      </c>
      <c r="AD190" s="491">
        <v>0</v>
      </c>
      <c r="AE190" s="489">
        <v>1</v>
      </c>
      <c r="AF190" s="490">
        <v>6509427.5</v>
      </c>
      <c r="AG190" s="490">
        <v>0</v>
      </c>
      <c r="AH190" s="491">
        <v>0.9614442458039828</v>
      </c>
      <c r="AI190" s="491">
        <v>0</v>
      </c>
      <c r="AJ190" s="491">
        <v>0</v>
      </c>
    </row>
    <row r="191" spans="2:36" ht="51" x14ac:dyDescent="0.25">
      <c r="B191" s="489" t="s">
        <v>586</v>
      </c>
      <c r="C191" s="489" t="s">
        <v>380</v>
      </c>
      <c r="D191" s="489"/>
      <c r="E191" s="489"/>
      <c r="F191" s="490">
        <v>141306955</v>
      </c>
      <c r="G191" s="490">
        <v>4259331</v>
      </c>
      <c r="H191" s="562">
        <v>1589796</v>
      </c>
      <c r="I191" s="563"/>
      <c r="J191" s="490">
        <v>142896751</v>
      </c>
      <c r="K191" s="490">
        <v>141654578.25999999</v>
      </c>
      <c r="L191" s="490">
        <v>4259331</v>
      </c>
      <c r="M191" s="491">
        <v>1.0024600576808127</v>
      </c>
      <c r="N191" s="491">
        <v>0</v>
      </c>
      <c r="O191" s="564">
        <v>0</v>
      </c>
      <c r="P191" s="565"/>
      <c r="Q191" s="566"/>
      <c r="R191" s="489">
        <v>165</v>
      </c>
      <c r="S191" s="490">
        <v>141654578.25999999</v>
      </c>
      <c r="T191" s="490">
        <v>4259331</v>
      </c>
      <c r="U191" s="491">
        <v>1.0024600576808127</v>
      </c>
      <c r="V191" s="491">
        <v>0</v>
      </c>
      <c r="W191" s="491">
        <v>0</v>
      </c>
      <c r="X191" s="489">
        <v>165</v>
      </c>
      <c r="Y191" s="490">
        <v>141654578.25999999</v>
      </c>
      <c r="Z191" s="490">
        <v>4259331</v>
      </c>
      <c r="AB191" s="491">
        <v>1.0024600576808127</v>
      </c>
      <c r="AC191" s="491">
        <v>0</v>
      </c>
      <c r="AD191" s="491">
        <v>0</v>
      </c>
      <c r="AE191" s="489">
        <v>165</v>
      </c>
      <c r="AF191" s="490">
        <v>141649009.52000001</v>
      </c>
      <c r="AG191" s="490">
        <v>4259331</v>
      </c>
      <c r="AH191" s="491">
        <v>1.0024206488633203</v>
      </c>
      <c r="AI191" s="491">
        <v>0</v>
      </c>
      <c r="AJ191" s="491">
        <v>0</v>
      </c>
    </row>
    <row r="192" spans="2:36" ht="38.25" x14ac:dyDescent="0.25">
      <c r="B192" s="489" t="s">
        <v>453</v>
      </c>
      <c r="C192" s="489" t="s">
        <v>587</v>
      </c>
      <c r="D192" s="489" t="s">
        <v>346</v>
      </c>
      <c r="E192" s="489" t="s">
        <v>553</v>
      </c>
      <c r="F192" s="490">
        <v>13209926</v>
      </c>
      <c r="G192" s="490">
        <v>0</v>
      </c>
      <c r="H192" s="562">
        <v>0</v>
      </c>
      <c r="I192" s="563"/>
      <c r="J192" s="490">
        <v>13209926</v>
      </c>
      <c r="K192" s="490">
        <v>13071401.470000001</v>
      </c>
      <c r="L192" s="490">
        <v>0</v>
      </c>
      <c r="M192" s="491">
        <v>0.98951360287710921</v>
      </c>
      <c r="N192" s="491">
        <v>0</v>
      </c>
      <c r="O192" s="564">
        <v>0</v>
      </c>
      <c r="P192" s="565"/>
      <c r="Q192" s="566"/>
      <c r="R192" s="489">
        <v>3</v>
      </c>
      <c r="S192" s="490">
        <v>13071401.470000001</v>
      </c>
      <c r="T192" s="490">
        <v>0</v>
      </c>
      <c r="U192" s="491">
        <v>0.98951360287710921</v>
      </c>
      <c r="V192" s="491">
        <v>0</v>
      </c>
      <c r="W192" s="491">
        <v>0</v>
      </c>
      <c r="X192" s="489">
        <v>3</v>
      </c>
      <c r="Y192" s="490">
        <v>13071401.470000001</v>
      </c>
      <c r="Z192" s="490">
        <v>0</v>
      </c>
      <c r="AB192" s="491">
        <v>0.98951360287710921</v>
      </c>
      <c r="AC192" s="491">
        <v>0</v>
      </c>
      <c r="AD192" s="491">
        <v>0</v>
      </c>
      <c r="AE192" s="489">
        <v>3</v>
      </c>
      <c r="AF192" s="490">
        <v>13071401.48</v>
      </c>
      <c r="AG192" s="490">
        <v>0</v>
      </c>
      <c r="AH192" s="491">
        <v>0.98951360363411578</v>
      </c>
      <c r="AI192" s="491">
        <v>0</v>
      </c>
      <c r="AJ192" s="491">
        <v>0</v>
      </c>
    </row>
    <row r="193" spans="2:36" ht="25.5" x14ac:dyDescent="0.25">
      <c r="B193" s="489" t="s">
        <v>333</v>
      </c>
      <c r="C193" s="489" t="s">
        <v>213</v>
      </c>
      <c r="D193" s="489" t="s">
        <v>346</v>
      </c>
      <c r="E193" s="489" t="s">
        <v>553</v>
      </c>
      <c r="F193" s="490">
        <v>8955085</v>
      </c>
      <c r="G193" s="490">
        <v>0</v>
      </c>
      <c r="H193" s="562">
        <v>0</v>
      </c>
      <c r="I193" s="563"/>
      <c r="J193" s="490">
        <v>8955085</v>
      </c>
      <c r="K193" s="490">
        <v>8826837.9700000007</v>
      </c>
      <c r="L193" s="490">
        <v>0</v>
      </c>
      <c r="M193" s="491">
        <v>0.98567885955298018</v>
      </c>
      <c r="N193" s="491">
        <v>0</v>
      </c>
      <c r="O193" s="564">
        <v>0</v>
      </c>
      <c r="P193" s="565"/>
      <c r="Q193" s="566"/>
      <c r="R193" s="489">
        <v>1</v>
      </c>
      <c r="S193" s="490">
        <v>8826837.9700000007</v>
      </c>
      <c r="T193" s="490">
        <v>0</v>
      </c>
      <c r="U193" s="491">
        <v>0.98567885955298018</v>
      </c>
      <c r="V193" s="491">
        <v>0</v>
      </c>
      <c r="W193" s="491">
        <v>0</v>
      </c>
      <c r="X193" s="489">
        <v>1</v>
      </c>
      <c r="Y193" s="490">
        <v>8826837.9700000007</v>
      </c>
      <c r="Z193" s="490">
        <v>0</v>
      </c>
      <c r="AB193" s="491">
        <v>0.98567885955298018</v>
      </c>
      <c r="AC193" s="491">
        <v>0</v>
      </c>
      <c r="AD193" s="491">
        <v>0</v>
      </c>
      <c r="AE193" s="489">
        <v>1</v>
      </c>
      <c r="AF193" s="490">
        <v>8826837.9700000007</v>
      </c>
      <c r="AG193" s="490">
        <v>0</v>
      </c>
      <c r="AH193" s="491">
        <v>0.98567885955298018</v>
      </c>
      <c r="AI193" s="491">
        <v>0</v>
      </c>
      <c r="AJ193" s="491">
        <v>0</v>
      </c>
    </row>
    <row r="194" spans="2:36" ht="25.5" x14ac:dyDescent="0.25">
      <c r="B194" s="489" t="s">
        <v>334</v>
      </c>
      <c r="C194" s="489" t="s">
        <v>214</v>
      </c>
      <c r="D194" s="489" t="s">
        <v>346</v>
      </c>
      <c r="E194" s="489" t="s">
        <v>553</v>
      </c>
      <c r="F194" s="490">
        <v>928452</v>
      </c>
      <c r="G194" s="490">
        <v>0</v>
      </c>
      <c r="H194" s="562">
        <v>0</v>
      </c>
      <c r="I194" s="563"/>
      <c r="J194" s="490">
        <v>928452</v>
      </c>
      <c r="K194" s="490">
        <v>928452</v>
      </c>
      <c r="L194" s="490">
        <v>0</v>
      </c>
      <c r="M194" s="491">
        <v>1</v>
      </c>
      <c r="N194" s="491">
        <v>0</v>
      </c>
      <c r="O194" s="564">
        <v>0</v>
      </c>
      <c r="P194" s="565"/>
      <c r="Q194" s="566"/>
      <c r="R194" s="489">
        <v>1</v>
      </c>
      <c r="S194" s="490">
        <v>928452</v>
      </c>
      <c r="T194" s="490">
        <v>0</v>
      </c>
      <c r="U194" s="491">
        <v>1</v>
      </c>
      <c r="V194" s="491">
        <v>0</v>
      </c>
      <c r="W194" s="491">
        <v>0</v>
      </c>
      <c r="X194" s="489">
        <v>1</v>
      </c>
      <c r="Y194" s="490">
        <v>928452</v>
      </c>
      <c r="Z194" s="490">
        <v>0</v>
      </c>
      <c r="AB194" s="491">
        <v>1</v>
      </c>
      <c r="AC194" s="491">
        <v>0</v>
      </c>
      <c r="AD194" s="491">
        <v>0</v>
      </c>
      <c r="AE194" s="489">
        <v>1</v>
      </c>
      <c r="AF194" s="490">
        <v>928452</v>
      </c>
      <c r="AG194" s="490">
        <v>0</v>
      </c>
      <c r="AH194" s="491">
        <v>1</v>
      </c>
      <c r="AI194" s="491">
        <v>0</v>
      </c>
      <c r="AJ194" s="491">
        <v>0</v>
      </c>
    </row>
    <row r="195" spans="2:36" ht="38.25" x14ac:dyDescent="0.25">
      <c r="B195" s="489" t="s">
        <v>335</v>
      </c>
      <c r="C195" s="489" t="s">
        <v>1574</v>
      </c>
      <c r="D195" s="489" t="s">
        <v>346</v>
      </c>
      <c r="E195" s="489" t="s">
        <v>553</v>
      </c>
      <c r="F195" s="490">
        <v>3326389</v>
      </c>
      <c r="G195" s="490">
        <v>0</v>
      </c>
      <c r="H195" s="562">
        <v>0</v>
      </c>
      <c r="I195" s="563"/>
      <c r="J195" s="490">
        <v>3326389</v>
      </c>
      <c r="K195" s="490">
        <v>3316111.5</v>
      </c>
      <c r="L195" s="490">
        <v>0</v>
      </c>
      <c r="M195" s="491">
        <v>0.99691031325560542</v>
      </c>
      <c r="N195" s="491">
        <v>0</v>
      </c>
      <c r="O195" s="564">
        <v>0</v>
      </c>
      <c r="P195" s="565"/>
      <c r="Q195" s="566"/>
      <c r="R195" s="489">
        <v>1</v>
      </c>
      <c r="S195" s="490">
        <v>3316111.5</v>
      </c>
      <c r="T195" s="490">
        <v>0</v>
      </c>
      <c r="U195" s="491">
        <v>0.99691031325560542</v>
      </c>
      <c r="V195" s="491">
        <v>0</v>
      </c>
      <c r="W195" s="491">
        <v>0</v>
      </c>
      <c r="X195" s="489">
        <v>1</v>
      </c>
      <c r="Y195" s="490">
        <v>3316111.5</v>
      </c>
      <c r="Z195" s="490">
        <v>0</v>
      </c>
      <c r="AB195" s="491">
        <v>0.99691031325560542</v>
      </c>
      <c r="AC195" s="491">
        <v>0</v>
      </c>
      <c r="AD195" s="491">
        <v>0</v>
      </c>
      <c r="AE195" s="489">
        <v>1</v>
      </c>
      <c r="AF195" s="490">
        <v>3316111.51</v>
      </c>
      <c r="AG195" s="490">
        <v>0</v>
      </c>
      <c r="AH195" s="491">
        <v>0.99691031626186832</v>
      </c>
      <c r="AI195" s="491">
        <v>0</v>
      </c>
      <c r="AJ195" s="491">
        <v>0</v>
      </c>
    </row>
    <row r="196" spans="2:36" ht="51" x14ac:dyDescent="0.25">
      <c r="B196" s="489" t="s">
        <v>454</v>
      </c>
      <c r="C196" s="489" t="s">
        <v>588</v>
      </c>
      <c r="D196" s="489" t="s">
        <v>346</v>
      </c>
      <c r="E196" s="489" t="s">
        <v>553</v>
      </c>
      <c r="F196" s="490">
        <v>53552788</v>
      </c>
      <c r="G196" s="490">
        <v>0</v>
      </c>
      <c r="H196" s="562">
        <v>0</v>
      </c>
      <c r="I196" s="563"/>
      <c r="J196" s="490">
        <v>53552788</v>
      </c>
      <c r="K196" s="490">
        <v>53162289.200000003</v>
      </c>
      <c r="L196" s="490">
        <v>0</v>
      </c>
      <c r="M196" s="491">
        <v>0.99270815181461702</v>
      </c>
      <c r="N196" s="491">
        <v>0</v>
      </c>
      <c r="O196" s="564">
        <v>0</v>
      </c>
      <c r="P196" s="565"/>
      <c r="Q196" s="566"/>
      <c r="R196" s="489">
        <v>61</v>
      </c>
      <c r="S196" s="490">
        <v>53162289.200000003</v>
      </c>
      <c r="T196" s="490">
        <v>0</v>
      </c>
      <c r="U196" s="491">
        <v>0.99270815181461702</v>
      </c>
      <c r="V196" s="491">
        <v>0</v>
      </c>
      <c r="W196" s="491">
        <v>0</v>
      </c>
      <c r="X196" s="489">
        <v>61</v>
      </c>
      <c r="Y196" s="490">
        <v>53162289.200000003</v>
      </c>
      <c r="Z196" s="490">
        <v>0</v>
      </c>
      <c r="AB196" s="491">
        <v>0.99270815181461702</v>
      </c>
      <c r="AC196" s="491">
        <v>0</v>
      </c>
      <c r="AD196" s="491">
        <v>0</v>
      </c>
      <c r="AE196" s="489">
        <v>61</v>
      </c>
      <c r="AF196" s="490">
        <v>53162289.200000003</v>
      </c>
      <c r="AG196" s="490">
        <v>0</v>
      </c>
      <c r="AH196" s="491">
        <v>0.99270815181461702</v>
      </c>
      <c r="AI196" s="491">
        <v>0</v>
      </c>
      <c r="AJ196" s="491">
        <v>0</v>
      </c>
    </row>
    <row r="197" spans="2:36" ht="25.5" x14ac:dyDescent="0.25">
      <c r="B197" s="489" t="s">
        <v>336</v>
      </c>
      <c r="C197" s="489" t="s">
        <v>216</v>
      </c>
      <c r="D197" s="489" t="s">
        <v>346</v>
      </c>
      <c r="E197" s="489" t="s">
        <v>553</v>
      </c>
      <c r="F197" s="490">
        <v>41907354</v>
      </c>
      <c r="G197" s="490">
        <v>0</v>
      </c>
      <c r="H197" s="562">
        <v>0</v>
      </c>
      <c r="I197" s="563"/>
      <c r="J197" s="490">
        <v>41907354</v>
      </c>
      <c r="K197" s="490">
        <v>41806492.579999998</v>
      </c>
      <c r="L197" s="490">
        <v>0</v>
      </c>
      <c r="M197" s="491">
        <v>0.99759322862521937</v>
      </c>
      <c r="N197" s="491">
        <v>0</v>
      </c>
      <c r="O197" s="564">
        <v>0</v>
      </c>
      <c r="P197" s="565"/>
      <c r="Q197" s="566"/>
      <c r="R197" s="489">
        <v>5</v>
      </c>
      <c r="S197" s="490">
        <v>41806492.579999998</v>
      </c>
      <c r="T197" s="490">
        <v>0</v>
      </c>
      <c r="U197" s="491">
        <v>0.99759322862521937</v>
      </c>
      <c r="V197" s="491">
        <v>0</v>
      </c>
      <c r="W197" s="491">
        <v>0</v>
      </c>
      <c r="X197" s="489">
        <v>5</v>
      </c>
      <c r="Y197" s="490">
        <v>41806492.579999998</v>
      </c>
      <c r="Z197" s="490">
        <v>0</v>
      </c>
      <c r="AB197" s="491">
        <v>0.99759322862521937</v>
      </c>
      <c r="AC197" s="491">
        <v>0</v>
      </c>
      <c r="AD197" s="491">
        <v>0</v>
      </c>
      <c r="AE197" s="489">
        <v>5</v>
      </c>
      <c r="AF197" s="490">
        <v>41806492.579999998</v>
      </c>
      <c r="AG197" s="490">
        <v>0</v>
      </c>
      <c r="AH197" s="491">
        <v>0.99759322862521937</v>
      </c>
      <c r="AI197" s="491">
        <v>0</v>
      </c>
      <c r="AJ197" s="491">
        <v>0</v>
      </c>
    </row>
    <row r="198" spans="2:36" ht="25.5" x14ac:dyDescent="0.25">
      <c r="B198" s="489" t="s">
        <v>337</v>
      </c>
      <c r="C198" s="489" t="s">
        <v>217</v>
      </c>
      <c r="D198" s="489" t="s">
        <v>346</v>
      </c>
      <c r="E198" s="489" t="s">
        <v>553</v>
      </c>
      <c r="F198" s="490">
        <v>4349512</v>
      </c>
      <c r="G198" s="490">
        <v>0</v>
      </c>
      <c r="H198" s="562">
        <v>0</v>
      </c>
      <c r="I198" s="563"/>
      <c r="J198" s="490">
        <v>4349512</v>
      </c>
      <c r="K198" s="490">
        <v>4269595.83</v>
      </c>
      <c r="L198" s="490">
        <v>0</v>
      </c>
      <c r="M198" s="491">
        <v>0.98162640544502466</v>
      </c>
      <c r="N198" s="491">
        <v>0</v>
      </c>
      <c r="O198" s="564">
        <v>0</v>
      </c>
      <c r="P198" s="565"/>
      <c r="Q198" s="566"/>
      <c r="R198" s="489">
        <v>1</v>
      </c>
      <c r="S198" s="490">
        <v>4269595.83</v>
      </c>
      <c r="T198" s="490">
        <v>0</v>
      </c>
      <c r="U198" s="491">
        <v>0.98162640544502466</v>
      </c>
      <c r="V198" s="491">
        <v>0</v>
      </c>
      <c r="W198" s="491">
        <v>0</v>
      </c>
      <c r="X198" s="489">
        <v>1</v>
      </c>
      <c r="Y198" s="490">
        <v>4269595.83</v>
      </c>
      <c r="Z198" s="490">
        <v>0</v>
      </c>
      <c r="AB198" s="491">
        <v>0.98162640544502466</v>
      </c>
      <c r="AC198" s="491">
        <v>0</v>
      </c>
      <c r="AD198" s="491">
        <v>0</v>
      </c>
      <c r="AE198" s="489">
        <v>1</v>
      </c>
      <c r="AF198" s="490">
        <v>4269595.83</v>
      </c>
      <c r="AG198" s="490">
        <v>0</v>
      </c>
      <c r="AH198" s="491">
        <v>0.98162640544502466</v>
      </c>
      <c r="AI198" s="491">
        <v>0</v>
      </c>
      <c r="AJ198" s="491">
        <v>0</v>
      </c>
    </row>
    <row r="199" spans="2:36" ht="25.5" x14ac:dyDescent="0.25">
      <c r="B199" s="489" t="s">
        <v>1247</v>
      </c>
      <c r="C199" s="489" t="s">
        <v>1248</v>
      </c>
      <c r="D199" s="489" t="s">
        <v>346</v>
      </c>
      <c r="E199" s="489" t="s">
        <v>553</v>
      </c>
      <c r="F199" s="490">
        <v>7295922</v>
      </c>
      <c r="G199" s="490">
        <v>0</v>
      </c>
      <c r="H199" s="562">
        <v>0</v>
      </c>
      <c r="I199" s="563"/>
      <c r="J199" s="490">
        <v>7295922</v>
      </c>
      <c r="K199" s="490">
        <v>7086200.79</v>
      </c>
      <c r="L199" s="490">
        <v>0</v>
      </c>
      <c r="M199" s="491">
        <v>0.97125500930519815</v>
      </c>
      <c r="N199" s="491">
        <v>0</v>
      </c>
      <c r="O199" s="564">
        <v>0</v>
      </c>
      <c r="P199" s="565"/>
      <c r="Q199" s="566"/>
      <c r="R199" s="489">
        <v>55</v>
      </c>
      <c r="S199" s="490">
        <v>7086200.79</v>
      </c>
      <c r="T199" s="490">
        <v>0</v>
      </c>
      <c r="U199" s="491">
        <v>0.97125500930519815</v>
      </c>
      <c r="V199" s="491">
        <v>0</v>
      </c>
      <c r="W199" s="491">
        <v>0</v>
      </c>
      <c r="X199" s="489">
        <v>55</v>
      </c>
      <c r="Y199" s="490">
        <v>7086200.79</v>
      </c>
      <c r="Z199" s="490">
        <v>0</v>
      </c>
      <c r="AB199" s="491">
        <v>0.97125500930519815</v>
      </c>
      <c r="AC199" s="491">
        <v>0</v>
      </c>
      <c r="AD199" s="491">
        <v>0</v>
      </c>
      <c r="AE199" s="489">
        <v>55</v>
      </c>
      <c r="AF199" s="490">
        <v>7086200.79</v>
      </c>
      <c r="AG199" s="490">
        <v>0</v>
      </c>
      <c r="AH199" s="491">
        <v>0.97125500930519815</v>
      </c>
      <c r="AI199" s="491">
        <v>0</v>
      </c>
      <c r="AJ199" s="491">
        <v>0</v>
      </c>
    </row>
    <row r="200" spans="2:36" ht="89.25" x14ac:dyDescent="0.25">
      <c r="B200" s="489" t="s">
        <v>338</v>
      </c>
      <c r="C200" s="489" t="s">
        <v>589</v>
      </c>
      <c r="D200" s="489" t="s">
        <v>346</v>
      </c>
      <c r="E200" s="489" t="s">
        <v>590</v>
      </c>
      <c r="F200" s="490">
        <v>4746596</v>
      </c>
      <c r="G200" s="490">
        <v>0</v>
      </c>
      <c r="H200" s="562">
        <v>0</v>
      </c>
      <c r="I200" s="563"/>
      <c r="J200" s="490">
        <v>4746596</v>
      </c>
      <c r="K200" s="490">
        <v>4744870.0599999996</v>
      </c>
      <c r="L200" s="490">
        <v>0</v>
      </c>
      <c r="M200" s="491">
        <v>0.99963638363155405</v>
      </c>
      <c r="N200" s="491">
        <v>0</v>
      </c>
      <c r="O200" s="564">
        <v>0</v>
      </c>
      <c r="P200" s="565"/>
      <c r="Q200" s="566"/>
      <c r="R200" s="489">
        <v>1</v>
      </c>
      <c r="S200" s="490">
        <v>4744870.0599999996</v>
      </c>
      <c r="T200" s="490">
        <v>0</v>
      </c>
      <c r="U200" s="491">
        <v>0.99963638363155405</v>
      </c>
      <c r="V200" s="491">
        <v>0</v>
      </c>
      <c r="W200" s="491">
        <v>0</v>
      </c>
      <c r="X200" s="489">
        <v>1</v>
      </c>
      <c r="Y200" s="490">
        <v>4744870.0599999996</v>
      </c>
      <c r="Z200" s="490">
        <v>0</v>
      </c>
      <c r="AB200" s="491">
        <v>0.99963638363155405</v>
      </c>
      <c r="AC200" s="491">
        <v>0</v>
      </c>
      <c r="AD200" s="491">
        <v>0</v>
      </c>
      <c r="AE200" s="489">
        <v>1</v>
      </c>
      <c r="AF200" s="490">
        <v>4744870.0599999996</v>
      </c>
      <c r="AG200" s="490">
        <v>0</v>
      </c>
      <c r="AH200" s="491">
        <v>0.99963638363155405</v>
      </c>
      <c r="AI200" s="491">
        <v>0</v>
      </c>
      <c r="AJ200" s="491">
        <v>0</v>
      </c>
    </row>
    <row r="201" spans="2:36" ht="51" x14ac:dyDescent="0.25">
      <c r="B201" s="489" t="s">
        <v>455</v>
      </c>
      <c r="C201" s="489" t="s">
        <v>591</v>
      </c>
      <c r="D201" s="489" t="s">
        <v>346</v>
      </c>
      <c r="E201" s="489" t="s">
        <v>590</v>
      </c>
      <c r="F201" s="490">
        <v>36850225</v>
      </c>
      <c r="G201" s="490">
        <v>0</v>
      </c>
      <c r="H201" s="562">
        <v>0</v>
      </c>
      <c r="I201" s="563"/>
      <c r="J201" s="490">
        <v>36850225</v>
      </c>
      <c r="K201" s="490">
        <v>36325543.689999998</v>
      </c>
      <c r="L201" s="490">
        <v>0</v>
      </c>
      <c r="M201" s="491">
        <v>0.98576178815733151</v>
      </c>
      <c r="N201" s="491">
        <v>0</v>
      </c>
      <c r="O201" s="564">
        <v>0</v>
      </c>
      <c r="P201" s="565"/>
      <c r="Q201" s="566"/>
      <c r="R201" s="489">
        <v>97</v>
      </c>
      <c r="S201" s="490">
        <v>36325543.689999998</v>
      </c>
      <c r="T201" s="490">
        <v>0</v>
      </c>
      <c r="U201" s="491">
        <v>0.98576178815733151</v>
      </c>
      <c r="V201" s="491">
        <v>0</v>
      </c>
      <c r="W201" s="491">
        <v>0</v>
      </c>
      <c r="X201" s="489">
        <v>97</v>
      </c>
      <c r="Y201" s="490">
        <v>36325543.689999998</v>
      </c>
      <c r="Z201" s="490">
        <v>0</v>
      </c>
      <c r="AB201" s="491">
        <v>0.98576178815733151</v>
      </c>
      <c r="AC201" s="491">
        <v>0</v>
      </c>
      <c r="AD201" s="491">
        <v>0</v>
      </c>
      <c r="AE201" s="489">
        <v>97</v>
      </c>
      <c r="AF201" s="490">
        <v>36319974.939999998</v>
      </c>
      <c r="AG201" s="490">
        <v>0</v>
      </c>
      <c r="AH201" s="491">
        <v>0.9856106696770508</v>
      </c>
      <c r="AI201" s="491">
        <v>0</v>
      </c>
      <c r="AJ201" s="491">
        <v>0</v>
      </c>
    </row>
    <row r="202" spans="2:36" ht="25.5" x14ac:dyDescent="0.25">
      <c r="B202" s="489" t="s">
        <v>339</v>
      </c>
      <c r="C202" s="489" t="s">
        <v>592</v>
      </c>
      <c r="D202" s="489" t="s">
        <v>346</v>
      </c>
      <c r="E202" s="489" t="s">
        <v>590</v>
      </c>
      <c r="F202" s="490">
        <v>10093277</v>
      </c>
      <c r="G202" s="490">
        <v>0</v>
      </c>
      <c r="H202" s="562">
        <v>0</v>
      </c>
      <c r="I202" s="563"/>
      <c r="J202" s="490">
        <v>10093277</v>
      </c>
      <c r="K202" s="490">
        <v>9918589.5700000003</v>
      </c>
      <c r="L202" s="490">
        <v>0</v>
      </c>
      <c r="M202" s="491">
        <v>0.98269269435486617</v>
      </c>
      <c r="N202" s="491">
        <v>0</v>
      </c>
      <c r="O202" s="564">
        <v>0</v>
      </c>
      <c r="P202" s="565"/>
      <c r="Q202" s="566"/>
      <c r="R202" s="489">
        <v>1</v>
      </c>
      <c r="S202" s="490">
        <v>9918589.5700000003</v>
      </c>
      <c r="T202" s="490">
        <v>0</v>
      </c>
      <c r="U202" s="491">
        <v>0.98269269435486617</v>
      </c>
      <c r="V202" s="491">
        <v>0</v>
      </c>
      <c r="W202" s="491">
        <v>0</v>
      </c>
      <c r="X202" s="489">
        <v>1</v>
      </c>
      <c r="Y202" s="490">
        <v>9918589.5700000003</v>
      </c>
      <c r="Z202" s="490">
        <v>0</v>
      </c>
      <c r="AB202" s="491">
        <v>0.98269269435486617</v>
      </c>
      <c r="AC202" s="491">
        <v>0</v>
      </c>
      <c r="AD202" s="491">
        <v>0</v>
      </c>
      <c r="AE202" s="489">
        <v>1</v>
      </c>
      <c r="AF202" s="490">
        <v>9918589.5700000003</v>
      </c>
      <c r="AG202" s="490">
        <v>0</v>
      </c>
      <c r="AH202" s="491">
        <v>0.98269269435486617</v>
      </c>
      <c r="AI202" s="491">
        <v>0</v>
      </c>
      <c r="AJ202" s="491">
        <v>0</v>
      </c>
    </row>
    <row r="203" spans="2:36" ht="25.5" x14ac:dyDescent="0.25">
      <c r="B203" s="489" t="s">
        <v>340</v>
      </c>
      <c r="C203" s="489" t="s">
        <v>593</v>
      </c>
      <c r="D203" s="489" t="s">
        <v>346</v>
      </c>
      <c r="E203" s="489" t="s">
        <v>590</v>
      </c>
      <c r="F203" s="490">
        <v>26756948</v>
      </c>
      <c r="G203" s="490">
        <v>0</v>
      </c>
      <c r="H203" s="562">
        <v>0</v>
      </c>
      <c r="I203" s="563"/>
      <c r="J203" s="490">
        <v>26756948</v>
      </c>
      <c r="K203" s="490">
        <v>26406954.120000001</v>
      </c>
      <c r="L203" s="490">
        <v>0</v>
      </c>
      <c r="M203" s="491">
        <v>0.98691951413890699</v>
      </c>
      <c r="N203" s="491">
        <v>0</v>
      </c>
      <c r="O203" s="564">
        <v>0</v>
      </c>
      <c r="P203" s="565"/>
      <c r="Q203" s="566"/>
      <c r="R203" s="489">
        <v>96</v>
      </c>
      <c r="S203" s="490">
        <v>26406954.120000001</v>
      </c>
      <c r="T203" s="490">
        <v>0</v>
      </c>
      <c r="U203" s="491">
        <v>0.98691951413890699</v>
      </c>
      <c r="V203" s="491">
        <v>0</v>
      </c>
      <c r="W203" s="491">
        <v>0</v>
      </c>
      <c r="X203" s="489">
        <v>96</v>
      </c>
      <c r="Y203" s="490">
        <v>26406954.120000001</v>
      </c>
      <c r="Z203" s="490">
        <v>0</v>
      </c>
      <c r="AB203" s="491">
        <v>0.98691951413890699</v>
      </c>
      <c r="AC203" s="491">
        <v>0</v>
      </c>
      <c r="AD203" s="491">
        <v>0</v>
      </c>
      <c r="AE203" s="489">
        <v>96</v>
      </c>
      <c r="AF203" s="490">
        <v>26401385.370000001</v>
      </c>
      <c r="AG203" s="490">
        <v>0</v>
      </c>
      <c r="AH203" s="491">
        <v>0.98671139062646462</v>
      </c>
      <c r="AI203" s="491">
        <v>0</v>
      </c>
      <c r="AJ203" s="491">
        <v>0</v>
      </c>
    </row>
    <row r="204" spans="2:36" ht="51" x14ac:dyDescent="0.25">
      <c r="B204" s="489" t="s">
        <v>341</v>
      </c>
      <c r="C204" s="489" t="s">
        <v>139</v>
      </c>
      <c r="D204" s="489" t="s">
        <v>346</v>
      </c>
      <c r="E204" s="489" t="s">
        <v>590</v>
      </c>
      <c r="F204" s="490">
        <v>14534059</v>
      </c>
      <c r="G204" s="490">
        <v>0</v>
      </c>
      <c r="H204" s="562">
        <v>1589796</v>
      </c>
      <c r="I204" s="563"/>
      <c r="J204" s="490">
        <v>16123855</v>
      </c>
      <c r="K204" s="490">
        <v>16123855</v>
      </c>
      <c r="L204" s="490">
        <v>0</v>
      </c>
      <c r="M204" s="491">
        <v>1.1093841713453896</v>
      </c>
      <c r="N204" s="491">
        <v>0</v>
      </c>
      <c r="O204" s="564">
        <v>0</v>
      </c>
      <c r="P204" s="565"/>
      <c r="Q204" s="566"/>
      <c r="R204" s="489">
        <v>1</v>
      </c>
      <c r="S204" s="490">
        <v>16123855</v>
      </c>
      <c r="T204" s="490">
        <v>0</v>
      </c>
      <c r="U204" s="491">
        <v>1.1093841713453896</v>
      </c>
      <c r="V204" s="491">
        <v>0</v>
      </c>
      <c r="W204" s="491">
        <v>0</v>
      </c>
      <c r="X204" s="489">
        <v>1</v>
      </c>
      <c r="Y204" s="490">
        <v>16123855</v>
      </c>
      <c r="Z204" s="490">
        <v>0</v>
      </c>
      <c r="AB204" s="491">
        <v>1.1093841713453896</v>
      </c>
      <c r="AC204" s="491">
        <v>0</v>
      </c>
      <c r="AD204" s="491">
        <v>0</v>
      </c>
      <c r="AE204" s="489">
        <v>1</v>
      </c>
      <c r="AF204" s="490">
        <v>16123855</v>
      </c>
      <c r="AG204" s="490">
        <v>0</v>
      </c>
      <c r="AH204" s="491">
        <v>1.1093841713453896</v>
      </c>
      <c r="AI204" s="491">
        <v>0</v>
      </c>
      <c r="AJ204" s="491">
        <v>0</v>
      </c>
    </row>
    <row r="205" spans="2:36" ht="25.5" x14ac:dyDescent="0.25">
      <c r="B205" s="489" t="s">
        <v>342</v>
      </c>
      <c r="C205" s="489" t="s">
        <v>140</v>
      </c>
      <c r="D205" s="489" t="s">
        <v>346</v>
      </c>
      <c r="E205" s="489" t="s">
        <v>590</v>
      </c>
      <c r="F205" s="490">
        <v>11604030</v>
      </c>
      <c r="G205" s="490">
        <v>0</v>
      </c>
      <c r="H205" s="562">
        <v>0</v>
      </c>
      <c r="I205" s="563"/>
      <c r="J205" s="490">
        <v>11604030</v>
      </c>
      <c r="K205" s="490">
        <v>11417287.84</v>
      </c>
      <c r="L205" s="490">
        <v>0</v>
      </c>
      <c r="M205" s="491">
        <v>0.98390712881645426</v>
      </c>
      <c r="N205" s="491">
        <v>0</v>
      </c>
      <c r="O205" s="564">
        <v>0</v>
      </c>
      <c r="P205" s="565"/>
      <c r="Q205" s="566"/>
      <c r="R205" s="489">
        <v>1</v>
      </c>
      <c r="S205" s="490">
        <v>11417287.84</v>
      </c>
      <c r="T205" s="490">
        <v>0</v>
      </c>
      <c r="U205" s="491">
        <v>0.98390712881645426</v>
      </c>
      <c r="V205" s="491">
        <v>0</v>
      </c>
      <c r="W205" s="491">
        <v>0</v>
      </c>
      <c r="X205" s="489">
        <v>1</v>
      </c>
      <c r="Y205" s="490">
        <v>11417287.84</v>
      </c>
      <c r="Z205" s="490">
        <v>0</v>
      </c>
      <c r="AB205" s="491">
        <v>0.98390712881645426</v>
      </c>
      <c r="AC205" s="491">
        <v>0</v>
      </c>
      <c r="AD205" s="491">
        <v>0</v>
      </c>
      <c r="AE205" s="489">
        <v>1</v>
      </c>
      <c r="AF205" s="490">
        <v>11417287.84</v>
      </c>
      <c r="AG205" s="490">
        <v>0</v>
      </c>
      <c r="AH205" s="491">
        <v>0.98390712881645426</v>
      </c>
      <c r="AI205" s="491">
        <v>0</v>
      </c>
      <c r="AJ205" s="491">
        <v>0</v>
      </c>
    </row>
    <row r="206" spans="2:36" ht="51" x14ac:dyDescent="0.25">
      <c r="B206" s="489" t="s">
        <v>1294</v>
      </c>
      <c r="C206" s="489" t="s">
        <v>1526</v>
      </c>
      <c r="D206" s="489" t="s">
        <v>346</v>
      </c>
      <c r="E206" s="489" t="s">
        <v>590</v>
      </c>
      <c r="F206" s="490">
        <v>6809331</v>
      </c>
      <c r="G206" s="490">
        <v>4259331</v>
      </c>
      <c r="H206" s="562">
        <v>0</v>
      </c>
      <c r="I206" s="563"/>
      <c r="J206" s="490">
        <v>6809331</v>
      </c>
      <c r="K206" s="490">
        <v>6809331</v>
      </c>
      <c r="L206" s="490">
        <v>4259331</v>
      </c>
      <c r="M206" s="491">
        <v>1</v>
      </c>
      <c r="N206" s="491">
        <v>0</v>
      </c>
      <c r="O206" s="564">
        <v>0</v>
      </c>
      <c r="P206" s="565"/>
      <c r="Q206" s="566"/>
      <c r="R206" s="489">
        <v>1</v>
      </c>
      <c r="S206" s="490">
        <v>6809331</v>
      </c>
      <c r="T206" s="490">
        <v>4259331</v>
      </c>
      <c r="U206" s="491">
        <v>1</v>
      </c>
      <c r="V206" s="491">
        <v>0</v>
      </c>
      <c r="W206" s="491">
        <v>0</v>
      </c>
      <c r="X206" s="489">
        <v>1</v>
      </c>
      <c r="Y206" s="490">
        <v>6809331</v>
      </c>
      <c r="Z206" s="490">
        <v>4259331</v>
      </c>
      <c r="AB206" s="491">
        <v>1</v>
      </c>
      <c r="AC206" s="491">
        <v>0</v>
      </c>
      <c r="AD206" s="491">
        <v>0</v>
      </c>
      <c r="AE206" s="489">
        <v>1</v>
      </c>
      <c r="AF206" s="490">
        <v>6809331</v>
      </c>
      <c r="AG206" s="490">
        <v>4259331</v>
      </c>
      <c r="AH206" s="491">
        <v>1</v>
      </c>
      <c r="AI206" s="491">
        <v>0</v>
      </c>
      <c r="AJ206" s="491">
        <v>0</v>
      </c>
    </row>
    <row r="207" spans="2:36" ht="89.25" x14ac:dyDescent="0.25">
      <c r="B207" s="489" t="s">
        <v>594</v>
      </c>
      <c r="C207" s="489" t="s">
        <v>595</v>
      </c>
      <c r="D207" s="489"/>
      <c r="E207" s="489"/>
      <c r="F207" s="490">
        <v>331050148</v>
      </c>
      <c r="G207" s="490">
        <v>51573785</v>
      </c>
      <c r="H207" s="562">
        <v>12940597</v>
      </c>
      <c r="I207" s="563"/>
      <c r="J207" s="490">
        <v>343990745</v>
      </c>
      <c r="K207" s="490">
        <v>296940396.75</v>
      </c>
      <c r="L207" s="490">
        <v>49678760.5</v>
      </c>
      <c r="M207" s="491">
        <v>0.89696500226304088</v>
      </c>
      <c r="N207" s="491">
        <v>-7.8515093368875341E-2</v>
      </c>
      <c r="O207" s="564">
        <v>-8.0488667806197775E-2</v>
      </c>
      <c r="P207" s="565"/>
      <c r="Q207" s="566"/>
      <c r="R207" s="489">
        <v>438</v>
      </c>
      <c r="S207" s="490">
        <v>296940396.75</v>
      </c>
      <c r="T207" s="490">
        <v>49678760.5</v>
      </c>
      <c r="U207" s="491">
        <v>0.89696500226304088</v>
      </c>
      <c r="V207" s="491">
        <v>-7.8515093368875341E-2</v>
      </c>
      <c r="W207" s="491">
        <v>-8.0488667806197775E-2</v>
      </c>
      <c r="X207" s="489">
        <v>438</v>
      </c>
      <c r="Y207" s="490">
        <v>296940396.75</v>
      </c>
      <c r="Z207" s="490">
        <v>49678760.5</v>
      </c>
      <c r="AB207" s="491">
        <v>0.89696500226304088</v>
      </c>
      <c r="AC207" s="491">
        <v>-7.8515093368875341E-2</v>
      </c>
      <c r="AD207" s="491">
        <v>-8.0488667806197775E-2</v>
      </c>
      <c r="AE207" s="489">
        <v>438</v>
      </c>
      <c r="AF207" s="490">
        <v>296000068.88999999</v>
      </c>
      <c r="AG207" s="490">
        <v>46399851.5</v>
      </c>
      <c r="AH207" s="491">
        <v>0.89412456293479747</v>
      </c>
      <c r="AI207" s="491">
        <v>0</v>
      </c>
      <c r="AJ207" s="491">
        <v>0</v>
      </c>
    </row>
    <row r="208" spans="2:36" ht="38.25" x14ac:dyDescent="0.25">
      <c r="B208" s="489" t="s">
        <v>596</v>
      </c>
      <c r="C208" s="489" t="s">
        <v>597</v>
      </c>
      <c r="D208" s="489" t="s">
        <v>344</v>
      </c>
      <c r="E208" s="489" t="s">
        <v>553</v>
      </c>
      <c r="F208" s="490">
        <v>45695733</v>
      </c>
      <c r="G208" s="490">
        <v>0</v>
      </c>
      <c r="H208" s="562">
        <v>0</v>
      </c>
      <c r="I208" s="563"/>
      <c r="J208" s="490">
        <v>45695733</v>
      </c>
      <c r="K208" s="490">
        <v>42922120.390000001</v>
      </c>
      <c r="L208" s="490">
        <v>0</v>
      </c>
      <c r="M208" s="491">
        <v>0.9393025906817164</v>
      </c>
      <c r="N208" s="491">
        <v>0</v>
      </c>
      <c r="O208" s="564">
        <v>0</v>
      </c>
      <c r="P208" s="565"/>
      <c r="Q208" s="566"/>
      <c r="R208" s="489">
        <v>71</v>
      </c>
      <c r="S208" s="490">
        <v>42922120.390000001</v>
      </c>
      <c r="T208" s="490">
        <v>0</v>
      </c>
      <c r="U208" s="491">
        <v>0.9393025906817164</v>
      </c>
      <c r="V208" s="491">
        <v>0</v>
      </c>
      <c r="W208" s="491">
        <v>0</v>
      </c>
      <c r="X208" s="489">
        <v>71</v>
      </c>
      <c r="Y208" s="490">
        <v>42922120.390000001</v>
      </c>
      <c r="Z208" s="490">
        <v>0</v>
      </c>
      <c r="AB208" s="491">
        <v>0.9393025906817164</v>
      </c>
      <c r="AC208" s="491">
        <v>0</v>
      </c>
      <c r="AD208" s="491">
        <v>0</v>
      </c>
      <c r="AE208" s="489">
        <v>71</v>
      </c>
      <c r="AF208" s="490">
        <v>42915996.450000003</v>
      </c>
      <c r="AG208" s="490">
        <v>0</v>
      </c>
      <c r="AH208" s="491">
        <v>0.93916857510525109</v>
      </c>
      <c r="AI208" s="491">
        <v>0</v>
      </c>
      <c r="AJ208" s="491">
        <v>0</v>
      </c>
    </row>
    <row r="209" spans="2:36" ht="25.5" x14ac:dyDescent="0.25">
      <c r="B209" s="489" t="s">
        <v>343</v>
      </c>
      <c r="C209" s="489" t="s">
        <v>223</v>
      </c>
      <c r="D209" s="489" t="s">
        <v>344</v>
      </c>
      <c r="E209" s="489" t="s">
        <v>553</v>
      </c>
      <c r="F209" s="490">
        <v>43101670</v>
      </c>
      <c r="G209" s="490">
        <v>0</v>
      </c>
      <c r="H209" s="562">
        <v>0</v>
      </c>
      <c r="I209" s="563"/>
      <c r="J209" s="490">
        <v>43101670</v>
      </c>
      <c r="K209" s="490">
        <v>40839418.009999998</v>
      </c>
      <c r="L209" s="490">
        <v>0</v>
      </c>
      <c r="M209" s="491">
        <v>0.94751358845260525</v>
      </c>
      <c r="N209" s="491">
        <v>0</v>
      </c>
      <c r="O209" s="564">
        <v>0</v>
      </c>
      <c r="P209" s="565"/>
      <c r="Q209" s="566"/>
      <c r="R209" s="489">
        <v>69</v>
      </c>
      <c r="S209" s="490">
        <v>40839418.009999998</v>
      </c>
      <c r="T209" s="490">
        <v>0</v>
      </c>
      <c r="U209" s="491">
        <v>0.94751358845260525</v>
      </c>
      <c r="V209" s="491">
        <v>0</v>
      </c>
      <c r="W209" s="491">
        <v>0</v>
      </c>
      <c r="X209" s="489">
        <v>69</v>
      </c>
      <c r="Y209" s="490">
        <v>40839418.009999998</v>
      </c>
      <c r="Z209" s="490">
        <v>0</v>
      </c>
      <c r="AB209" s="491">
        <v>0.94751358845260525</v>
      </c>
      <c r="AC209" s="491">
        <v>0</v>
      </c>
      <c r="AD209" s="491">
        <v>0</v>
      </c>
      <c r="AE209" s="489">
        <v>69</v>
      </c>
      <c r="AF209" s="490">
        <v>40833294.07</v>
      </c>
      <c r="AG209" s="490">
        <v>0</v>
      </c>
      <c r="AH209" s="491">
        <v>0.94737150718290031</v>
      </c>
      <c r="AI209" s="491">
        <v>0</v>
      </c>
      <c r="AJ209" s="491">
        <v>0</v>
      </c>
    </row>
    <row r="210" spans="2:36" ht="25.5" x14ac:dyDescent="0.25">
      <c r="B210" s="489" t="s">
        <v>237</v>
      </c>
      <c r="C210" s="489" t="s">
        <v>1286</v>
      </c>
      <c r="D210" s="489" t="s">
        <v>344</v>
      </c>
      <c r="E210" s="489" t="s">
        <v>553</v>
      </c>
      <c r="F210" s="490">
        <v>2113177</v>
      </c>
      <c r="G210" s="490">
        <v>0</v>
      </c>
      <c r="H210" s="562">
        <v>0</v>
      </c>
      <c r="I210" s="563"/>
      <c r="J210" s="490">
        <v>2113177</v>
      </c>
      <c r="K210" s="490">
        <v>1782086.8</v>
      </c>
      <c r="L210" s="490">
        <v>0</v>
      </c>
      <c r="M210" s="491">
        <v>0.84332112265087122</v>
      </c>
      <c r="N210" s="491">
        <v>0</v>
      </c>
      <c r="O210" s="564">
        <v>0</v>
      </c>
      <c r="P210" s="565"/>
      <c r="Q210" s="566"/>
      <c r="R210" s="489">
        <v>1</v>
      </c>
      <c r="S210" s="490">
        <v>1782086.8</v>
      </c>
      <c r="T210" s="490">
        <v>0</v>
      </c>
      <c r="U210" s="491">
        <v>0.84332112265087122</v>
      </c>
      <c r="V210" s="491">
        <v>0</v>
      </c>
      <c r="W210" s="491">
        <v>0</v>
      </c>
      <c r="X210" s="489">
        <v>1</v>
      </c>
      <c r="Y210" s="490">
        <v>1782086.8</v>
      </c>
      <c r="Z210" s="490">
        <v>0</v>
      </c>
      <c r="AB210" s="491">
        <v>0.84332112265087122</v>
      </c>
      <c r="AC210" s="491">
        <v>0</v>
      </c>
      <c r="AD210" s="491">
        <v>0</v>
      </c>
      <c r="AE210" s="489">
        <v>1</v>
      </c>
      <c r="AF210" s="490">
        <v>1782086.8</v>
      </c>
      <c r="AG210" s="490">
        <v>0</v>
      </c>
      <c r="AH210" s="491">
        <v>0.84332112265087122</v>
      </c>
      <c r="AI210" s="491">
        <v>0</v>
      </c>
      <c r="AJ210" s="491">
        <v>0</v>
      </c>
    </row>
    <row r="211" spans="2:36" ht="25.5" x14ac:dyDescent="0.25">
      <c r="B211" s="489" t="s">
        <v>1544</v>
      </c>
      <c r="C211" s="489" t="s">
        <v>1545</v>
      </c>
      <c r="D211" s="489" t="s">
        <v>344</v>
      </c>
      <c r="E211" s="489" t="s">
        <v>553</v>
      </c>
      <c r="F211" s="490">
        <v>480886</v>
      </c>
      <c r="G211" s="490">
        <v>0</v>
      </c>
      <c r="H211" s="562">
        <v>0</v>
      </c>
      <c r="I211" s="563"/>
      <c r="J211" s="490">
        <v>480886</v>
      </c>
      <c r="K211" s="490">
        <v>300615.58</v>
      </c>
      <c r="L211" s="490">
        <v>0</v>
      </c>
      <c r="M211" s="491">
        <v>0.62512857517166232</v>
      </c>
      <c r="N211" s="491">
        <v>0</v>
      </c>
      <c r="O211" s="564">
        <v>0</v>
      </c>
      <c r="P211" s="565"/>
      <c r="Q211" s="566"/>
      <c r="R211" s="489">
        <v>1</v>
      </c>
      <c r="S211" s="490">
        <v>300615.58</v>
      </c>
      <c r="T211" s="490">
        <v>0</v>
      </c>
      <c r="U211" s="491">
        <v>0.62512857517166232</v>
      </c>
      <c r="V211" s="491">
        <v>0</v>
      </c>
      <c r="W211" s="491">
        <v>0</v>
      </c>
      <c r="X211" s="489">
        <v>1</v>
      </c>
      <c r="Y211" s="490">
        <v>300615.58</v>
      </c>
      <c r="Z211" s="490">
        <v>0</v>
      </c>
      <c r="AB211" s="491">
        <v>0.62512857517166232</v>
      </c>
      <c r="AC211" s="491">
        <v>0</v>
      </c>
      <c r="AD211" s="491">
        <v>0</v>
      </c>
      <c r="AE211" s="489">
        <v>1</v>
      </c>
      <c r="AF211" s="490">
        <v>300615.58</v>
      </c>
      <c r="AG211" s="490">
        <v>0</v>
      </c>
      <c r="AH211" s="491">
        <v>0.62512857517166232</v>
      </c>
      <c r="AI211" s="491">
        <v>0</v>
      </c>
      <c r="AJ211" s="491">
        <v>0</v>
      </c>
    </row>
    <row r="212" spans="2:36" ht="51" x14ac:dyDescent="0.25">
      <c r="B212" s="489" t="s">
        <v>236</v>
      </c>
      <c r="C212" s="489" t="s">
        <v>598</v>
      </c>
      <c r="D212" s="489" t="s">
        <v>344</v>
      </c>
      <c r="E212" s="489" t="s">
        <v>590</v>
      </c>
      <c r="F212" s="490">
        <v>285354415</v>
      </c>
      <c r="G212" s="490">
        <v>51573785</v>
      </c>
      <c r="H212" s="562">
        <v>12940597</v>
      </c>
      <c r="I212" s="563"/>
      <c r="J212" s="490">
        <v>298295012</v>
      </c>
      <c r="K212" s="490">
        <v>254018276.36000001</v>
      </c>
      <c r="L212" s="490">
        <v>49678760.5</v>
      </c>
      <c r="M212" s="491">
        <v>0.89018519780042649</v>
      </c>
      <c r="N212" s="491">
        <v>-9.1088246453099389E-2</v>
      </c>
      <c r="O212" s="564">
        <v>-9.2826568360251521E-2</v>
      </c>
      <c r="P212" s="565"/>
      <c r="Q212" s="566"/>
      <c r="R212" s="489">
        <v>367</v>
      </c>
      <c r="S212" s="490">
        <v>254018276.36000001</v>
      </c>
      <c r="T212" s="490">
        <v>49678760.5</v>
      </c>
      <c r="U212" s="491">
        <v>0.89018519780042649</v>
      </c>
      <c r="V212" s="491">
        <v>-9.1088246453099389E-2</v>
      </c>
      <c r="W212" s="491">
        <v>-9.2826568360251521E-2</v>
      </c>
      <c r="X212" s="489">
        <v>367</v>
      </c>
      <c r="Y212" s="490">
        <v>254018276.36000001</v>
      </c>
      <c r="Z212" s="490">
        <v>49678760.5</v>
      </c>
      <c r="AB212" s="491">
        <v>0.89018519780042649</v>
      </c>
      <c r="AC212" s="491">
        <v>-9.1088246453099389E-2</v>
      </c>
      <c r="AD212" s="491">
        <v>-9.2826568360251521E-2</v>
      </c>
      <c r="AE212" s="489">
        <v>367</v>
      </c>
      <c r="AF212" s="490">
        <v>253084072.44</v>
      </c>
      <c r="AG212" s="490">
        <v>46399851.5</v>
      </c>
      <c r="AH212" s="491">
        <v>0.88691136052687325</v>
      </c>
      <c r="AI212" s="491">
        <v>0</v>
      </c>
      <c r="AJ212" s="491">
        <v>0</v>
      </c>
    </row>
    <row r="213" spans="2:36" ht="25.5" x14ac:dyDescent="0.25">
      <c r="B213" s="486" t="s">
        <v>599</v>
      </c>
      <c r="C213" s="486" t="s">
        <v>600</v>
      </c>
      <c r="D213" s="486"/>
      <c r="E213" s="486"/>
      <c r="F213" s="487">
        <v>21420040</v>
      </c>
      <c r="G213" s="487">
        <v>0</v>
      </c>
      <c r="H213" s="567">
        <v>0</v>
      </c>
      <c r="I213" s="568"/>
      <c r="J213" s="487">
        <v>21420040</v>
      </c>
      <c r="K213" s="487">
        <v>20958161.16</v>
      </c>
      <c r="L213" s="487">
        <v>0</v>
      </c>
      <c r="M213" s="488">
        <v>0.97843706921182216</v>
      </c>
      <c r="N213" s="488">
        <v>0</v>
      </c>
      <c r="O213" s="559">
        <v>0</v>
      </c>
      <c r="P213" s="560"/>
      <c r="Q213" s="561"/>
      <c r="R213" s="486">
        <v>44</v>
      </c>
      <c r="S213" s="487">
        <v>20958161.16</v>
      </c>
      <c r="T213" s="487">
        <v>0</v>
      </c>
      <c r="U213" s="488">
        <v>0.97843706921182216</v>
      </c>
      <c r="V213" s="488">
        <v>0</v>
      </c>
      <c r="W213" s="488">
        <v>0</v>
      </c>
      <c r="X213" s="486">
        <v>44</v>
      </c>
      <c r="Y213" s="487">
        <v>20958161.16</v>
      </c>
      <c r="Z213" s="487">
        <v>0</v>
      </c>
      <c r="AB213" s="488">
        <v>0.97843706921182216</v>
      </c>
      <c r="AC213" s="488">
        <v>0</v>
      </c>
      <c r="AD213" s="488">
        <v>0</v>
      </c>
      <c r="AE213" s="486">
        <v>44</v>
      </c>
      <c r="AF213" s="487">
        <v>20958105.09</v>
      </c>
      <c r="AG213" s="487">
        <v>0</v>
      </c>
      <c r="AH213" s="488">
        <v>0.97843445156965159</v>
      </c>
      <c r="AI213" s="488">
        <v>0</v>
      </c>
      <c r="AJ213" s="488">
        <v>0</v>
      </c>
    </row>
    <row r="214" spans="2:36" x14ac:dyDescent="0.25">
      <c r="B214" s="489" t="s">
        <v>359</v>
      </c>
      <c r="C214" s="489" t="s">
        <v>601</v>
      </c>
      <c r="D214" s="489" t="s">
        <v>346</v>
      </c>
      <c r="E214" s="489" t="s">
        <v>602</v>
      </c>
      <c r="F214" s="490">
        <v>2106322</v>
      </c>
      <c r="G214" s="490">
        <v>0</v>
      </c>
      <c r="H214" s="562">
        <v>0</v>
      </c>
      <c r="I214" s="563"/>
      <c r="J214" s="490">
        <v>2106322</v>
      </c>
      <c r="K214" s="490">
        <v>2002863.57</v>
      </c>
      <c r="L214" s="490">
        <v>0</v>
      </c>
      <c r="M214" s="491">
        <v>0.95088194967341177</v>
      </c>
      <c r="N214" s="491">
        <v>0</v>
      </c>
      <c r="O214" s="564">
        <v>0</v>
      </c>
      <c r="P214" s="565"/>
      <c r="Q214" s="566"/>
      <c r="R214" s="489">
        <v>2</v>
      </c>
      <c r="S214" s="490">
        <v>2002863.57</v>
      </c>
      <c r="T214" s="490">
        <v>0</v>
      </c>
      <c r="U214" s="491">
        <v>0.95088194967341177</v>
      </c>
      <c r="V214" s="491">
        <v>0</v>
      </c>
      <c r="W214" s="491">
        <v>0</v>
      </c>
      <c r="X214" s="489">
        <v>2</v>
      </c>
      <c r="Y214" s="490">
        <v>2002863.57</v>
      </c>
      <c r="Z214" s="490">
        <v>0</v>
      </c>
      <c r="AB214" s="491">
        <v>0.95088194967341177</v>
      </c>
      <c r="AC214" s="491">
        <v>0</v>
      </c>
      <c r="AD214" s="491">
        <v>0</v>
      </c>
      <c r="AE214" s="489">
        <v>2</v>
      </c>
      <c r="AF214" s="490">
        <v>2002863.57</v>
      </c>
      <c r="AG214" s="490">
        <v>0</v>
      </c>
      <c r="AH214" s="491">
        <v>0.95088194967341177</v>
      </c>
      <c r="AI214" s="491">
        <v>0</v>
      </c>
      <c r="AJ214" s="491">
        <v>0</v>
      </c>
    </row>
    <row r="215" spans="2:36" ht="38.25" x14ac:dyDescent="0.25">
      <c r="B215" s="489" t="s">
        <v>235</v>
      </c>
      <c r="C215" s="489" t="s">
        <v>603</v>
      </c>
      <c r="D215" s="489" t="s">
        <v>346</v>
      </c>
      <c r="E215" s="489" t="s">
        <v>602</v>
      </c>
      <c r="F215" s="490">
        <v>7101751</v>
      </c>
      <c r="G215" s="490">
        <v>0</v>
      </c>
      <c r="H215" s="562">
        <v>0</v>
      </c>
      <c r="I215" s="563"/>
      <c r="J215" s="490">
        <v>7101751</v>
      </c>
      <c r="K215" s="490">
        <v>6892432.8200000003</v>
      </c>
      <c r="L215" s="490">
        <v>0</v>
      </c>
      <c r="M215" s="491">
        <v>0.97052583510742629</v>
      </c>
      <c r="N215" s="491">
        <v>0</v>
      </c>
      <c r="O215" s="564">
        <v>0</v>
      </c>
      <c r="P215" s="565"/>
      <c r="Q215" s="566"/>
      <c r="R215" s="489">
        <v>22</v>
      </c>
      <c r="S215" s="490">
        <v>6892432.8200000003</v>
      </c>
      <c r="T215" s="490">
        <v>0</v>
      </c>
      <c r="U215" s="491">
        <v>0.97052583510742629</v>
      </c>
      <c r="V215" s="491">
        <v>0</v>
      </c>
      <c r="W215" s="491">
        <v>0</v>
      </c>
      <c r="X215" s="489">
        <v>22</v>
      </c>
      <c r="Y215" s="490">
        <v>6892432.8200000003</v>
      </c>
      <c r="Z215" s="490">
        <v>0</v>
      </c>
      <c r="AB215" s="491">
        <v>0.97052583510742629</v>
      </c>
      <c r="AC215" s="491">
        <v>0</v>
      </c>
      <c r="AD215" s="491">
        <v>0</v>
      </c>
      <c r="AE215" s="489">
        <v>22</v>
      </c>
      <c r="AF215" s="490">
        <v>6892376.75</v>
      </c>
      <c r="AG215" s="490">
        <v>0</v>
      </c>
      <c r="AH215" s="491">
        <v>0.97051793987144863</v>
      </c>
      <c r="AI215" s="491">
        <v>0</v>
      </c>
      <c r="AJ215" s="491">
        <v>0</v>
      </c>
    </row>
    <row r="216" spans="2:36" ht="51" x14ac:dyDescent="0.25">
      <c r="B216" s="489" t="s">
        <v>1250</v>
      </c>
      <c r="C216" s="489" t="s">
        <v>1253</v>
      </c>
      <c r="D216" s="489" t="s">
        <v>346</v>
      </c>
      <c r="E216" s="489" t="s">
        <v>602</v>
      </c>
      <c r="F216" s="490">
        <v>12211967</v>
      </c>
      <c r="G216" s="490">
        <v>0</v>
      </c>
      <c r="H216" s="562">
        <v>0</v>
      </c>
      <c r="I216" s="563"/>
      <c r="J216" s="490">
        <v>12211967</v>
      </c>
      <c r="K216" s="490">
        <v>12062864.77</v>
      </c>
      <c r="L216" s="490">
        <v>0</v>
      </c>
      <c r="M216" s="491">
        <v>0.98779048207385423</v>
      </c>
      <c r="N216" s="491">
        <v>0</v>
      </c>
      <c r="O216" s="564">
        <v>0</v>
      </c>
      <c r="P216" s="565"/>
      <c r="Q216" s="566"/>
      <c r="R216" s="489">
        <v>20</v>
      </c>
      <c r="S216" s="490">
        <v>12062864.77</v>
      </c>
      <c r="T216" s="490">
        <v>0</v>
      </c>
      <c r="U216" s="491">
        <v>0.98779048207385423</v>
      </c>
      <c r="V216" s="491">
        <v>0</v>
      </c>
      <c r="W216" s="491">
        <v>0</v>
      </c>
      <c r="X216" s="489">
        <v>20</v>
      </c>
      <c r="Y216" s="490">
        <v>12062864.77</v>
      </c>
      <c r="Z216" s="490">
        <v>0</v>
      </c>
      <c r="AB216" s="491">
        <v>0.98779048207385423</v>
      </c>
      <c r="AC216" s="491">
        <v>0</v>
      </c>
      <c r="AD216" s="491">
        <v>0</v>
      </c>
      <c r="AE216" s="489">
        <v>20</v>
      </c>
      <c r="AF216" s="490">
        <v>12062864.77</v>
      </c>
      <c r="AG216" s="490">
        <v>0</v>
      </c>
      <c r="AH216" s="491">
        <v>0.98779048207385423</v>
      </c>
      <c r="AI216" s="491">
        <v>0</v>
      </c>
      <c r="AJ216" s="491">
        <v>0</v>
      </c>
    </row>
    <row r="217" spans="2:36" ht="25.5" x14ac:dyDescent="0.25">
      <c r="B217" s="486" t="s">
        <v>604</v>
      </c>
      <c r="C217" s="486" t="s">
        <v>605</v>
      </c>
      <c r="D217" s="486"/>
      <c r="E217" s="486"/>
      <c r="F217" s="487">
        <v>39180553</v>
      </c>
      <c r="G217" s="487">
        <v>0</v>
      </c>
      <c r="H217" s="567">
        <v>0</v>
      </c>
      <c r="I217" s="568"/>
      <c r="J217" s="487">
        <v>39180553</v>
      </c>
      <c r="K217" s="487">
        <v>39151081.200000003</v>
      </c>
      <c r="L217" s="487">
        <v>0</v>
      </c>
      <c r="M217" s="488">
        <v>0.99924779520084872</v>
      </c>
      <c r="N217" s="488">
        <v>0</v>
      </c>
      <c r="O217" s="559">
        <v>0</v>
      </c>
      <c r="P217" s="560"/>
      <c r="Q217" s="561"/>
      <c r="R217" s="486">
        <v>31</v>
      </c>
      <c r="S217" s="487">
        <v>39151081.200000003</v>
      </c>
      <c r="T217" s="487">
        <v>0</v>
      </c>
      <c r="U217" s="488">
        <v>0.99924779520084872</v>
      </c>
      <c r="V217" s="488">
        <v>0</v>
      </c>
      <c r="W217" s="488">
        <v>0</v>
      </c>
      <c r="X217" s="486">
        <v>31</v>
      </c>
      <c r="Y217" s="487">
        <v>39151081.200000003</v>
      </c>
      <c r="Z217" s="487">
        <v>0</v>
      </c>
      <c r="AB217" s="488">
        <v>0.99924779520084872</v>
      </c>
      <c r="AC217" s="488">
        <v>0</v>
      </c>
      <c r="AD217" s="488">
        <v>0</v>
      </c>
      <c r="AE217" s="486">
        <v>31</v>
      </c>
      <c r="AF217" s="487">
        <v>39150971.990000002</v>
      </c>
      <c r="AG217" s="487">
        <v>0</v>
      </c>
      <c r="AH217" s="488">
        <v>0.9992450078486641</v>
      </c>
      <c r="AI217" s="488">
        <v>0</v>
      </c>
      <c r="AJ217" s="488">
        <v>0</v>
      </c>
    </row>
    <row r="218" spans="2:36" ht="25.5" x14ac:dyDescent="0.25">
      <c r="B218" s="489" t="s">
        <v>234</v>
      </c>
      <c r="C218" s="489" t="s">
        <v>148</v>
      </c>
      <c r="D218" s="489" t="s">
        <v>344</v>
      </c>
      <c r="E218" s="489" t="s">
        <v>602</v>
      </c>
      <c r="F218" s="490">
        <v>39180553</v>
      </c>
      <c r="G218" s="490">
        <v>0</v>
      </c>
      <c r="H218" s="562">
        <v>0</v>
      </c>
      <c r="I218" s="563"/>
      <c r="J218" s="490">
        <v>39180553</v>
      </c>
      <c r="K218" s="490">
        <v>39151081.200000003</v>
      </c>
      <c r="L218" s="490">
        <v>0</v>
      </c>
      <c r="M218" s="491">
        <v>0.99924779520084872</v>
      </c>
      <c r="N218" s="491">
        <v>0</v>
      </c>
      <c r="O218" s="564">
        <v>0</v>
      </c>
      <c r="P218" s="565"/>
      <c r="Q218" s="566"/>
      <c r="R218" s="489">
        <v>31</v>
      </c>
      <c r="S218" s="490">
        <v>39151081.200000003</v>
      </c>
      <c r="T218" s="490">
        <v>0</v>
      </c>
      <c r="U218" s="491">
        <v>0.99924779520084872</v>
      </c>
      <c r="V218" s="491">
        <v>0</v>
      </c>
      <c r="W218" s="491">
        <v>0</v>
      </c>
      <c r="X218" s="489">
        <v>31</v>
      </c>
      <c r="Y218" s="490">
        <v>39151081.200000003</v>
      </c>
      <c r="Z218" s="490">
        <v>0</v>
      </c>
      <c r="AB218" s="491">
        <v>0.99924779520084872</v>
      </c>
      <c r="AC218" s="491">
        <v>0</v>
      </c>
      <c r="AD218" s="491">
        <v>0</v>
      </c>
      <c r="AE218" s="489">
        <v>31</v>
      </c>
      <c r="AF218" s="490">
        <v>39150971.990000002</v>
      </c>
      <c r="AG218" s="490">
        <v>0</v>
      </c>
      <c r="AH218" s="491">
        <v>0.9992450078486641</v>
      </c>
      <c r="AI218" s="491">
        <v>0</v>
      </c>
      <c r="AJ218" s="491">
        <v>0</v>
      </c>
    </row>
    <row r="219" spans="2:36" ht="25.5" x14ac:dyDescent="0.25">
      <c r="B219" s="486" t="s">
        <v>606</v>
      </c>
      <c r="C219" s="486" t="s">
        <v>607</v>
      </c>
      <c r="D219" s="486"/>
      <c r="E219" s="486"/>
      <c r="F219" s="487">
        <v>40715710</v>
      </c>
      <c r="G219" s="487">
        <v>0</v>
      </c>
      <c r="H219" s="567">
        <v>0</v>
      </c>
      <c r="I219" s="568"/>
      <c r="J219" s="487">
        <v>40715710</v>
      </c>
      <c r="K219" s="487">
        <v>40697163.219999999</v>
      </c>
      <c r="L219" s="487">
        <v>0</v>
      </c>
      <c r="M219" s="488">
        <v>0.99954448098780546</v>
      </c>
      <c r="N219" s="488">
        <v>0</v>
      </c>
      <c r="O219" s="559">
        <v>0</v>
      </c>
      <c r="P219" s="560"/>
      <c r="Q219" s="561"/>
      <c r="R219" s="486">
        <v>7</v>
      </c>
      <c r="S219" s="487">
        <v>40697163.219999999</v>
      </c>
      <c r="T219" s="487">
        <v>0</v>
      </c>
      <c r="U219" s="488">
        <v>0.99954448098780546</v>
      </c>
      <c r="V219" s="488">
        <v>0</v>
      </c>
      <c r="W219" s="488">
        <v>0</v>
      </c>
      <c r="X219" s="486">
        <v>7</v>
      </c>
      <c r="Y219" s="487">
        <v>40697163.219999999</v>
      </c>
      <c r="Z219" s="487">
        <v>0</v>
      </c>
      <c r="AB219" s="488">
        <v>0.99954448098780546</v>
      </c>
      <c r="AC219" s="488">
        <v>0</v>
      </c>
      <c r="AD219" s="488">
        <v>0</v>
      </c>
      <c r="AE219" s="486">
        <v>7</v>
      </c>
      <c r="AF219" s="487">
        <v>40697163.219999999</v>
      </c>
      <c r="AG219" s="487">
        <v>0</v>
      </c>
      <c r="AH219" s="488">
        <v>0.99954448098780546</v>
      </c>
      <c r="AI219" s="488">
        <v>0</v>
      </c>
      <c r="AJ219" s="488">
        <v>0</v>
      </c>
    </row>
    <row r="220" spans="2:36" ht="25.5" x14ac:dyDescent="0.25">
      <c r="B220" s="489" t="s">
        <v>233</v>
      </c>
      <c r="C220" s="489" t="s">
        <v>149</v>
      </c>
      <c r="D220" s="489" t="s">
        <v>345</v>
      </c>
      <c r="E220" s="489" t="s">
        <v>602</v>
      </c>
      <c r="F220" s="490">
        <v>40715710</v>
      </c>
      <c r="G220" s="490">
        <v>0</v>
      </c>
      <c r="H220" s="562">
        <v>0</v>
      </c>
      <c r="I220" s="563"/>
      <c r="J220" s="490">
        <v>40715710</v>
      </c>
      <c r="K220" s="490">
        <v>40697163.219999999</v>
      </c>
      <c r="L220" s="490">
        <v>0</v>
      </c>
      <c r="M220" s="491">
        <v>0.99954448098780546</v>
      </c>
      <c r="N220" s="491">
        <v>0</v>
      </c>
      <c r="O220" s="564">
        <v>0</v>
      </c>
      <c r="P220" s="565"/>
      <c r="Q220" s="566"/>
      <c r="R220" s="489">
        <v>7</v>
      </c>
      <c r="S220" s="490">
        <v>40697163.219999999</v>
      </c>
      <c r="T220" s="490">
        <v>0</v>
      </c>
      <c r="U220" s="491">
        <v>0.99954448098780546</v>
      </c>
      <c r="V220" s="491">
        <v>0</v>
      </c>
      <c r="W220" s="491">
        <v>0</v>
      </c>
      <c r="X220" s="489">
        <v>7</v>
      </c>
      <c r="Y220" s="490">
        <v>40697163.219999999</v>
      </c>
      <c r="Z220" s="490">
        <v>0</v>
      </c>
      <c r="AB220" s="491">
        <v>0.99954448098780546</v>
      </c>
      <c r="AC220" s="491">
        <v>0</v>
      </c>
      <c r="AD220" s="491">
        <v>0</v>
      </c>
      <c r="AE220" s="489">
        <v>7</v>
      </c>
      <c r="AF220" s="490">
        <v>40697163.219999999</v>
      </c>
      <c r="AG220" s="490">
        <v>0</v>
      </c>
      <c r="AH220" s="491">
        <v>0.99954448098780546</v>
      </c>
      <c r="AI220" s="491">
        <v>0</v>
      </c>
      <c r="AJ220" s="491">
        <v>0</v>
      </c>
    </row>
    <row r="221" spans="2:36" ht="25.5" x14ac:dyDescent="0.25">
      <c r="B221" s="486" t="s">
        <v>1370</v>
      </c>
      <c r="C221" s="486" t="s">
        <v>1470</v>
      </c>
      <c r="D221" s="486"/>
      <c r="E221" s="486"/>
      <c r="F221" s="487">
        <v>10108455</v>
      </c>
      <c r="G221" s="487">
        <v>10108455</v>
      </c>
      <c r="H221" s="567">
        <v>0</v>
      </c>
      <c r="I221" s="568"/>
      <c r="J221" s="487">
        <v>10108455</v>
      </c>
      <c r="K221" s="487">
        <v>9741588.3200000003</v>
      </c>
      <c r="L221" s="487">
        <v>9741643.3900000006</v>
      </c>
      <c r="M221" s="488">
        <v>0.96370694829229586</v>
      </c>
      <c r="N221" s="488">
        <v>0</v>
      </c>
      <c r="O221" s="559">
        <v>0</v>
      </c>
      <c r="P221" s="560"/>
      <c r="Q221" s="561"/>
      <c r="R221" s="486">
        <v>37</v>
      </c>
      <c r="S221" s="487">
        <v>9741588.3200000003</v>
      </c>
      <c r="T221" s="487">
        <v>9741643.3900000006</v>
      </c>
      <c r="U221" s="488">
        <v>0.96370694829229586</v>
      </c>
      <c r="V221" s="488">
        <v>0</v>
      </c>
      <c r="W221" s="488">
        <v>0</v>
      </c>
      <c r="X221" s="486">
        <v>37</v>
      </c>
      <c r="Y221" s="487">
        <v>9741588.3200000003</v>
      </c>
      <c r="Z221" s="487">
        <v>9741643.3900000006</v>
      </c>
      <c r="AB221" s="488">
        <v>0.96370694829229586</v>
      </c>
      <c r="AC221" s="488">
        <v>0</v>
      </c>
      <c r="AD221" s="488">
        <v>0</v>
      </c>
      <c r="AE221" s="486">
        <v>37</v>
      </c>
      <c r="AF221" s="487">
        <v>9741588.3200000003</v>
      </c>
      <c r="AG221" s="487">
        <v>9741588.3200000003</v>
      </c>
      <c r="AH221" s="488">
        <v>0.96370694829229586</v>
      </c>
      <c r="AI221" s="488">
        <v>0</v>
      </c>
      <c r="AJ221" s="488">
        <v>0</v>
      </c>
    </row>
    <row r="222" spans="2:36" ht="51" x14ac:dyDescent="0.25">
      <c r="B222" s="489" t="s">
        <v>1371</v>
      </c>
      <c r="C222" s="489" t="s">
        <v>1575</v>
      </c>
      <c r="D222" s="489"/>
      <c r="E222" s="489"/>
      <c r="F222" s="490">
        <v>10108455</v>
      </c>
      <c r="G222" s="490">
        <v>10108455</v>
      </c>
      <c r="H222" s="562">
        <v>0</v>
      </c>
      <c r="I222" s="563"/>
      <c r="J222" s="490">
        <v>10108455</v>
      </c>
      <c r="K222" s="490">
        <v>9741588.3200000003</v>
      </c>
      <c r="L222" s="490">
        <v>9741643.3900000006</v>
      </c>
      <c r="M222" s="491">
        <v>0.96370694829229586</v>
      </c>
      <c r="N222" s="491">
        <v>0</v>
      </c>
      <c r="O222" s="564">
        <v>0</v>
      </c>
      <c r="P222" s="565"/>
      <c r="Q222" s="566"/>
      <c r="R222" s="489">
        <v>37</v>
      </c>
      <c r="S222" s="490">
        <v>9741588.3200000003</v>
      </c>
      <c r="T222" s="490">
        <v>9741643.3900000006</v>
      </c>
      <c r="U222" s="491">
        <v>0.96370694829229586</v>
      </c>
      <c r="V222" s="491">
        <v>0</v>
      </c>
      <c r="W222" s="491">
        <v>0</v>
      </c>
      <c r="X222" s="489">
        <v>37</v>
      </c>
      <c r="Y222" s="490">
        <v>9741588.3200000003</v>
      </c>
      <c r="Z222" s="490">
        <v>9741643.3900000006</v>
      </c>
      <c r="AB222" s="491">
        <v>0.96370694829229586</v>
      </c>
      <c r="AC222" s="491">
        <v>0</v>
      </c>
      <c r="AD222" s="491">
        <v>0</v>
      </c>
      <c r="AE222" s="489">
        <v>37</v>
      </c>
      <c r="AF222" s="490">
        <v>9741588.3200000003</v>
      </c>
      <c r="AG222" s="490">
        <v>9741588.3200000003</v>
      </c>
      <c r="AH222" s="491">
        <v>0.96370694829229586</v>
      </c>
      <c r="AI222" s="491">
        <v>0</v>
      </c>
      <c r="AJ222" s="491">
        <v>0</v>
      </c>
    </row>
    <row r="223" spans="2:36" x14ac:dyDescent="0.25">
      <c r="B223" s="489" t="s">
        <v>1373</v>
      </c>
      <c r="C223" s="489" t="s">
        <v>1374</v>
      </c>
      <c r="D223" s="489" t="s">
        <v>344</v>
      </c>
      <c r="E223" s="489" t="s">
        <v>532</v>
      </c>
      <c r="F223" s="490">
        <v>10108455</v>
      </c>
      <c r="G223" s="490">
        <v>10108455</v>
      </c>
      <c r="H223" s="562">
        <v>0</v>
      </c>
      <c r="I223" s="563"/>
      <c r="J223" s="490">
        <v>10108455</v>
      </c>
      <c r="K223" s="490">
        <v>9741588.3200000003</v>
      </c>
      <c r="L223" s="490">
        <v>9741643.3900000006</v>
      </c>
      <c r="M223" s="491">
        <v>0.96370694829229586</v>
      </c>
      <c r="N223" s="491">
        <v>0</v>
      </c>
      <c r="O223" s="564">
        <v>0</v>
      </c>
      <c r="P223" s="565"/>
      <c r="Q223" s="566"/>
      <c r="R223" s="489">
        <v>37</v>
      </c>
      <c r="S223" s="490">
        <v>9741588.3200000003</v>
      </c>
      <c r="T223" s="490">
        <v>9741643.3900000006</v>
      </c>
      <c r="U223" s="491">
        <v>0.96370694829229586</v>
      </c>
      <c r="V223" s="491">
        <v>0</v>
      </c>
      <c r="W223" s="491">
        <v>0</v>
      </c>
      <c r="X223" s="489">
        <v>37</v>
      </c>
      <c r="Y223" s="490">
        <v>9741588.3200000003</v>
      </c>
      <c r="Z223" s="490">
        <v>9741643.3900000006</v>
      </c>
      <c r="AB223" s="491">
        <v>0.96370694829229586</v>
      </c>
      <c r="AC223" s="491">
        <v>0</v>
      </c>
      <c r="AD223" s="491">
        <v>0</v>
      </c>
      <c r="AE223" s="489">
        <v>37</v>
      </c>
      <c r="AF223" s="490">
        <v>9741588.3200000003</v>
      </c>
      <c r="AG223" s="490">
        <v>9741588.3200000003</v>
      </c>
      <c r="AH223" s="491">
        <v>0.96370694829229586</v>
      </c>
      <c r="AI223" s="491">
        <v>0</v>
      </c>
      <c r="AJ223" s="491">
        <v>0</v>
      </c>
    </row>
    <row r="224" spans="2:36" x14ac:dyDescent="0.25">
      <c r="B224" s="489" t="s">
        <v>1517</v>
      </c>
      <c r="C224" s="489" t="s">
        <v>1505</v>
      </c>
      <c r="D224" s="489"/>
      <c r="E224" s="489"/>
      <c r="F224" s="490">
        <v>0</v>
      </c>
      <c r="G224" s="490">
        <v>0</v>
      </c>
      <c r="H224" s="562">
        <v>0</v>
      </c>
      <c r="I224" s="563"/>
      <c r="J224" s="490">
        <v>0</v>
      </c>
      <c r="K224" s="490">
        <v>0</v>
      </c>
      <c r="L224" s="490">
        <v>0</v>
      </c>
      <c r="M224" s="491">
        <v>0</v>
      </c>
      <c r="N224" s="491">
        <v>0</v>
      </c>
      <c r="O224" s="564">
        <v>0</v>
      </c>
      <c r="P224" s="565"/>
      <c r="Q224" s="566"/>
      <c r="R224" s="489">
        <v>0</v>
      </c>
      <c r="S224" s="490">
        <v>0</v>
      </c>
      <c r="T224" s="490">
        <v>0</v>
      </c>
      <c r="U224" s="491">
        <v>0</v>
      </c>
      <c r="V224" s="491">
        <v>0</v>
      </c>
      <c r="W224" s="491">
        <v>0</v>
      </c>
      <c r="X224" s="489">
        <v>0</v>
      </c>
      <c r="Y224" s="490">
        <v>0</v>
      </c>
      <c r="Z224" s="490">
        <v>0</v>
      </c>
      <c r="AB224" s="491">
        <v>0</v>
      </c>
      <c r="AC224" s="491">
        <v>0</v>
      </c>
      <c r="AD224" s="491">
        <v>0</v>
      </c>
      <c r="AE224" s="489">
        <v>0</v>
      </c>
      <c r="AF224" s="490">
        <v>0</v>
      </c>
      <c r="AG224" s="490">
        <v>0</v>
      </c>
      <c r="AH224" s="491">
        <v>0</v>
      </c>
      <c r="AI224" s="491">
        <v>0</v>
      </c>
      <c r="AJ224" s="491">
        <v>0</v>
      </c>
    </row>
    <row r="225" spans="2:36" ht="25.5" x14ac:dyDescent="0.25">
      <c r="B225" s="489" t="s">
        <v>1390</v>
      </c>
      <c r="C225" s="489" t="s">
        <v>1576</v>
      </c>
      <c r="D225" s="489"/>
      <c r="E225" s="489"/>
      <c r="F225" s="490">
        <v>0</v>
      </c>
      <c r="G225" s="490">
        <v>0</v>
      </c>
      <c r="H225" s="562">
        <v>0</v>
      </c>
      <c r="I225" s="563"/>
      <c r="J225" s="490">
        <v>0</v>
      </c>
      <c r="K225" s="490">
        <v>0</v>
      </c>
      <c r="L225" s="490">
        <v>0</v>
      </c>
      <c r="M225" s="491">
        <v>0</v>
      </c>
      <c r="N225" s="491">
        <v>0</v>
      </c>
      <c r="O225" s="564">
        <v>0</v>
      </c>
      <c r="P225" s="565"/>
      <c r="Q225" s="566"/>
      <c r="R225" s="489">
        <v>0</v>
      </c>
      <c r="S225" s="490">
        <v>0</v>
      </c>
      <c r="T225" s="490">
        <v>0</v>
      </c>
      <c r="U225" s="491">
        <v>0</v>
      </c>
      <c r="V225" s="491">
        <v>0</v>
      </c>
      <c r="W225" s="491">
        <v>0</v>
      </c>
      <c r="X225" s="489">
        <v>0</v>
      </c>
      <c r="Y225" s="490">
        <v>0</v>
      </c>
      <c r="Z225" s="490">
        <v>0</v>
      </c>
      <c r="AB225" s="491">
        <v>0</v>
      </c>
      <c r="AC225" s="491">
        <v>0</v>
      </c>
      <c r="AD225" s="491">
        <v>0</v>
      </c>
      <c r="AE225" s="489">
        <v>0</v>
      </c>
      <c r="AF225" s="490">
        <v>0</v>
      </c>
      <c r="AG225" s="490">
        <v>0</v>
      </c>
      <c r="AH225" s="491">
        <v>0</v>
      </c>
      <c r="AI225" s="491">
        <v>0</v>
      </c>
      <c r="AJ225" s="491">
        <v>0</v>
      </c>
    </row>
    <row r="226" spans="2:36" ht="25.5" x14ac:dyDescent="0.25">
      <c r="B226" s="489" t="s">
        <v>1391</v>
      </c>
      <c r="C226" s="489" t="s">
        <v>1577</v>
      </c>
      <c r="D226" s="489"/>
      <c r="E226" s="489"/>
      <c r="F226" s="490">
        <v>0</v>
      </c>
      <c r="G226" s="490">
        <v>0</v>
      </c>
      <c r="H226" s="562">
        <v>0</v>
      </c>
      <c r="I226" s="563"/>
      <c r="J226" s="490">
        <v>0</v>
      </c>
      <c r="K226" s="490">
        <v>0</v>
      </c>
      <c r="L226" s="490">
        <v>0</v>
      </c>
      <c r="M226" s="491">
        <v>0</v>
      </c>
      <c r="N226" s="491">
        <v>0</v>
      </c>
      <c r="O226" s="564">
        <v>0</v>
      </c>
      <c r="P226" s="565"/>
      <c r="Q226" s="566"/>
      <c r="R226" s="489">
        <v>0</v>
      </c>
      <c r="S226" s="490">
        <v>0</v>
      </c>
      <c r="T226" s="490">
        <v>0</v>
      </c>
      <c r="U226" s="491">
        <v>0</v>
      </c>
      <c r="V226" s="491">
        <v>0</v>
      </c>
      <c r="W226" s="491">
        <v>0</v>
      </c>
      <c r="X226" s="489">
        <v>0</v>
      </c>
      <c r="Y226" s="490">
        <v>0</v>
      </c>
      <c r="Z226" s="490">
        <v>0</v>
      </c>
      <c r="AB226" s="491">
        <v>0</v>
      </c>
      <c r="AC226" s="491">
        <v>0</v>
      </c>
      <c r="AD226" s="491">
        <v>0</v>
      </c>
      <c r="AE226" s="489">
        <v>0</v>
      </c>
      <c r="AF226" s="490">
        <v>0</v>
      </c>
      <c r="AG226" s="490">
        <v>0</v>
      </c>
      <c r="AH226" s="491">
        <v>0</v>
      </c>
      <c r="AI226" s="491">
        <v>0</v>
      </c>
      <c r="AJ226" s="491">
        <v>0</v>
      </c>
    </row>
    <row r="227" spans="2:36" x14ac:dyDescent="0.25">
      <c r="B227" s="489" t="s">
        <v>1520</v>
      </c>
      <c r="C227" s="489" t="s">
        <v>1510</v>
      </c>
      <c r="D227" s="489"/>
      <c r="E227" s="489"/>
      <c r="F227" s="490">
        <v>0</v>
      </c>
      <c r="G227" s="490">
        <v>0</v>
      </c>
      <c r="H227" s="562">
        <v>0</v>
      </c>
      <c r="I227" s="563"/>
      <c r="J227" s="490">
        <v>0</v>
      </c>
      <c r="K227" s="490">
        <v>0</v>
      </c>
      <c r="L227" s="490">
        <v>0</v>
      </c>
      <c r="M227" s="491">
        <v>0</v>
      </c>
      <c r="N227" s="491">
        <v>0</v>
      </c>
      <c r="O227" s="564">
        <v>0</v>
      </c>
      <c r="P227" s="565"/>
      <c r="Q227" s="566"/>
      <c r="R227" s="489">
        <v>0</v>
      </c>
      <c r="S227" s="490">
        <v>0</v>
      </c>
      <c r="T227" s="490">
        <v>0</v>
      </c>
      <c r="U227" s="491">
        <v>0</v>
      </c>
      <c r="V227" s="491">
        <v>0</v>
      </c>
      <c r="W227" s="491">
        <v>0</v>
      </c>
      <c r="X227" s="489">
        <v>0</v>
      </c>
      <c r="Y227" s="490">
        <v>0</v>
      </c>
      <c r="Z227" s="490">
        <v>0</v>
      </c>
      <c r="AB227" s="491">
        <v>0</v>
      </c>
      <c r="AC227" s="491">
        <v>0</v>
      </c>
      <c r="AD227" s="491">
        <v>0</v>
      </c>
      <c r="AE227" s="489">
        <v>0</v>
      </c>
      <c r="AF227" s="490">
        <v>0</v>
      </c>
      <c r="AG227" s="490">
        <v>0</v>
      </c>
      <c r="AH227" s="491">
        <v>0</v>
      </c>
      <c r="AI227" s="491">
        <v>0</v>
      </c>
      <c r="AJ227" s="491">
        <v>0</v>
      </c>
    </row>
    <row r="228" spans="2:36" x14ac:dyDescent="0.25">
      <c r="B228" s="489" t="s">
        <v>1521</v>
      </c>
      <c r="C228" s="489" t="s">
        <v>1513</v>
      </c>
      <c r="D228" s="489"/>
      <c r="E228" s="489"/>
      <c r="F228" s="490">
        <v>0</v>
      </c>
      <c r="G228" s="490">
        <v>0</v>
      </c>
      <c r="H228" s="562">
        <v>0</v>
      </c>
      <c r="I228" s="563"/>
      <c r="J228" s="490">
        <v>0</v>
      </c>
      <c r="K228" s="490">
        <v>0</v>
      </c>
      <c r="L228" s="490">
        <v>0</v>
      </c>
      <c r="M228" s="491">
        <v>0</v>
      </c>
      <c r="N228" s="491">
        <v>0</v>
      </c>
      <c r="O228" s="564">
        <v>0</v>
      </c>
      <c r="P228" s="565"/>
      <c r="Q228" s="566"/>
      <c r="R228" s="489">
        <v>0</v>
      </c>
      <c r="S228" s="490">
        <v>0</v>
      </c>
      <c r="T228" s="490">
        <v>0</v>
      </c>
      <c r="U228" s="491">
        <v>0</v>
      </c>
      <c r="V228" s="491">
        <v>0</v>
      </c>
      <c r="W228" s="491">
        <v>0</v>
      </c>
      <c r="X228" s="489">
        <v>0</v>
      </c>
      <c r="Y228" s="490">
        <v>0</v>
      </c>
      <c r="Z228" s="490">
        <v>0</v>
      </c>
      <c r="AB228" s="491">
        <v>0</v>
      </c>
      <c r="AC228" s="491">
        <v>0</v>
      </c>
      <c r="AD228" s="491">
        <v>0</v>
      </c>
      <c r="AE228" s="489">
        <v>0</v>
      </c>
      <c r="AF228" s="490">
        <v>0</v>
      </c>
      <c r="AG228" s="490">
        <v>0</v>
      </c>
      <c r="AH228" s="491">
        <v>0</v>
      </c>
      <c r="AI228" s="491">
        <v>0</v>
      </c>
      <c r="AJ228" s="491">
        <v>0</v>
      </c>
    </row>
    <row r="229" spans="2:36" ht="25.5" x14ac:dyDescent="0.25">
      <c r="B229" s="489" t="s">
        <v>1600</v>
      </c>
      <c r="C229" s="489" t="s">
        <v>1601</v>
      </c>
      <c r="D229" s="489"/>
      <c r="E229" s="489" t="s">
        <v>487</v>
      </c>
      <c r="F229" s="490">
        <v>0</v>
      </c>
      <c r="G229" s="490">
        <v>0</v>
      </c>
      <c r="H229" s="562">
        <v>60000000</v>
      </c>
      <c r="I229" s="563"/>
      <c r="J229" s="490">
        <v>60000000</v>
      </c>
      <c r="K229" s="490">
        <v>60000000</v>
      </c>
      <c r="L229" s="490">
        <v>0</v>
      </c>
      <c r="M229" s="491">
        <v>0</v>
      </c>
      <c r="N229" s="491">
        <v>0</v>
      </c>
      <c r="O229" s="564">
        <v>0</v>
      </c>
      <c r="P229" s="565"/>
      <c r="Q229" s="566"/>
      <c r="R229" s="489">
        <v>1</v>
      </c>
      <c r="S229" s="490">
        <v>60000000</v>
      </c>
      <c r="T229" s="490">
        <v>0</v>
      </c>
      <c r="U229" s="491">
        <v>0</v>
      </c>
      <c r="V229" s="491">
        <v>0</v>
      </c>
      <c r="W229" s="491">
        <v>0</v>
      </c>
      <c r="X229" s="489">
        <v>1</v>
      </c>
      <c r="Y229" s="490">
        <v>60000000</v>
      </c>
      <c r="Z229" s="490">
        <v>0</v>
      </c>
      <c r="AB229" s="491">
        <v>0</v>
      </c>
      <c r="AC229" s="491">
        <v>0</v>
      </c>
      <c r="AD229" s="491">
        <v>0</v>
      </c>
      <c r="AE229" s="489">
        <v>1</v>
      </c>
      <c r="AF229" s="490">
        <v>60000000</v>
      </c>
      <c r="AG229" s="490">
        <v>0</v>
      </c>
      <c r="AH229" s="491">
        <v>0</v>
      </c>
      <c r="AI229" s="491">
        <v>0</v>
      </c>
      <c r="AJ229" s="491">
        <v>0</v>
      </c>
    </row>
    <row r="230" spans="2:36" ht="12.75" customHeight="1" x14ac:dyDescent="0.25"/>
    <row r="231" spans="2:36" ht="57.6" customHeight="1" x14ac:dyDescent="0.25">
      <c r="B231" s="588" t="s">
        <v>1607</v>
      </c>
      <c r="C231" s="588"/>
      <c r="D231" s="588"/>
      <c r="E231" s="588"/>
      <c r="F231" s="588"/>
      <c r="G231" s="588"/>
      <c r="H231" s="588"/>
      <c r="I231" s="588"/>
      <c r="J231" s="588"/>
      <c r="K231" s="588"/>
      <c r="L231" s="588"/>
      <c r="M231" s="588"/>
      <c r="N231" s="588"/>
      <c r="O231" s="588"/>
      <c r="P231" s="588"/>
      <c r="Q231" s="588"/>
      <c r="R231" s="588"/>
      <c r="S231" s="588"/>
      <c r="T231" s="588"/>
      <c r="U231" s="588"/>
      <c r="V231" s="588"/>
      <c r="W231" s="588"/>
      <c r="X231" s="588"/>
      <c r="Y231" s="588"/>
      <c r="Z231" s="588"/>
    </row>
    <row r="232" spans="2:36" ht="9.9499999999999993" customHeight="1" x14ac:dyDescent="0.25"/>
    <row r="233" spans="2:36" ht="15.95" customHeight="1" x14ac:dyDescent="0.25">
      <c r="B233" s="586" t="s">
        <v>632</v>
      </c>
      <c r="C233" s="586"/>
      <c r="D233" s="587" t="s">
        <v>1616</v>
      </c>
      <c r="E233" s="587"/>
      <c r="F233" s="587"/>
      <c r="G233" s="587"/>
      <c r="H233" s="587"/>
    </row>
    <row r="234" spans="2:36" ht="2.1" customHeight="1" x14ac:dyDescent="0.25"/>
    <row r="235" spans="2:36" ht="17.100000000000001" customHeight="1" x14ac:dyDescent="0.25">
      <c r="B235" s="586" t="s">
        <v>633</v>
      </c>
      <c r="C235" s="586"/>
      <c r="D235" s="587" t="s">
        <v>1312</v>
      </c>
      <c r="E235" s="587"/>
      <c r="F235" s="587"/>
      <c r="G235" s="587"/>
      <c r="H235" s="587"/>
    </row>
    <row r="236" spans="2:36" ht="3" customHeight="1" x14ac:dyDescent="0.25"/>
    <row r="237" spans="2:36" ht="17.100000000000001" customHeight="1" x14ac:dyDescent="0.25">
      <c r="B237" s="586" t="s">
        <v>466</v>
      </c>
      <c r="C237" s="586"/>
      <c r="D237" s="587" t="s">
        <v>1610</v>
      </c>
      <c r="E237" s="587"/>
      <c r="F237" s="587"/>
      <c r="G237" s="587"/>
      <c r="H237" s="587"/>
    </row>
    <row r="238" spans="2:36" ht="2.1" customHeight="1" x14ac:dyDescent="0.25"/>
    <row r="239" spans="2:36" ht="17.100000000000001" customHeight="1" x14ac:dyDescent="0.25">
      <c r="B239" s="586" t="s">
        <v>467</v>
      </c>
      <c r="C239" s="586"/>
      <c r="D239" s="587" t="s">
        <v>1615</v>
      </c>
      <c r="E239" s="587"/>
      <c r="F239" s="587"/>
      <c r="G239" s="587"/>
      <c r="H239" s="587"/>
    </row>
    <row r="240" spans="2:36" ht="81" customHeight="1" x14ac:dyDescent="0.25"/>
  </sheetData>
  <autoFilter ref="B21:AJ228" xr:uid="{00000000-0009-0000-0000-000008000000}">
    <filterColumn colId="6" showButton="0"/>
    <filterColumn colId="13" showButton="0"/>
    <filterColumn colId="14" showButton="0"/>
  </autoFilter>
  <mergeCells count="459">
    <mergeCell ref="B235:C235"/>
    <mergeCell ref="D235:H235"/>
    <mergeCell ref="B237:C237"/>
    <mergeCell ref="D237:H237"/>
    <mergeCell ref="B239:C239"/>
    <mergeCell ref="D239:H239"/>
    <mergeCell ref="O220:Q220"/>
    <mergeCell ref="O221:Q221"/>
    <mergeCell ref="H223:I223"/>
    <mergeCell ref="H228:I228"/>
    <mergeCell ref="O228:Q228"/>
    <mergeCell ref="H229:I229"/>
    <mergeCell ref="O229:Q229"/>
    <mergeCell ref="B231:Z231"/>
    <mergeCell ref="B233:C233"/>
    <mergeCell ref="D233:H233"/>
    <mergeCell ref="H214:I214"/>
    <mergeCell ref="H215:I215"/>
    <mergeCell ref="H216:I216"/>
    <mergeCell ref="H221:I221"/>
    <mergeCell ref="H222:I222"/>
    <mergeCell ref="O222:Q222"/>
    <mergeCell ref="O223:Q223"/>
    <mergeCell ref="O198:Q198"/>
    <mergeCell ref="O199:Q199"/>
    <mergeCell ref="O200:Q200"/>
    <mergeCell ref="O201:Q201"/>
    <mergeCell ref="O202:Q202"/>
    <mergeCell ref="O203:Q203"/>
    <mergeCell ref="O204:Q204"/>
    <mergeCell ref="O205:Q205"/>
    <mergeCell ref="O206:Q206"/>
    <mergeCell ref="H204:I204"/>
    <mergeCell ref="H205:I205"/>
    <mergeCell ref="H206:I206"/>
    <mergeCell ref="H201:I201"/>
    <mergeCell ref="H202:I202"/>
    <mergeCell ref="H203:I203"/>
    <mergeCell ref="H198:I198"/>
    <mergeCell ref="H199:I199"/>
    <mergeCell ref="O189:Q189"/>
    <mergeCell ref="O190:Q190"/>
    <mergeCell ref="O191:Q191"/>
    <mergeCell ref="O192:Q192"/>
    <mergeCell ref="O193:Q193"/>
    <mergeCell ref="O194:Q194"/>
    <mergeCell ref="O195:Q195"/>
    <mergeCell ref="O196:Q196"/>
    <mergeCell ref="O197:Q197"/>
    <mergeCell ref="O180:Q180"/>
    <mergeCell ref="O181:Q181"/>
    <mergeCell ref="O182:Q182"/>
    <mergeCell ref="O183:Q183"/>
    <mergeCell ref="O184:Q184"/>
    <mergeCell ref="O185:Q185"/>
    <mergeCell ref="O186:Q186"/>
    <mergeCell ref="O187:Q187"/>
    <mergeCell ref="O188:Q188"/>
    <mergeCell ref="O171:Q171"/>
    <mergeCell ref="O172:Q172"/>
    <mergeCell ref="O173:Q173"/>
    <mergeCell ref="O174:Q174"/>
    <mergeCell ref="O175:Q175"/>
    <mergeCell ref="O176:Q176"/>
    <mergeCell ref="O177:Q177"/>
    <mergeCell ref="O178:Q178"/>
    <mergeCell ref="O179:Q179"/>
    <mergeCell ref="O162:Q162"/>
    <mergeCell ref="O163:Q163"/>
    <mergeCell ref="O164:Q164"/>
    <mergeCell ref="O165:Q165"/>
    <mergeCell ref="O166:Q166"/>
    <mergeCell ref="O167:Q167"/>
    <mergeCell ref="O168:Q168"/>
    <mergeCell ref="O169:Q169"/>
    <mergeCell ref="O170:Q170"/>
    <mergeCell ref="O153:Q153"/>
    <mergeCell ref="O154:Q154"/>
    <mergeCell ref="O155:Q155"/>
    <mergeCell ref="O156:Q156"/>
    <mergeCell ref="O157:Q157"/>
    <mergeCell ref="O158:Q158"/>
    <mergeCell ref="O159:Q159"/>
    <mergeCell ref="O160:Q160"/>
    <mergeCell ref="O161:Q161"/>
    <mergeCell ref="O144:Q144"/>
    <mergeCell ref="O145:Q145"/>
    <mergeCell ref="O146:Q146"/>
    <mergeCell ref="O147:Q147"/>
    <mergeCell ref="O148:Q148"/>
    <mergeCell ref="O149:Q149"/>
    <mergeCell ref="O150:Q150"/>
    <mergeCell ref="O151:Q151"/>
    <mergeCell ref="O152:Q152"/>
    <mergeCell ref="O135:Q135"/>
    <mergeCell ref="O136:Q136"/>
    <mergeCell ref="O137:Q137"/>
    <mergeCell ref="O138:Q138"/>
    <mergeCell ref="O139:Q139"/>
    <mergeCell ref="O140:Q140"/>
    <mergeCell ref="O141:Q141"/>
    <mergeCell ref="O142:Q142"/>
    <mergeCell ref="O143:Q143"/>
    <mergeCell ref="O126:Q126"/>
    <mergeCell ref="O127:Q127"/>
    <mergeCell ref="O128:Q128"/>
    <mergeCell ref="O129:Q129"/>
    <mergeCell ref="O130:Q130"/>
    <mergeCell ref="O131:Q131"/>
    <mergeCell ref="O132:Q132"/>
    <mergeCell ref="O133:Q133"/>
    <mergeCell ref="O134:Q134"/>
    <mergeCell ref="O117:Q117"/>
    <mergeCell ref="O118:Q118"/>
    <mergeCell ref="O119:Q119"/>
    <mergeCell ref="O120:Q120"/>
    <mergeCell ref="O121:Q121"/>
    <mergeCell ref="O122:Q122"/>
    <mergeCell ref="O123:Q123"/>
    <mergeCell ref="O124:Q124"/>
    <mergeCell ref="O125:Q125"/>
    <mergeCell ref="O108:Q108"/>
    <mergeCell ref="O109:Q109"/>
    <mergeCell ref="O110:Q110"/>
    <mergeCell ref="O111:Q111"/>
    <mergeCell ref="O112:Q112"/>
    <mergeCell ref="O113:Q113"/>
    <mergeCell ref="O114:Q114"/>
    <mergeCell ref="O115:Q115"/>
    <mergeCell ref="O116:Q116"/>
    <mergeCell ref="O99:Q99"/>
    <mergeCell ref="O100:Q100"/>
    <mergeCell ref="O101:Q101"/>
    <mergeCell ref="O102:Q102"/>
    <mergeCell ref="O103:Q103"/>
    <mergeCell ref="O104:Q104"/>
    <mergeCell ref="O105:Q105"/>
    <mergeCell ref="O106:Q106"/>
    <mergeCell ref="O107:Q107"/>
    <mergeCell ref="O90:Q90"/>
    <mergeCell ref="O91:Q91"/>
    <mergeCell ref="O92:Q92"/>
    <mergeCell ref="O93:Q93"/>
    <mergeCell ref="O94:Q94"/>
    <mergeCell ref="O95:Q95"/>
    <mergeCell ref="O96:Q96"/>
    <mergeCell ref="O97:Q97"/>
    <mergeCell ref="O98:Q98"/>
    <mergeCell ref="O81:Q81"/>
    <mergeCell ref="O82:Q82"/>
    <mergeCell ref="O83:Q83"/>
    <mergeCell ref="O85:Q85"/>
    <mergeCell ref="O86:Q86"/>
    <mergeCell ref="O87:Q87"/>
    <mergeCell ref="O88:Q88"/>
    <mergeCell ref="O89:Q89"/>
    <mergeCell ref="O72:Q72"/>
    <mergeCell ref="O73:Q73"/>
    <mergeCell ref="O74:Q74"/>
    <mergeCell ref="O75:Q75"/>
    <mergeCell ref="O76:Q76"/>
    <mergeCell ref="O77:Q77"/>
    <mergeCell ref="O78:Q78"/>
    <mergeCell ref="O79:Q79"/>
    <mergeCell ref="O80:Q80"/>
    <mergeCell ref="O63:Q63"/>
    <mergeCell ref="O64:Q64"/>
    <mergeCell ref="O65:Q65"/>
    <mergeCell ref="O66:Q66"/>
    <mergeCell ref="O67:Q67"/>
    <mergeCell ref="O68:Q68"/>
    <mergeCell ref="O69:Q69"/>
    <mergeCell ref="O70:Q70"/>
    <mergeCell ref="O71:Q71"/>
    <mergeCell ref="O54:Q54"/>
    <mergeCell ref="O55:Q55"/>
    <mergeCell ref="O56:Q56"/>
    <mergeCell ref="O57:Q57"/>
    <mergeCell ref="O58:Q58"/>
    <mergeCell ref="O59:Q59"/>
    <mergeCell ref="O60:Q60"/>
    <mergeCell ref="O61:Q61"/>
    <mergeCell ref="O62:Q62"/>
    <mergeCell ref="H63:I63"/>
    <mergeCell ref="H78:I78"/>
    <mergeCell ref="O17:Q17"/>
    <mergeCell ref="O18:Q18"/>
    <mergeCell ref="O19:Q19"/>
    <mergeCell ref="O20:Q20"/>
    <mergeCell ref="O21:Q21"/>
    <mergeCell ref="O22:Q22"/>
    <mergeCell ref="O23:Q23"/>
    <mergeCell ref="O24:Q24"/>
    <mergeCell ref="O25:Q25"/>
    <mergeCell ref="O26:Q26"/>
    <mergeCell ref="O27:Q27"/>
    <mergeCell ref="O28:Q28"/>
    <mergeCell ref="O29:Q29"/>
    <mergeCell ref="O30:Q30"/>
    <mergeCell ref="O31:Q31"/>
    <mergeCell ref="O32:Q32"/>
    <mergeCell ref="O33:Q33"/>
    <mergeCell ref="O34:Q34"/>
    <mergeCell ref="O35:Q35"/>
    <mergeCell ref="O51:Q51"/>
    <mergeCell ref="O52:Q52"/>
    <mergeCell ref="O53:Q53"/>
    <mergeCell ref="H19:I19"/>
    <mergeCell ref="D7:O7"/>
    <mergeCell ref="D8:O8"/>
    <mergeCell ref="D9:O9"/>
    <mergeCell ref="D10:O10"/>
    <mergeCell ref="O14:Q14"/>
    <mergeCell ref="O15:Q15"/>
    <mergeCell ref="O16:Q16"/>
    <mergeCell ref="H53:I53"/>
    <mergeCell ref="O36:Q36"/>
    <mergeCell ref="O37:Q37"/>
    <mergeCell ref="O38:Q38"/>
    <mergeCell ref="O39:Q39"/>
    <mergeCell ref="O40:Q40"/>
    <mergeCell ref="O41:Q41"/>
    <mergeCell ref="O42:Q42"/>
    <mergeCell ref="O43:Q43"/>
    <mergeCell ref="O44:Q44"/>
    <mergeCell ref="O45:Q45"/>
    <mergeCell ref="O46:Q46"/>
    <mergeCell ref="O47:Q47"/>
    <mergeCell ref="O48:Q48"/>
    <mergeCell ref="O49:Q49"/>
    <mergeCell ref="O50:Q50"/>
    <mergeCell ref="K13:R13"/>
    <mergeCell ref="D5:O5"/>
    <mergeCell ref="D6:O6"/>
    <mergeCell ref="AF13:AJ13"/>
    <mergeCell ref="S13:X13"/>
    <mergeCell ref="Y13:AE13"/>
    <mergeCell ref="B7:C7"/>
    <mergeCell ref="B8:C8"/>
    <mergeCell ref="B9:C9"/>
    <mergeCell ref="H29:I29"/>
    <mergeCell ref="H30:I30"/>
    <mergeCell ref="H31:I31"/>
    <mergeCell ref="H26:I26"/>
    <mergeCell ref="H27:I27"/>
    <mergeCell ref="H28:I28"/>
    <mergeCell ref="B1:C1"/>
    <mergeCell ref="B3:C3"/>
    <mergeCell ref="B5:C5"/>
    <mergeCell ref="B6:C6"/>
    <mergeCell ref="B13:E13"/>
    <mergeCell ref="H14:I14"/>
    <mergeCell ref="B10:C10"/>
    <mergeCell ref="F13:J13"/>
    <mergeCell ref="H23:I23"/>
    <mergeCell ref="H24:I24"/>
    <mergeCell ref="H25:I25"/>
    <mergeCell ref="H15:I15"/>
    <mergeCell ref="H16:I16"/>
    <mergeCell ref="H20:I20"/>
    <mergeCell ref="H21:I21"/>
    <mergeCell ref="H22:I22"/>
    <mergeCell ref="H17:I17"/>
    <mergeCell ref="H18:I18"/>
    <mergeCell ref="H38:I38"/>
    <mergeCell ref="H39:I39"/>
    <mergeCell ref="H40:I40"/>
    <mergeCell ref="H35:I35"/>
    <mergeCell ref="H36:I36"/>
    <mergeCell ref="H37:I37"/>
    <mergeCell ref="H32:I32"/>
    <mergeCell ref="H33:I33"/>
    <mergeCell ref="H34:I34"/>
    <mergeCell ref="H47:I47"/>
    <mergeCell ref="H48:I48"/>
    <mergeCell ref="H49:I49"/>
    <mergeCell ref="H44:I44"/>
    <mergeCell ref="H45:I45"/>
    <mergeCell ref="H46:I46"/>
    <mergeCell ref="H41:I41"/>
    <mergeCell ref="H42:I42"/>
    <mergeCell ref="H43:I43"/>
    <mergeCell ref="H72:I72"/>
    <mergeCell ref="H73:I73"/>
    <mergeCell ref="H74:I74"/>
    <mergeCell ref="H85:I85"/>
    <mergeCell ref="H50:I50"/>
    <mergeCell ref="H51:I51"/>
    <mergeCell ref="H52:I52"/>
    <mergeCell ref="H57:I57"/>
    <mergeCell ref="H58:I58"/>
    <mergeCell ref="H59:I59"/>
    <mergeCell ref="H54:I54"/>
    <mergeCell ref="H55:I55"/>
    <mergeCell ref="H56:I56"/>
    <mergeCell ref="H69:I69"/>
    <mergeCell ref="H70:I70"/>
    <mergeCell ref="H71:I71"/>
    <mergeCell ref="H66:I66"/>
    <mergeCell ref="H67:I67"/>
    <mergeCell ref="H68:I68"/>
    <mergeCell ref="H64:I64"/>
    <mergeCell ref="H65:I65"/>
    <mergeCell ref="H60:I60"/>
    <mergeCell ref="H61:I61"/>
    <mergeCell ref="H62:I62"/>
    <mergeCell ref="H82:I82"/>
    <mergeCell ref="H83:I83"/>
    <mergeCell ref="H80:I80"/>
    <mergeCell ref="H81:I81"/>
    <mergeCell ref="H93:I93"/>
    <mergeCell ref="H79:I79"/>
    <mergeCell ref="H75:I75"/>
    <mergeCell ref="H76:I76"/>
    <mergeCell ref="H77:I77"/>
    <mergeCell ref="H94:I94"/>
    <mergeCell ref="H95:I95"/>
    <mergeCell ref="H90:I90"/>
    <mergeCell ref="H91:I91"/>
    <mergeCell ref="H92:I92"/>
    <mergeCell ref="H88:I88"/>
    <mergeCell ref="H89:I89"/>
    <mergeCell ref="H86:I86"/>
    <mergeCell ref="H87:I87"/>
    <mergeCell ref="H104:I104"/>
    <mergeCell ref="H105:I105"/>
    <mergeCell ref="H106:I106"/>
    <mergeCell ref="H99:I99"/>
    <mergeCell ref="H100:I100"/>
    <mergeCell ref="H103:I103"/>
    <mergeCell ref="H96:I96"/>
    <mergeCell ref="H97:I97"/>
    <mergeCell ref="H98:I98"/>
    <mergeCell ref="H101:I101"/>
    <mergeCell ref="H102:I102"/>
    <mergeCell ref="H113:I113"/>
    <mergeCell ref="H114:I114"/>
    <mergeCell ref="H115:I115"/>
    <mergeCell ref="H110:I110"/>
    <mergeCell ref="H111:I111"/>
    <mergeCell ref="H112:I112"/>
    <mergeCell ref="H107:I107"/>
    <mergeCell ref="H108:I108"/>
    <mergeCell ref="H109:I109"/>
    <mergeCell ref="H123:I123"/>
    <mergeCell ref="H124:I124"/>
    <mergeCell ref="H125:I125"/>
    <mergeCell ref="H119:I119"/>
    <mergeCell ref="H120:I120"/>
    <mergeCell ref="H121:I121"/>
    <mergeCell ref="H116:I116"/>
    <mergeCell ref="H117:I117"/>
    <mergeCell ref="H118:I118"/>
    <mergeCell ref="H122:I122"/>
    <mergeCell ref="H132:I132"/>
    <mergeCell ref="H133:I133"/>
    <mergeCell ref="H134:I134"/>
    <mergeCell ref="H129:I129"/>
    <mergeCell ref="H130:I130"/>
    <mergeCell ref="H131:I131"/>
    <mergeCell ref="H126:I126"/>
    <mergeCell ref="H127:I127"/>
    <mergeCell ref="H128:I128"/>
    <mergeCell ref="H141:I141"/>
    <mergeCell ref="H142:I142"/>
    <mergeCell ref="H143:I143"/>
    <mergeCell ref="H138:I138"/>
    <mergeCell ref="H139:I139"/>
    <mergeCell ref="H140:I140"/>
    <mergeCell ref="H135:I135"/>
    <mergeCell ref="H136:I136"/>
    <mergeCell ref="H137:I137"/>
    <mergeCell ref="H150:I150"/>
    <mergeCell ref="H151:I151"/>
    <mergeCell ref="H152:I152"/>
    <mergeCell ref="H147:I147"/>
    <mergeCell ref="H148:I148"/>
    <mergeCell ref="H149:I149"/>
    <mergeCell ref="H144:I144"/>
    <mergeCell ref="H145:I145"/>
    <mergeCell ref="H146:I146"/>
    <mergeCell ref="H159:I159"/>
    <mergeCell ref="H160:I160"/>
    <mergeCell ref="H161:I161"/>
    <mergeCell ref="H156:I156"/>
    <mergeCell ref="H157:I157"/>
    <mergeCell ref="H158:I158"/>
    <mergeCell ref="H153:I153"/>
    <mergeCell ref="H154:I154"/>
    <mergeCell ref="H155:I155"/>
    <mergeCell ref="H168:I168"/>
    <mergeCell ref="H169:I169"/>
    <mergeCell ref="H170:I170"/>
    <mergeCell ref="H165:I165"/>
    <mergeCell ref="H166:I166"/>
    <mergeCell ref="H167:I167"/>
    <mergeCell ref="H162:I162"/>
    <mergeCell ref="H163:I163"/>
    <mergeCell ref="H164:I164"/>
    <mergeCell ref="H177:I177"/>
    <mergeCell ref="H178:I178"/>
    <mergeCell ref="H179:I179"/>
    <mergeCell ref="H174:I174"/>
    <mergeCell ref="H175:I175"/>
    <mergeCell ref="H176:I176"/>
    <mergeCell ref="H171:I171"/>
    <mergeCell ref="H172:I172"/>
    <mergeCell ref="H173:I173"/>
    <mergeCell ref="H186:I186"/>
    <mergeCell ref="H187:I187"/>
    <mergeCell ref="H188:I188"/>
    <mergeCell ref="H183:I183"/>
    <mergeCell ref="H184:I184"/>
    <mergeCell ref="H185:I185"/>
    <mergeCell ref="H180:I180"/>
    <mergeCell ref="H181:I181"/>
    <mergeCell ref="H182:I182"/>
    <mergeCell ref="H195:I195"/>
    <mergeCell ref="H196:I196"/>
    <mergeCell ref="H197:I197"/>
    <mergeCell ref="H192:I192"/>
    <mergeCell ref="H193:I193"/>
    <mergeCell ref="H194:I194"/>
    <mergeCell ref="H189:I189"/>
    <mergeCell ref="H190:I190"/>
    <mergeCell ref="H191:I191"/>
    <mergeCell ref="H200:I200"/>
    <mergeCell ref="O212:Q212"/>
    <mergeCell ref="H220:I220"/>
    <mergeCell ref="H211:I211"/>
    <mergeCell ref="O211:Q211"/>
    <mergeCell ref="O207:Q207"/>
    <mergeCell ref="O208:Q208"/>
    <mergeCell ref="O209:Q209"/>
    <mergeCell ref="O210:Q210"/>
    <mergeCell ref="O213:Q213"/>
    <mergeCell ref="O214:Q214"/>
    <mergeCell ref="O215:Q215"/>
    <mergeCell ref="O216:Q216"/>
    <mergeCell ref="O217:Q217"/>
    <mergeCell ref="H210:I210"/>
    <mergeCell ref="H212:I212"/>
    <mergeCell ref="H213:I213"/>
    <mergeCell ref="H207:I207"/>
    <mergeCell ref="H208:I208"/>
    <mergeCell ref="H209:I209"/>
    <mergeCell ref="H217:I217"/>
    <mergeCell ref="H218:I218"/>
    <mergeCell ref="H219:I219"/>
    <mergeCell ref="O218:Q218"/>
    <mergeCell ref="O219:Q219"/>
    <mergeCell ref="H224:I224"/>
    <mergeCell ref="O224:Q224"/>
    <mergeCell ref="H225:I225"/>
    <mergeCell ref="O225:Q225"/>
    <mergeCell ref="H226:I226"/>
    <mergeCell ref="O226:Q226"/>
    <mergeCell ref="H227:I227"/>
    <mergeCell ref="O227:Q227"/>
  </mergeCells>
  <pageMargins left="0.78740157480314998" right="0.78740157480314998" top="0.78740157480314998" bottom="0.78740157480314998" header="0.78740157480314998" footer="0.78740157480314998"/>
  <pageSetup paperSize="9" orientation="landscape" horizontalDpi="300" verticalDpi="300"/>
  <headerFooter alignWithMargins="0"/>
  <drawing r:id="rId1"/>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saīsinājumi_LV_ENG</vt:lpstr>
      <vt:lpstr>Fin_progress</vt:lpstr>
      <vt:lpstr>PV</vt:lpstr>
      <vt:lpstr>AI</vt:lpstr>
      <vt:lpstr>EK_maksājumi</vt:lpstr>
      <vt:lpstr>Grafiks</vt:lpstr>
      <vt:lpstr>Grafiks_pa_investīciju_jomām</vt:lpstr>
      <vt:lpstr>Pasākumu_līmenis</vt:lpstr>
      <vt:lpstr>AtskaiteStatusuTabula</vt:lpstr>
      <vt:lpstr>Grafiks_brīvais_fin_pa_AI</vt:lpstr>
      <vt:lpstr>2. Intervences kategorijas - Pa</vt:lpstr>
      <vt:lpstr>Fin_progress!Print_Area</vt:lpstr>
      <vt:lpstr>Grafiks_brīvais_fin_pa_AI!Print_Area</vt:lpstr>
      <vt:lpstr>Fin_progress!Print_Titles</vt:lpstr>
      <vt:lpstr>Pasākumu_līmenis!Print_Titles</vt:lpstr>
      <vt:lpstr>PV!Print_Titles</vt:lpstr>
      <vt:lpstr>saīsinājumi_LV_ENG!Print_Titles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2025-04-10T09:14:43Z</dcterms:modified>
</cp:coreProperties>
</file>